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01 DOCUEMENTOS\CENTRAL#10 ARCHIVO  2 0 1 7\CENTRAL  # 12  DICIEMBRE  2017\"/>
    </mc:Choice>
  </mc:AlternateContent>
  <xr:revisionPtr revIDLastSave="0" documentId="13_ncr:1_{39BC6018-7C57-409B-9871-72BA7DAC3007}" xr6:coauthVersionLast="46" xr6:coauthVersionMax="46" xr10:uidLastSave="{00000000-0000-0000-0000-000000000000}"/>
  <bookViews>
    <workbookView xWindow="10560" yWindow="330" windowWidth="17850" windowHeight="13740" tabRatio="750" firstSheet="21" activeTab="23" xr2:uid="{00000000-000D-0000-FFFF-FFFF00000000}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CANALES MARZO 2017     " sheetId="5" r:id="rId5"/>
    <sheet name="FOLIOS MARZO   2017  " sheetId="6" r:id="rId6"/>
    <sheet name="CANALES  ABRIL    2017" sheetId="7" r:id="rId7"/>
    <sheet name="FOLIOS  ABRIL   2017   " sheetId="8" r:id="rId8"/>
    <sheet name="CANALES MAYO  2017   " sheetId="9" r:id="rId9"/>
    <sheet name="FOLIOS MAYO 2017   " sheetId="10" r:id="rId10"/>
    <sheet name="CANALES  JUNIO  2017    " sheetId="12" r:id="rId11"/>
    <sheet name="FOLIOS   JUNIO  2017  " sheetId="13" r:id="rId12"/>
    <sheet name="CANALES  J U L I O   2017    " sheetId="16" r:id="rId13"/>
    <sheet name="FOLIOS JULIO   2017     " sheetId="14" r:id="rId14"/>
    <sheet name="CANALES  AGOSTOS   2017   " sheetId="15" r:id="rId15"/>
    <sheet name="FOLIOS   AGOSTO   2017      " sheetId="11" r:id="rId16"/>
    <sheet name="CANALES  SEPTIEMBRE 2017      " sheetId="21" r:id="rId17"/>
    <sheet name="FOLIOS  SEPTIEMBRE    2017   " sheetId="22" r:id="rId18"/>
    <sheet name="CANALES  OCTUBRE   2017     " sheetId="26" r:id="rId19"/>
    <sheet name="FOLIOS  OCTUBRE    2017  " sheetId="27" r:id="rId20"/>
    <sheet name="CANALES  NOVIEMBRE 2017   " sheetId="28" r:id="rId21"/>
    <sheet name="FOLIOS  NOVIEMBRE  2017   " sheetId="29" r:id="rId22"/>
    <sheet name="CANALES  DICIEMBRE   2017    " sheetId="30" r:id="rId23"/>
    <sheet name="FOLIOS  DICIEMBRE   2017     " sheetId="31" r:id="rId24"/>
    <sheet name="Hoja2" sheetId="32" r:id="rId25"/>
    <sheet name="Hoja3" sheetId="33" r:id="rId26"/>
    <sheet name="Hoja8" sheetId="23" r:id="rId27"/>
    <sheet name="Hoja9" sheetId="24" r:id="rId28"/>
    <sheet name="Hoja10" sheetId="25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31" l="1"/>
  <c r="E56" i="31"/>
  <c r="G71" i="31"/>
  <c r="E105" i="29"/>
  <c r="E84" i="29"/>
  <c r="G64" i="29"/>
  <c r="G51" i="31"/>
  <c r="J26" i="31"/>
  <c r="G60" i="31"/>
  <c r="G40" i="31"/>
  <c r="G38" i="31"/>
  <c r="E38" i="31"/>
  <c r="J33" i="31"/>
  <c r="G42" i="31"/>
  <c r="G33" i="31"/>
  <c r="G4" i="31"/>
  <c r="G5" i="31"/>
  <c r="G6" i="31"/>
  <c r="G23" i="31"/>
  <c r="G117" i="29"/>
  <c r="G13" i="31"/>
  <c r="G7" i="31"/>
  <c r="G8" i="31"/>
  <c r="G9" i="31"/>
  <c r="G103" i="29"/>
  <c r="G11" i="31"/>
  <c r="G12" i="31"/>
  <c r="G14" i="31"/>
  <c r="G15" i="31"/>
  <c r="G16" i="31"/>
  <c r="G17" i="31"/>
  <c r="G18" i="31"/>
  <c r="G19" i="31"/>
  <c r="G20" i="31"/>
  <c r="G21" i="31"/>
  <c r="G22" i="31"/>
  <c r="G24" i="31"/>
  <c r="G25" i="31"/>
  <c r="G26" i="31"/>
  <c r="G27" i="31"/>
  <c r="G28" i="31"/>
  <c r="G29" i="31"/>
  <c r="G30" i="31"/>
  <c r="G31" i="31"/>
  <c r="G32" i="31"/>
  <c r="G34" i="31"/>
  <c r="G35" i="31"/>
  <c r="G36" i="31"/>
  <c r="G37" i="31"/>
  <c r="G39" i="31"/>
  <c r="G41" i="31"/>
  <c r="G43" i="31"/>
  <c r="G44" i="31"/>
  <c r="G45" i="31"/>
  <c r="G46" i="31"/>
  <c r="G47" i="31"/>
  <c r="G48" i="31"/>
  <c r="G49" i="31"/>
  <c r="G50" i="31"/>
  <c r="G52" i="31"/>
  <c r="G53" i="31"/>
  <c r="G54" i="31"/>
  <c r="G55" i="31"/>
  <c r="G57" i="31"/>
  <c r="G58" i="31"/>
  <c r="G59" i="31"/>
  <c r="G61" i="31"/>
  <c r="G62" i="31"/>
  <c r="G63" i="31"/>
  <c r="G64" i="31"/>
  <c r="G65" i="31"/>
  <c r="G66" i="31"/>
  <c r="G67" i="31"/>
  <c r="G68" i="31"/>
  <c r="G69" i="31"/>
  <c r="G70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113" i="29"/>
  <c r="G119" i="29"/>
  <c r="G108" i="29"/>
  <c r="J87" i="29"/>
  <c r="G90" i="29"/>
  <c r="G96" i="29"/>
  <c r="G69" i="29"/>
  <c r="G51" i="29"/>
  <c r="G76" i="29"/>
  <c r="G46" i="29" l="1"/>
  <c r="G74" i="29"/>
  <c r="G87" i="29"/>
  <c r="G73" i="29"/>
  <c r="G56" i="29"/>
  <c r="G67" i="29" l="1"/>
  <c r="G61" i="29" l="1"/>
  <c r="G63" i="29"/>
  <c r="G34" i="29" l="1"/>
  <c r="G50" i="29" l="1"/>
  <c r="G42" i="29" l="1"/>
  <c r="G36" i="29" l="1"/>
  <c r="G18" i="29" l="1"/>
  <c r="G30" i="29"/>
  <c r="G5" i="29" l="1"/>
  <c r="G124" i="27"/>
  <c r="G115" i="27" l="1"/>
  <c r="G126" i="27"/>
  <c r="G12" i="29"/>
  <c r="G122" i="27" l="1"/>
  <c r="G125" i="27"/>
  <c r="G127" i="27"/>
  <c r="G128" i="27"/>
  <c r="G129" i="27"/>
  <c r="G130" i="27"/>
  <c r="D5" i="29" l="1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D47" i="29" s="1"/>
  <c r="D48" i="29" s="1"/>
  <c r="D49" i="29" s="1"/>
  <c r="D50" i="29" s="1"/>
  <c r="D51" i="29" s="1"/>
  <c r="D52" i="29" s="1"/>
  <c r="D53" i="29" s="1"/>
  <c r="D54" i="29" s="1"/>
  <c r="D55" i="29" s="1"/>
  <c r="D56" i="29" s="1"/>
  <c r="D57" i="29" s="1"/>
  <c r="D58" i="29" s="1"/>
  <c r="D59" i="29" s="1"/>
  <c r="D60" i="29" s="1"/>
  <c r="D61" i="29" s="1"/>
  <c r="D62" i="29" s="1"/>
  <c r="D63" i="29" s="1"/>
  <c r="D64" i="29" s="1"/>
  <c r="D65" i="29" s="1"/>
  <c r="D66" i="29" s="1"/>
  <c r="D67" i="29" s="1"/>
  <c r="D68" i="29" s="1"/>
  <c r="D69" i="29" s="1"/>
  <c r="D70" i="29" s="1"/>
  <c r="D71" i="29" s="1"/>
  <c r="D72" i="29" s="1"/>
  <c r="D73" i="29" s="1"/>
  <c r="D74" i="29" s="1"/>
  <c r="D75" i="29" s="1"/>
  <c r="D76" i="29" s="1"/>
  <c r="D77" i="29" s="1"/>
  <c r="D78" i="29" s="1"/>
  <c r="D79" i="29" s="1"/>
  <c r="D80" i="29" s="1"/>
  <c r="D81" i="29" s="1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D92" i="29" s="1"/>
  <c r="D93" i="29" s="1"/>
  <c r="D94" i="29" s="1"/>
  <c r="D95" i="29" s="1"/>
  <c r="D96" i="29" s="1"/>
  <c r="D97" i="29" s="1"/>
  <c r="D98" i="29" s="1"/>
  <c r="D99" i="29" s="1"/>
  <c r="D100" i="29" s="1"/>
  <c r="D101" i="29" s="1"/>
  <c r="D102" i="29" s="1"/>
  <c r="D103" i="29" s="1"/>
  <c r="D104" i="29" s="1"/>
  <c r="D105" i="29" s="1"/>
  <c r="D106" i="29" s="1"/>
  <c r="D107" i="29" s="1"/>
  <c r="D108" i="29" s="1"/>
  <c r="D109" i="29" s="1"/>
  <c r="D110" i="29" s="1"/>
  <c r="D111" i="29" s="1"/>
  <c r="D112" i="29" s="1"/>
  <c r="D113" i="29" s="1"/>
  <c r="D114" i="29" s="1"/>
  <c r="D115" i="29" s="1"/>
  <c r="D116" i="29" s="1"/>
  <c r="D117" i="29" s="1"/>
  <c r="D118" i="29" s="1"/>
  <c r="D119" i="29" s="1"/>
  <c r="D120" i="29" s="1"/>
  <c r="D121" i="29" s="1"/>
  <c r="G102" i="27" l="1"/>
  <c r="G113" i="27" l="1"/>
  <c r="G94" i="27"/>
  <c r="G100" i="27"/>
  <c r="G111" i="27" l="1"/>
  <c r="G108" i="27"/>
  <c r="G103" i="27" l="1"/>
  <c r="G124" i="22" l="1"/>
  <c r="G109" i="22"/>
  <c r="G88" i="27"/>
  <c r="G78" i="27"/>
  <c r="G74" i="27"/>
  <c r="G83" i="27" l="1"/>
  <c r="G63" i="27" l="1"/>
  <c r="G77" i="27"/>
  <c r="G69" i="27" l="1"/>
  <c r="G60" i="27" l="1"/>
  <c r="G61" i="27"/>
  <c r="G62" i="27"/>
  <c r="G64" i="27"/>
  <c r="G65" i="27"/>
  <c r="G66" i="27"/>
  <c r="G67" i="27"/>
  <c r="G68" i="27"/>
  <c r="G70" i="27"/>
  <c r="G71" i="27"/>
  <c r="G72" i="27"/>
  <c r="G73" i="27"/>
  <c r="G75" i="27"/>
  <c r="G76" i="27"/>
  <c r="G79" i="27"/>
  <c r="G80" i="27"/>
  <c r="G81" i="27"/>
  <c r="G82" i="27"/>
  <c r="G84" i="27"/>
  <c r="G85" i="27"/>
  <c r="G86" i="27"/>
  <c r="G87" i="27"/>
  <c r="G89" i="27"/>
  <c r="G90" i="27"/>
  <c r="G91" i="27"/>
  <c r="G92" i="27"/>
  <c r="G93" i="27"/>
  <c r="G95" i="27"/>
  <c r="G96" i="27"/>
  <c r="G97" i="27"/>
  <c r="G98" i="27"/>
  <c r="G99" i="27"/>
  <c r="G101" i="27"/>
  <c r="G104" i="27"/>
  <c r="G105" i="27"/>
  <c r="G106" i="27"/>
  <c r="G107" i="27"/>
  <c r="G109" i="27"/>
  <c r="G110" i="27"/>
  <c r="G112" i="27"/>
  <c r="G114" i="27"/>
  <c r="G116" i="27"/>
  <c r="G117" i="27"/>
  <c r="G118" i="27"/>
  <c r="G119" i="27"/>
  <c r="G120" i="27"/>
  <c r="G121" i="27"/>
  <c r="G123" i="27"/>
  <c r="G49" i="27" l="1"/>
  <c r="G17" i="27" l="1"/>
  <c r="G4" i="27"/>
  <c r="G5" i="27"/>
  <c r="G6" i="27"/>
  <c r="G43" i="27"/>
  <c r="G41" i="27"/>
  <c r="J123" i="22" l="1"/>
  <c r="G16" i="27" l="1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2" i="27"/>
  <c r="G44" i="27"/>
  <c r="G45" i="27"/>
  <c r="G46" i="27"/>
  <c r="G47" i="27"/>
  <c r="G48" i="27"/>
  <c r="G50" i="27"/>
  <c r="G51" i="27"/>
  <c r="G52" i="27"/>
  <c r="G53" i="27"/>
  <c r="G54" i="27"/>
  <c r="G55" i="27"/>
  <c r="G56" i="27"/>
  <c r="G57" i="27"/>
  <c r="G58" i="27"/>
  <c r="G59" i="27"/>
  <c r="G129" i="22" l="1"/>
  <c r="G122" i="22"/>
  <c r="G107" i="22"/>
  <c r="G115" i="22"/>
  <c r="D11" i="27"/>
  <c r="D12" i="27" s="1"/>
  <c r="D13" i="27" s="1"/>
  <c r="D14" i="27" s="1"/>
  <c r="D15" i="27" s="1"/>
  <c r="D16" i="27" s="1"/>
  <c r="D17" i="27" s="1"/>
  <c r="D18" i="27" s="1"/>
  <c r="D19" i="27" s="1"/>
  <c r="D20" i="27" s="1"/>
  <c r="D21" i="27" s="1"/>
  <c r="D22" i="27" s="1"/>
  <c r="D23" i="27" s="1"/>
  <c r="D24" i="27" s="1"/>
  <c r="D25" i="27" s="1"/>
  <c r="D26" i="27" s="1"/>
  <c r="D27" i="27" s="1"/>
  <c r="D28" i="27" s="1"/>
  <c r="D29" i="27" s="1"/>
  <c r="D30" i="27" s="1"/>
  <c r="D31" i="27" s="1"/>
  <c r="D32" i="27" s="1"/>
  <c r="D33" i="27" s="1"/>
  <c r="D34" i="27" s="1"/>
  <c r="D35" i="27" s="1"/>
  <c r="D36" i="27" s="1"/>
  <c r="D37" i="27" s="1"/>
  <c r="D38" i="27" s="1"/>
  <c r="D39" i="27" s="1"/>
  <c r="D40" i="27" s="1"/>
  <c r="D41" i="27" s="1"/>
  <c r="D42" i="27" s="1"/>
  <c r="D43" i="27" s="1"/>
  <c r="D44" i="27" s="1"/>
  <c r="D45" i="27" s="1"/>
  <c r="D46" i="27" s="1"/>
  <c r="D47" i="27" s="1"/>
  <c r="D48" i="27" s="1"/>
  <c r="D49" i="27" s="1"/>
  <c r="D50" i="27" s="1"/>
  <c r="D51" i="27" s="1"/>
  <c r="D52" i="27" s="1"/>
  <c r="D53" i="27" s="1"/>
  <c r="D54" i="27" s="1"/>
  <c r="D55" i="27" s="1"/>
  <c r="D56" i="27" s="1"/>
  <c r="D57" i="27" s="1"/>
  <c r="D58" i="27" s="1"/>
  <c r="D59" i="27" s="1"/>
  <c r="D60" i="27" s="1"/>
  <c r="D61" i="27" s="1"/>
  <c r="D62" i="27" s="1"/>
  <c r="D63" i="27" s="1"/>
  <c r="D64" i="27" s="1"/>
  <c r="G105" i="22" l="1"/>
  <c r="G133" i="22"/>
  <c r="G111" i="22" l="1"/>
  <c r="G127" i="22"/>
  <c r="G112" i="22"/>
  <c r="G118" i="22"/>
  <c r="G121" i="22"/>
  <c r="G108" i="22" l="1"/>
  <c r="G101" i="22" l="1"/>
  <c r="G62" i="22" l="1"/>
  <c r="G90" i="22" l="1"/>
  <c r="G99" i="22"/>
  <c r="G81" i="22" l="1"/>
  <c r="G32" i="22"/>
  <c r="G11" i="22"/>
  <c r="G82" i="22" l="1"/>
  <c r="G79" i="22" l="1"/>
  <c r="G70" i="22"/>
  <c r="E66" i="22" l="1"/>
  <c r="G29" i="22" l="1"/>
  <c r="G43" i="22"/>
  <c r="G59" i="22"/>
  <c r="G50" i="22"/>
  <c r="G34" i="22" l="1"/>
  <c r="G22" i="22" l="1"/>
  <c r="G5" i="22" l="1"/>
  <c r="G16" i="22" l="1"/>
  <c r="G55" i="11" l="1"/>
  <c r="J113" i="11" l="1"/>
  <c r="G99" i="11"/>
  <c r="G120" i="11" l="1"/>
  <c r="G6" i="22"/>
  <c r="G123" i="11" l="1"/>
  <c r="D5" i="22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100" i="22" s="1"/>
  <c r="D101" i="22" s="1"/>
  <c r="D102" i="22" s="1"/>
  <c r="D103" i="22" s="1"/>
  <c r="D104" i="22" s="1"/>
  <c r="D105" i="22" s="1"/>
  <c r="D106" i="22" s="1"/>
  <c r="D107" i="22" s="1"/>
  <c r="D108" i="22" s="1"/>
  <c r="D109" i="22" s="1"/>
  <c r="D110" i="22" s="1"/>
  <c r="D111" i="22" s="1"/>
  <c r="D112" i="22" s="1"/>
  <c r="D113" i="22" s="1"/>
  <c r="D114" i="22" s="1"/>
  <c r="D115" i="22" s="1"/>
  <c r="D116" i="22" s="1"/>
  <c r="D117" i="22" s="1"/>
  <c r="D118" i="22" s="1"/>
  <c r="D119" i="22" s="1"/>
  <c r="D120" i="22" s="1"/>
  <c r="D121" i="22" s="1"/>
  <c r="D122" i="22" s="1"/>
  <c r="D123" i="22" s="1"/>
  <c r="D124" i="22" s="1"/>
  <c r="D125" i="22" s="1"/>
  <c r="D126" i="22" s="1"/>
  <c r="D127" i="22" s="1"/>
  <c r="D128" i="22" s="1"/>
  <c r="D129" i="22" s="1"/>
  <c r="D130" i="22" s="1"/>
  <c r="D131" i="22" s="1"/>
  <c r="D132" i="22" s="1"/>
  <c r="D133" i="22" s="1"/>
  <c r="J112" i="11" l="1"/>
  <c r="G112" i="11"/>
  <c r="G106" i="11" l="1"/>
  <c r="G100" i="11"/>
  <c r="G90" i="11"/>
  <c r="G105" i="11" l="1"/>
  <c r="G111" i="11" l="1"/>
  <c r="G89" i="11" l="1"/>
  <c r="G85" i="11" l="1"/>
  <c r="G84" i="11"/>
  <c r="G83" i="11" l="1"/>
  <c r="G81" i="11"/>
  <c r="G70" i="11" l="1"/>
  <c r="G60" i="11" l="1"/>
  <c r="G41" i="11" l="1"/>
  <c r="G50" i="11" l="1"/>
  <c r="G61" i="11"/>
  <c r="G49" i="11"/>
  <c r="G21" i="11"/>
  <c r="G24" i="11"/>
  <c r="G37" i="11"/>
  <c r="G54" i="11" l="1"/>
  <c r="G38" i="11" l="1"/>
  <c r="G23" i="11" l="1"/>
  <c r="G22" i="11" l="1"/>
  <c r="G7" i="11"/>
  <c r="E104" i="14" l="1"/>
  <c r="D5" i="11" l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G103" i="14"/>
  <c r="D55" i="11" l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G105" i="14"/>
  <c r="G91" i="14"/>
  <c r="G88" i="14"/>
  <c r="G92" i="14" l="1"/>
  <c r="G43" i="14"/>
  <c r="G27" i="14"/>
  <c r="G11" i="14"/>
  <c r="G10" i="14"/>
  <c r="G79" i="13"/>
  <c r="G89" i="14" l="1"/>
  <c r="G74" i="14"/>
  <c r="G83" i="14" l="1"/>
  <c r="G80" i="14"/>
  <c r="G73" i="14"/>
  <c r="G69" i="14"/>
  <c r="G68" i="14"/>
  <c r="G79" i="14" l="1"/>
  <c r="G77" i="14"/>
  <c r="G52" i="14" l="1"/>
  <c r="G67" i="14" l="1"/>
  <c r="G49" i="14"/>
  <c r="G54" i="14" l="1"/>
  <c r="G31" i="14" l="1"/>
  <c r="G45" i="14" l="1"/>
  <c r="G34" i="14"/>
  <c r="G28" i="14"/>
  <c r="G21" i="14"/>
  <c r="G41" i="14" l="1"/>
  <c r="G37" i="14" l="1"/>
  <c r="G6" i="14" l="1"/>
  <c r="G14" i="14"/>
  <c r="G97" i="13"/>
  <c r="G87" i="13"/>
  <c r="G108" i="13" l="1"/>
  <c r="G85" i="13"/>
  <c r="G101" i="13" l="1"/>
  <c r="G103" i="13"/>
  <c r="G96" i="13" l="1"/>
  <c r="G93" i="13" l="1"/>
  <c r="G61" i="13" l="1"/>
  <c r="G77" i="13"/>
  <c r="G70" i="13" l="1"/>
  <c r="G67" i="13" l="1"/>
  <c r="G45" i="13" l="1"/>
  <c r="G29" i="13" l="1"/>
  <c r="G21" i="13"/>
  <c r="G33" i="13" l="1"/>
  <c r="G46" i="13"/>
  <c r="G24" i="13" l="1"/>
  <c r="G49" i="13"/>
  <c r="G50" i="13"/>
  <c r="G51" i="13"/>
  <c r="G52" i="13"/>
  <c r="G53" i="13"/>
  <c r="G54" i="13"/>
  <c r="G55" i="13"/>
  <c r="G56" i="13"/>
  <c r="G47" i="13"/>
  <c r="G48" i="13"/>
  <c r="G35" i="13"/>
  <c r="G36" i="13"/>
  <c r="G37" i="13"/>
  <c r="G38" i="13"/>
  <c r="G39" i="13"/>
  <c r="G40" i="13"/>
  <c r="G41" i="13"/>
  <c r="G42" i="13"/>
  <c r="G43" i="13"/>
  <c r="G44" i="13"/>
  <c r="G26" i="13" l="1"/>
  <c r="G19" i="13"/>
  <c r="G99" i="10"/>
  <c r="J98" i="10" l="1"/>
  <c r="G4" i="13" l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20" i="13"/>
  <c r="G22" i="13"/>
  <c r="G23" i="13"/>
  <c r="G25" i="13"/>
  <c r="G27" i="13"/>
  <c r="G28" i="13"/>
  <c r="G30" i="13"/>
  <c r="G31" i="13"/>
  <c r="G32" i="13"/>
  <c r="D8" i="13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G73" i="10" l="1"/>
  <c r="G91" i="10"/>
  <c r="G88" i="10" l="1"/>
  <c r="G135" i="31" l="1"/>
  <c r="G138" i="31"/>
  <c r="G90" i="31" l="1"/>
  <c r="G91" i="31"/>
  <c r="G92" i="31"/>
  <c r="G93" i="31"/>
  <c r="G94" i="31"/>
  <c r="G95" i="31"/>
  <c r="G96" i="31"/>
  <c r="G97" i="31"/>
  <c r="D91" i="31"/>
  <c r="D92" i="31" s="1"/>
  <c r="D93" i="31" s="1"/>
  <c r="D94" i="31" s="1"/>
  <c r="D95" i="31" s="1"/>
  <c r="D96" i="31" s="1"/>
  <c r="D97" i="31" s="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24" i="31"/>
  <c r="G125" i="31"/>
  <c r="G126" i="31"/>
  <c r="D99" i="31"/>
  <c r="D100" i="31" s="1"/>
  <c r="D101" i="31" s="1"/>
  <c r="D102" i="31" s="1"/>
  <c r="D103" i="31" s="1"/>
  <c r="D104" i="31" s="1"/>
  <c r="D105" i="31" s="1"/>
  <c r="D106" i="31" s="1"/>
  <c r="D107" i="31" s="1"/>
  <c r="D108" i="31" s="1"/>
  <c r="D109" i="31" s="1"/>
  <c r="D110" i="31" s="1"/>
  <c r="D111" i="31" s="1"/>
  <c r="D112" i="31" s="1"/>
  <c r="D113" i="31" s="1"/>
  <c r="D114" i="31" s="1"/>
  <c r="D115" i="31" s="1"/>
  <c r="D116" i="31" s="1"/>
  <c r="D117" i="31" s="1"/>
  <c r="D118" i="31" s="1"/>
  <c r="D119" i="31" s="1"/>
  <c r="D120" i="31" s="1"/>
  <c r="D121" i="31" s="1"/>
  <c r="D122" i="31" s="1"/>
  <c r="D123" i="31" s="1"/>
  <c r="D124" i="31" s="1"/>
  <c r="D125" i="31" s="1"/>
  <c r="D126" i="31" s="1"/>
  <c r="D127" i="31" s="1"/>
  <c r="G10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33" i="31" l="1"/>
  <c r="D129" i="31"/>
  <c r="D130" i="31" s="1"/>
  <c r="D131" i="31" s="1"/>
  <c r="G134" i="31" l="1"/>
  <c r="G136" i="31"/>
  <c r="G137" i="31"/>
  <c r="D133" i="31"/>
  <c r="D134" i="31" s="1"/>
  <c r="D135" i="31" s="1"/>
  <c r="D136" i="31" s="1"/>
  <c r="D137" i="31" s="1"/>
  <c r="D138" i="31" s="1"/>
  <c r="D139" i="31" s="1"/>
  <c r="D140" i="31" s="1"/>
  <c r="D141" i="31" s="1"/>
  <c r="D142" i="31" s="1"/>
  <c r="D143" i="31" s="1"/>
  <c r="D144" i="31" s="1"/>
  <c r="D145" i="31" s="1"/>
  <c r="G127" i="31"/>
  <c r="G128" i="31"/>
  <c r="G129" i="31"/>
  <c r="G130" i="31"/>
  <c r="G131" i="31"/>
  <c r="G132" i="31"/>
  <c r="G58" i="10" l="1"/>
  <c r="J50" i="10" l="1"/>
  <c r="G38" i="10"/>
  <c r="G30" i="10"/>
  <c r="J18" i="10" l="1"/>
  <c r="G18" i="10"/>
  <c r="J35" i="10"/>
  <c r="G117" i="8" l="1"/>
  <c r="G123" i="8"/>
  <c r="G87" i="8"/>
  <c r="G81" i="6"/>
  <c r="J12" i="10"/>
  <c r="G98" i="8"/>
  <c r="G11" i="10"/>
  <c r="G4" i="10"/>
  <c r="G5" i="10"/>
  <c r="G6" i="10"/>
  <c r="G7" i="10"/>
  <c r="G8" i="10"/>
  <c r="G9" i="10"/>
  <c r="G10" i="10"/>
  <c r="G12" i="10"/>
  <c r="G13" i="10"/>
  <c r="G14" i="10"/>
  <c r="G15" i="10"/>
  <c r="G16" i="10"/>
  <c r="G17" i="10"/>
  <c r="G19" i="10"/>
  <c r="G20" i="10"/>
  <c r="G21" i="10"/>
  <c r="G22" i="10"/>
  <c r="G23" i="10"/>
  <c r="G24" i="10"/>
  <c r="G25" i="10"/>
  <c r="G26" i="10"/>
  <c r="G27" i="10"/>
  <c r="G28" i="10"/>
  <c r="G29" i="10"/>
  <c r="G31" i="10"/>
  <c r="G32" i="10"/>
  <c r="G33" i="10"/>
  <c r="G34" i="10"/>
  <c r="G35" i="10"/>
  <c r="G36" i="10"/>
  <c r="G37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G96" i="8" l="1"/>
  <c r="G23" i="8"/>
  <c r="G74" i="8"/>
  <c r="G84" i="8"/>
  <c r="G72" i="8"/>
  <c r="G59" i="8"/>
  <c r="G52" i="8" l="1"/>
  <c r="G31" i="8" l="1"/>
  <c r="J37" i="8" l="1"/>
  <c r="G32" i="8"/>
  <c r="G38" i="8"/>
  <c r="G29" i="8"/>
  <c r="G34" i="8"/>
  <c r="J21" i="8"/>
  <c r="G78" i="2" l="1"/>
  <c r="G118" i="4"/>
  <c r="G56" i="4"/>
  <c r="G49" i="4"/>
  <c r="G30" i="4"/>
  <c r="G95" i="2" l="1"/>
  <c r="G93" i="4"/>
  <c r="G87" i="4"/>
  <c r="G75" i="4"/>
  <c r="G64" i="4"/>
  <c r="G41" i="4"/>
  <c r="G115" i="6" l="1"/>
  <c r="G13" i="8" l="1"/>
  <c r="G130" i="6"/>
  <c r="G120" i="6"/>
  <c r="G95" i="6"/>
  <c r="J4" i="8" l="1"/>
  <c r="J132" i="6"/>
  <c r="G4" i="8"/>
  <c r="J128" i="6"/>
  <c r="G107" i="8"/>
  <c r="G66" i="8"/>
  <c r="G67" i="8"/>
  <c r="G68" i="8"/>
  <c r="G69" i="8"/>
  <c r="G70" i="8"/>
  <c r="G71" i="8"/>
  <c r="G73" i="8"/>
  <c r="J119" i="6" l="1"/>
  <c r="J113" i="6"/>
  <c r="G92" i="6"/>
  <c r="J107" i="6"/>
  <c r="G96" i="6"/>
  <c r="G61" i="6"/>
  <c r="E73" i="4"/>
  <c r="G73" i="4" s="1"/>
  <c r="G80" i="6"/>
  <c r="G84" i="6" l="1"/>
  <c r="G73" i="6" l="1"/>
  <c r="G62" i="6"/>
  <c r="G63" i="6"/>
  <c r="G71" i="4"/>
  <c r="G98" i="4"/>
  <c r="G58" i="6"/>
  <c r="G41" i="6"/>
  <c r="G29" i="6"/>
  <c r="G4" i="6"/>
  <c r="G107" i="4"/>
  <c r="G18" i="6"/>
  <c r="G23" i="6" l="1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4" i="6"/>
  <c r="G25" i="6"/>
  <c r="G26" i="6"/>
  <c r="G27" i="6"/>
  <c r="G28" i="6"/>
  <c r="G30" i="6"/>
  <c r="G31" i="6"/>
  <c r="G32" i="6"/>
  <c r="G33" i="6"/>
  <c r="G34" i="6"/>
  <c r="G35" i="6"/>
  <c r="G36" i="6"/>
  <c r="G37" i="6"/>
  <c r="G38" i="6"/>
  <c r="G39" i="6"/>
  <c r="G40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9" i="6"/>
  <c r="G60" i="6"/>
  <c r="G64" i="6"/>
  <c r="G65" i="6"/>
  <c r="G66" i="6"/>
  <c r="G67" i="6"/>
  <c r="G68" i="6"/>
  <c r="G69" i="6"/>
  <c r="G70" i="6"/>
  <c r="G71" i="6"/>
  <c r="G72" i="6"/>
  <c r="G74" i="6"/>
  <c r="G75" i="6"/>
  <c r="G76" i="6"/>
  <c r="G77" i="6"/>
  <c r="G78" i="6"/>
  <c r="G79" i="6"/>
  <c r="G82" i="6"/>
  <c r="G83" i="6"/>
  <c r="G85" i="6"/>
  <c r="G86" i="6"/>
  <c r="G87" i="6"/>
  <c r="G88" i="6"/>
  <c r="G89" i="6"/>
  <c r="G90" i="6"/>
  <c r="G91" i="6"/>
  <c r="G93" i="6"/>
  <c r="G94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6" i="6"/>
  <c r="G117" i="6"/>
  <c r="G118" i="6"/>
  <c r="G119" i="6"/>
  <c r="G121" i="6"/>
  <c r="G122" i="6"/>
  <c r="G123" i="6"/>
  <c r="G124" i="6"/>
  <c r="G125" i="6"/>
  <c r="G126" i="6"/>
  <c r="G127" i="6"/>
  <c r="G128" i="6"/>
  <c r="G129" i="6"/>
  <c r="G131" i="6"/>
  <c r="G132" i="6"/>
  <c r="G133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G94" i="4" l="1"/>
  <c r="G124" i="4"/>
  <c r="G87" i="2" l="1"/>
  <c r="G90" i="2"/>
  <c r="G76" i="2"/>
  <c r="G60" i="2" l="1"/>
  <c r="G33" i="2"/>
  <c r="G43" i="4" l="1"/>
  <c r="G29" i="4"/>
  <c r="G35" i="4"/>
  <c r="G33" i="4"/>
  <c r="G16" i="4" l="1"/>
  <c r="G4" i="4"/>
  <c r="G17" i="4"/>
  <c r="G18" i="4"/>
  <c r="G19" i="4"/>
  <c r="G20" i="4"/>
  <c r="G21" i="4"/>
  <c r="G22" i="4"/>
  <c r="G23" i="4"/>
  <c r="G24" i="4"/>
  <c r="G25" i="4"/>
  <c r="G26" i="4"/>
  <c r="G27" i="4"/>
  <c r="G28" i="4"/>
  <c r="G31" i="4"/>
  <c r="G32" i="4"/>
  <c r="G34" i="4"/>
  <c r="G36" i="4"/>
  <c r="G37" i="4"/>
  <c r="G38" i="4"/>
  <c r="G39" i="4"/>
  <c r="G40" i="4"/>
  <c r="G42" i="4"/>
  <c r="G44" i="4"/>
  <c r="G45" i="4"/>
  <c r="G46" i="4"/>
  <c r="G47" i="4"/>
  <c r="G48" i="4"/>
  <c r="G50" i="4"/>
  <c r="G51" i="4"/>
  <c r="G52" i="4"/>
  <c r="G53" i="4"/>
  <c r="G54" i="4"/>
  <c r="G55" i="4"/>
  <c r="G57" i="4"/>
  <c r="G58" i="4"/>
  <c r="G59" i="4"/>
  <c r="G60" i="4"/>
  <c r="G61" i="4"/>
  <c r="G62" i="4"/>
  <c r="G63" i="4"/>
  <c r="G65" i="4"/>
  <c r="G66" i="4"/>
  <c r="G67" i="4"/>
  <c r="G68" i="4"/>
  <c r="G69" i="4"/>
  <c r="G70" i="4"/>
  <c r="G72" i="4"/>
  <c r="G74" i="4"/>
  <c r="G76" i="4"/>
  <c r="G77" i="4"/>
  <c r="G78" i="4"/>
  <c r="G79" i="4"/>
  <c r="G80" i="4"/>
  <c r="G81" i="4"/>
  <c r="G82" i="4"/>
  <c r="G83" i="4"/>
  <c r="G84" i="4"/>
  <c r="G85" i="4"/>
  <c r="G86" i="4"/>
  <c r="G88" i="4"/>
  <c r="G89" i="4"/>
  <c r="G90" i="4"/>
  <c r="G91" i="4"/>
  <c r="G92" i="4"/>
  <c r="G95" i="4"/>
  <c r="G96" i="4"/>
  <c r="G97" i="4"/>
  <c r="G99" i="4"/>
  <c r="G100" i="4"/>
  <c r="G101" i="4"/>
  <c r="G102" i="4"/>
  <c r="G103" i="4"/>
  <c r="G104" i="4"/>
  <c r="G105" i="4"/>
  <c r="G106" i="4"/>
  <c r="G108" i="4"/>
  <c r="G109" i="4"/>
  <c r="G110" i="4"/>
  <c r="G111" i="4"/>
  <c r="G112" i="4"/>
  <c r="G113" i="4"/>
  <c r="G11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G5" i="4"/>
  <c r="G6" i="4"/>
  <c r="G7" i="4"/>
  <c r="G8" i="4"/>
  <c r="G9" i="4"/>
  <c r="G10" i="4"/>
  <c r="G11" i="4"/>
  <c r="G12" i="4"/>
  <c r="G13" i="4"/>
  <c r="G14" i="4"/>
  <c r="G15" i="4"/>
  <c r="G52" i="2"/>
  <c r="G27" i="2"/>
  <c r="G20" i="2"/>
  <c r="G8" i="2"/>
  <c r="G6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O46" i="30" l="1"/>
  <c r="T19" i="30" l="1"/>
  <c r="GZ45" i="28"/>
  <c r="O16" i="28" l="1"/>
  <c r="G162" i="31" l="1"/>
  <c r="G161" i="31"/>
  <c r="G160" i="31"/>
  <c r="G159" i="31"/>
  <c r="G158" i="31"/>
  <c r="G157" i="31"/>
  <c r="G156" i="31"/>
  <c r="G155" i="31"/>
  <c r="G154" i="31"/>
  <c r="G153" i="31"/>
  <c r="G140" i="31"/>
  <c r="G139" i="31"/>
  <c r="G123" i="31"/>
  <c r="I94" i="30"/>
  <c r="H94" i="30"/>
  <c r="G94" i="30"/>
  <c r="F94" i="30"/>
  <c r="E94" i="30"/>
  <c r="D94" i="30"/>
  <c r="C94" i="30"/>
  <c r="B94" i="30"/>
  <c r="I93" i="30"/>
  <c r="H93" i="30"/>
  <c r="G93" i="30"/>
  <c r="F93" i="30"/>
  <c r="E93" i="30"/>
  <c r="D93" i="30"/>
  <c r="C93" i="30"/>
  <c r="B93" i="30"/>
  <c r="I92" i="30"/>
  <c r="H92" i="30"/>
  <c r="G92" i="30"/>
  <c r="F92" i="30"/>
  <c r="E92" i="30"/>
  <c r="D92" i="30"/>
  <c r="C92" i="30"/>
  <c r="B92" i="30"/>
  <c r="GZ85" i="30"/>
  <c r="GU85" i="30"/>
  <c r="GS85" i="30"/>
  <c r="GR85" i="30"/>
  <c r="GQ85" i="30"/>
  <c r="GP85" i="30"/>
  <c r="GO85" i="30"/>
  <c r="GN85" i="30"/>
  <c r="GM85" i="30"/>
  <c r="GL85" i="30"/>
  <c r="GK85" i="30"/>
  <c r="GJ85" i="30"/>
  <c r="GI85" i="30"/>
  <c r="GH85" i="30"/>
  <c r="GG85" i="30"/>
  <c r="GF85" i="30"/>
  <c r="GE85" i="30"/>
  <c r="GD85" i="30"/>
  <c r="GC85" i="30"/>
  <c r="GB85" i="30"/>
  <c r="GA85" i="30"/>
  <c r="FZ85" i="30"/>
  <c r="FY85" i="30"/>
  <c r="FX85" i="30"/>
  <c r="FW85" i="30"/>
  <c r="FV85" i="30"/>
  <c r="FU85" i="30"/>
  <c r="FT85" i="30"/>
  <c r="FS85" i="30"/>
  <c r="FR85" i="30"/>
  <c r="FQ85" i="30"/>
  <c r="FP85" i="30"/>
  <c r="FO85" i="30"/>
  <c r="FN85" i="30"/>
  <c r="FM85" i="30"/>
  <c r="FL85" i="30"/>
  <c r="FK85" i="30"/>
  <c r="FJ85" i="30"/>
  <c r="FI85" i="30"/>
  <c r="FH85" i="30"/>
  <c r="FG85" i="30"/>
  <c r="FF85" i="30"/>
  <c r="FE85" i="30"/>
  <c r="FD85" i="30"/>
  <c r="FC85" i="30"/>
  <c r="FB85" i="30"/>
  <c r="FA85" i="30"/>
  <c r="EZ85" i="30"/>
  <c r="EY85" i="30"/>
  <c r="EX85" i="30"/>
  <c r="EW85" i="30"/>
  <c r="EV85" i="30"/>
  <c r="EU85" i="30"/>
  <c r="ET85" i="30"/>
  <c r="ES85" i="30"/>
  <c r="ER85" i="30"/>
  <c r="EQ85" i="30"/>
  <c r="EP85" i="30"/>
  <c r="EO85" i="30"/>
  <c r="EN85" i="30"/>
  <c r="EM85" i="30"/>
  <c r="EL85" i="30"/>
  <c r="EK85" i="30"/>
  <c r="EJ85" i="30"/>
  <c r="EI85" i="30"/>
  <c r="EH85" i="30"/>
  <c r="EG85" i="30"/>
  <c r="EF85" i="30"/>
  <c r="EE85" i="30"/>
  <c r="ED85" i="30"/>
  <c r="EC85" i="30"/>
  <c r="EB85" i="30"/>
  <c r="EA85" i="30"/>
  <c r="DZ85" i="30"/>
  <c r="DY85" i="30"/>
  <c r="DX85" i="30"/>
  <c r="DW85" i="30"/>
  <c r="DV85" i="30"/>
  <c r="DU85" i="30"/>
  <c r="DT85" i="30"/>
  <c r="DS85" i="30"/>
  <c r="DR85" i="30"/>
  <c r="DQ85" i="30"/>
  <c r="DP85" i="30"/>
  <c r="DO85" i="30"/>
  <c r="DN85" i="30"/>
  <c r="DM85" i="30"/>
  <c r="DL85" i="30"/>
  <c r="DK85" i="30"/>
  <c r="DJ85" i="30"/>
  <c r="DI85" i="30"/>
  <c r="DH85" i="30"/>
  <c r="DG85" i="30"/>
  <c r="DF85" i="30"/>
  <c r="DE85" i="30"/>
  <c r="DD85" i="30"/>
  <c r="DC85" i="30"/>
  <c r="DB85" i="30"/>
  <c r="DA85" i="30"/>
  <c r="CZ85" i="30"/>
  <c r="CY85" i="30"/>
  <c r="CX85" i="30"/>
  <c r="CW85" i="30"/>
  <c r="CV85" i="30"/>
  <c r="CU85" i="30"/>
  <c r="CT85" i="30"/>
  <c r="CS85" i="30"/>
  <c r="CR85" i="30"/>
  <c r="CQ85" i="30"/>
  <c r="CP85" i="30"/>
  <c r="CO85" i="30"/>
  <c r="CN85" i="30"/>
  <c r="CM85" i="30"/>
  <c r="CL85" i="30"/>
  <c r="CK85" i="30"/>
  <c r="CJ85" i="30"/>
  <c r="CI85" i="30"/>
  <c r="CH85" i="30"/>
  <c r="CG85" i="30"/>
  <c r="CF85" i="30"/>
  <c r="CE85" i="30"/>
  <c r="CD85" i="30"/>
  <c r="CC85" i="30"/>
  <c r="CB85" i="30"/>
  <c r="CA85" i="30"/>
  <c r="BZ85" i="30"/>
  <c r="BY85" i="30"/>
  <c r="BX85" i="30"/>
  <c r="BW85" i="30"/>
  <c r="BV85" i="30"/>
  <c r="BU85" i="30"/>
  <c r="BT85" i="30"/>
  <c r="BS85" i="30"/>
  <c r="BR85" i="30"/>
  <c r="BQ85" i="30"/>
  <c r="BP85" i="30"/>
  <c r="BO85" i="30"/>
  <c r="BN85" i="30"/>
  <c r="BM85" i="30"/>
  <c r="BL85" i="30"/>
  <c r="BK85" i="30"/>
  <c r="BJ85" i="30"/>
  <c r="BI85" i="30"/>
  <c r="BH85" i="30"/>
  <c r="BG85" i="30"/>
  <c r="BF85" i="30"/>
  <c r="BE85" i="30"/>
  <c r="BD85" i="30"/>
  <c r="BC85" i="30"/>
  <c r="BB85" i="30"/>
  <c r="BA85" i="30"/>
  <c r="AZ85" i="30"/>
  <c r="AY85" i="30"/>
  <c r="AX85" i="30"/>
  <c r="AW85" i="30"/>
  <c r="AV85" i="30"/>
  <c r="AU85" i="30"/>
  <c r="AT85" i="30"/>
  <c r="AS85" i="30"/>
  <c r="AR85" i="30"/>
  <c r="AQ85" i="30"/>
  <c r="AP85" i="30"/>
  <c r="AO85" i="30"/>
  <c r="AN85" i="30"/>
  <c r="AM85" i="30"/>
  <c r="AL85" i="30"/>
  <c r="AK85" i="30"/>
  <c r="AJ85" i="30"/>
  <c r="AI85" i="30"/>
  <c r="AH85" i="30"/>
  <c r="AG85" i="30"/>
  <c r="AF85" i="30"/>
  <c r="AE85" i="30"/>
  <c r="AD85" i="30"/>
  <c r="AC85" i="30"/>
  <c r="AB85" i="30"/>
  <c r="AA85" i="30"/>
  <c r="Z85" i="30"/>
  <c r="Y85" i="30"/>
  <c r="X85" i="30"/>
  <c r="W85" i="30"/>
  <c r="R85" i="30"/>
  <c r="T84" i="30"/>
  <c r="T83" i="30"/>
  <c r="T82" i="30"/>
  <c r="T80" i="30"/>
  <c r="T79" i="30"/>
  <c r="T78" i="30"/>
  <c r="T77" i="30"/>
  <c r="P77" i="30"/>
  <c r="T76" i="30"/>
  <c r="P76" i="30"/>
  <c r="T75" i="30"/>
  <c r="P75" i="30"/>
  <c r="T74" i="30"/>
  <c r="P74" i="30"/>
  <c r="T73" i="30"/>
  <c r="P73" i="30"/>
  <c r="T72" i="30"/>
  <c r="P72" i="30"/>
  <c r="T71" i="30"/>
  <c r="P71" i="30"/>
  <c r="T70" i="30"/>
  <c r="P70" i="30"/>
  <c r="T69" i="30"/>
  <c r="P69" i="30"/>
  <c r="T68" i="30"/>
  <c r="P68" i="30"/>
  <c r="T67" i="30"/>
  <c r="P67" i="30"/>
  <c r="T66" i="30"/>
  <c r="P66" i="30"/>
  <c r="T65" i="30"/>
  <c r="P65" i="30"/>
  <c r="T64" i="30"/>
  <c r="P64" i="30"/>
  <c r="T63" i="30"/>
  <c r="P63" i="30"/>
  <c r="T62" i="30"/>
  <c r="P62" i="30"/>
  <c r="T61" i="30"/>
  <c r="P61" i="30"/>
  <c r="T60" i="30"/>
  <c r="P60" i="30"/>
  <c r="T59" i="30"/>
  <c r="P59" i="30"/>
  <c r="T58" i="30"/>
  <c r="P58" i="30"/>
  <c r="T57" i="30"/>
  <c r="P57" i="30"/>
  <c r="T56" i="30"/>
  <c r="P56" i="30"/>
  <c r="T55" i="30"/>
  <c r="P55" i="30"/>
  <c r="T54" i="30"/>
  <c r="P54" i="30"/>
  <c r="T53" i="30"/>
  <c r="P53" i="30"/>
  <c r="T52" i="30"/>
  <c r="P52" i="30"/>
  <c r="T51" i="30"/>
  <c r="P51" i="30"/>
  <c r="T50" i="30"/>
  <c r="P50" i="30"/>
  <c r="T49" i="30"/>
  <c r="P49" i="30"/>
  <c r="T48" i="30"/>
  <c r="P48" i="30"/>
  <c r="T47" i="30"/>
  <c r="P47" i="30"/>
  <c r="T46" i="30"/>
  <c r="P46" i="30"/>
  <c r="T45" i="30"/>
  <c r="P45" i="30"/>
  <c r="T44" i="30"/>
  <c r="P44" i="30"/>
  <c r="T43" i="30"/>
  <c r="P43" i="30"/>
  <c r="T42" i="30"/>
  <c r="P42" i="30"/>
  <c r="T41" i="30"/>
  <c r="P41" i="30"/>
  <c r="T40" i="30"/>
  <c r="P40" i="30"/>
  <c r="T39" i="30"/>
  <c r="P39" i="30"/>
  <c r="T38" i="30"/>
  <c r="P38" i="30"/>
  <c r="T37" i="30"/>
  <c r="P37" i="30"/>
  <c r="T36" i="30"/>
  <c r="P36" i="30"/>
  <c r="T35" i="30"/>
  <c r="P35" i="30"/>
  <c r="T34" i="30"/>
  <c r="P34" i="30"/>
  <c r="T33" i="30"/>
  <c r="P33" i="30"/>
  <c r="T32" i="30"/>
  <c r="P32" i="30"/>
  <c r="T31" i="30"/>
  <c r="P31" i="30"/>
  <c r="T30" i="30"/>
  <c r="P30" i="30"/>
  <c r="T29" i="30"/>
  <c r="P29" i="30"/>
  <c r="T28" i="30"/>
  <c r="P28" i="30"/>
  <c r="I28" i="30"/>
  <c r="H28" i="30"/>
  <c r="G28" i="30"/>
  <c r="F28" i="30"/>
  <c r="E28" i="30"/>
  <c r="D28" i="30"/>
  <c r="C28" i="30"/>
  <c r="B28" i="30"/>
  <c r="T27" i="30"/>
  <c r="P27" i="30"/>
  <c r="T26" i="30"/>
  <c r="P26" i="30"/>
  <c r="T25" i="30"/>
  <c r="P25" i="30"/>
  <c r="P24" i="30"/>
  <c r="T23" i="30"/>
  <c r="P23" i="30"/>
  <c r="T22" i="30"/>
  <c r="P22" i="30"/>
  <c r="T21" i="30"/>
  <c r="P21" i="30"/>
  <c r="T20" i="30"/>
  <c r="P20" i="30"/>
  <c r="O81" i="30"/>
  <c r="T81" i="30" s="1"/>
  <c r="T18" i="30"/>
  <c r="P18" i="30"/>
  <c r="T17" i="30"/>
  <c r="P17" i="30"/>
  <c r="T16" i="30"/>
  <c r="P16" i="30"/>
  <c r="T15" i="30"/>
  <c r="P15" i="30"/>
  <c r="T14" i="30"/>
  <c r="P14" i="30"/>
  <c r="T13" i="30"/>
  <c r="P13" i="30"/>
  <c r="T12" i="30"/>
  <c r="P12" i="30"/>
  <c r="T11" i="30"/>
  <c r="P11" i="30"/>
  <c r="T10" i="30"/>
  <c r="P10" i="30"/>
  <c r="T9" i="30"/>
  <c r="P9" i="30"/>
  <c r="T8" i="30"/>
  <c r="P8" i="30"/>
  <c r="T7" i="30"/>
  <c r="P7" i="30"/>
  <c r="T6" i="30"/>
  <c r="P6" i="30"/>
  <c r="T5" i="30"/>
  <c r="P5" i="30"/>
  <c r="T4" i="30"/>
  <c r="P4" i="30"/>
  <c r="I3" i="30"/>
  <c r="H3" i="30"/>
  <c r="G3" i="30"/>
  <c r="F3" i="30"/>
  <c r="E3" i="30"/>
  <c r="D3" i="30"/>
  <c r="C3" i="30"/>
  <c r="B3" i="30"/>
  <c r="AF1" i="30"/>
  <c r="AO1" i="30" s="1"/>
  <c r="AX1" i="30" s="1"/>
  <c r="BG1" i="30" s="1"/>
  <c r="BP1" i="30" s="1"/>
  <c r="BY1" i="30" s="1"/>
  <c r="CH1" i="30" s="1"/>
  <c r="CQ1" i="30" s="1"/>
  <c r="CZ1" i="30" s="1"/>
  <c r="DI1" i="30" s="1"/>
  <c r="DR1" i="30" s="1"/>
  <c r="EA1" i="30" s="1"/>
  <c r="EJ1" i="30" s="1"/>
  <c r="ES1" i="30" s="1"/>
  <c r="FB1" i="30" s="1"/>
  <c r="FK1" i="30" s="1"/>
  <c r="FT1" i="30" s="1"/>
  <c r="GC1" i="30" s="1"/>
  <c r="GL1" i="30" s="1"/>
  <c r="AD1" i="30"/>
  <c r="AM1" i="30" s="1"/>
  <c r="AV1" i="30" s="1"/>
  <c r="BE1" i="30" s="1"/>
  <c r="BN1" i="30" s="1"/>
  <c r="BW1" i="30" s="1"/>
  <c r="CF1" i="30" s="1"/>
  <c r="CO1" i="30" s="1"/>
  <c r="CX1" i="30" s="1"/>
  <c r="DG1" i="30" s="1"/>
  <c r="DP1" i="30" s="1"/>
  <c r="DY1" i="30" s="1"/>
  <c r="EH1" i="30" s="1"/>
  <c r="EQ1" i="30" s="1"/>
  <c r="EZ1" i="30" s="1"/>
  <c r="FI1" i="30" s="1"/>
  <c r="FR1" i="30" s="1"/>
  <c r="GA1" i="30" s="1"/>
  <c r="GJ1" i="30" s="1"/>
  <c r="GS1" i="30" s="1"/>
  <c r="G163" i="31" l="1"/>
  <c r="T85" i="30"/>
  <c r="T88" i="30" s="1"/>
  <c r="P19" i="30"/>
  <c r="T32" i="28"/>
  <c r="P32" i="28"/>
  <c r="T31" i="28"/>
  <c r="P31" i="28"/>
  <c r="O19" i="28" l="1"/>
  <c r="T19" i="28" s="1"/>
  <c r="GZ46" i="26" l="1"/>
  <c r="G121" i="29" l="1"/>
  <c r="G120" i="29"/>
  <c r="G118" i="29"/>
  <c r="G116" i="29"/>
  <c r="G115" i="29"/>
  <c r="G114" i="29"/>
  <c r="G112" i="29"/>
  <c r="G111" i="29"/>
  <c r="G110" i="29"/>
  <c r="G109" i="29"/>
  <c r="G107" i="29"/>
  <c r="G106" i="29"/>
  <c r="G105" i="29"/>
  <c r="G104" i="29"/>
  <c r="G102" i="29"/>
  <c r="G101" i="29"/>
  <c r="G100" i="29"/>
  <c r="G99" i="29"/>
  <c r="G98" i="29"/>
  <c r="G97" i="29"/>
  <c r="G95" i="29"/>
  <c r="G94" i="29"/>
  <c r="G93" i="29"/>
  <c r="G92" i="29"/>
  <c r="G91" i="29"/>
  <c r="G89" i="29"/>
  <c r="G88" i="29"/>
  <c r="G86" i="29"/>
  <c r="G85" i="29"/>
  <c r="G84" i="29"/>
  <c r="G83" i="29"/>
  <c r="G82" i="29"/>
  <c r="G81" i="29"/>
  <c r="G80" i="29"/>
  <c r="G79" i="29"/>
  <c r="G78" i="29"/>
  <c r="G77" i="29"/>
  <c r="G75" i="29"/>
  <c r="G72" i="29"/>
  <c r="G71" i="29"/>
  <c r="G70" i="29"/>
  <c r="G68" i="29"/>
  <c r="G66" i="29"/>
  <c r="G65" i="29"/>
  <c r="G62" i="29"/>
  <c r="G60" i="29"/>
  <c r="G59" i="29"/>
  <c r="G58" i="29"/>
  <c r="G57" i="29"/>
  <c r="G55" i="29"/>
  <c r="G54" i="29"/>
  <c r="G53" i="29"/>
  <c r="G52" i="29"/>
  <c r="G49" i="29"/>
  <c r="G48" i="29"/>
  <c r="G47" i="29"/>
  <c r="G45" i="29"/>
  <c r="G44" i="29"/>
  <c r="G43" i="29"/>
  <c r="G41" i="29"/>
  <c r="G40" i="29"/>
  <c r="G39" i="29"/>
  <c r="G38" i="29"/>
  <c r="G37" i="29"/>
  <c r="G35" i="29"/>
  <c r="G33" i="29"/>
  <c r="G32" i="29"/>
  <c r="G31" i="29"/>
  <c r="G29" i="29"/>
  <c r="G28" i="29"/>
  <c r="G27" i="29"/>
  <c r="G26" i="29"/>
  <c r="G25" i="29"/>
  <c r="G24" i="29"/>
  <c r="G23" i="29"/>
  <c r="G22" i="29"/>
  <c r="G21" i="29"/>
  <c r="G20" i="29"/>
  <c r="G19" i="29"/>
  <c r="G17" i="29"/>
  <c r="G16" i="29"/>
  <c r="G15" i="29"/>
  <c r="G14" i="29"/>
  <c r="G13" i="29"/>
  <c r="G11" i="29"/>
  <c r="G10" i="29"/>
  <c r="G9" i="29"/>
  <c r="G8" i="29"/>
  <c r="G7" i="29"/>
  <c r="G6" i="29"/>
  <c r="G4" i="29"/>
  <c r="I94" i="28"/>
  <c r="H94" i="28"/>
  <c r="G94" i="28"/>
  <c r="F94" i="28"/>
  <c r="E94" i="28"/>
  <c r="D94" i="28"/>
  <c r="C94" i="28"/>
  <c r="B94" i="28"/>
  <c r="I93" i="28"/>
  <c r="H93" i="28"/>
  <c r="G93" i="28"/>
  <c r="F93" i="28"/>
  <c r="E93" i="28"/>
  <c r="D93" i="28"/>
  <c r="C93" i="28"/>
  <c r="B93" i="28"/>
  <c r="I92" i="28"/>
  <c r="H92" i="28"/>
  <c r="G92" i="28"/>
  <c r="F92" i="28"/>
  <c r="E92" i="28"/>
  <c r="D92" i="28"/>
  <c r="C92" i="28"/>
  <c r="B92" i="28"/>
  <c r="GZ85" i="28"/>
  <c r="GU85" i="28"/>
  <c r="GS85" i="28"/>
  <c r="GR85" i="28"/>
  <c r="GQ85" i="28"/>
  <c r="GP85" i="28"/>
  <c r="GO85" i="28"/>
  <c r="GN85" i="28"/>
  <c r="GM85" i="28"/>
  <c r="GL85" i="28"/>
  <c r="GK85" i="28"/>
  <c r="GJ85" i="28"/>
  <c r="GI85" i="28"/>
  <c r="GH85" i="28"/>
  <c r="GG85" i="28"/>
  <c r="GF85" i="28"/>
  <c r="GE85" i="28"/>
  <c r="GD85" i="28"/>
  <c r="GC85" i="28"/>
  <c r="GB85" i="28"/>
  <c r="GA85" i="28"/>
  <c r="FZ85" i="28"/>
  <c r="FY85" i="28"/>
  <c r="FX85" i="28"/>
  <c r="FW85" i="28"/>
  <c r="FV85" i="28"/>
  <c r="FU85" i="28"/>
  <c r="FT85" i="28"/>
  <c r="FS85" i="28"/>
  <c r="FR85" i="28"/>
  <c r="FQ85" i="28"/>
  <c r="FP85" i="28"/>
  <c r="FO85" i="28"/>
  <c r="FN85" i="28"/>
  <c r="FM85" i="28"/>
  <c r="FL85" i="28"/>
  <c r="FK85" i="28"/>
  <c r="FJ85" i="28"/>
  <c r="FI85" i="28"/>
  <c r="FH85" i="28"/>
  <c r="FG85" i="28"/>
  <c r="FF85" i="28"/>
  <c r="FE85" i="28"/>
  <c r="FD85" i="28"/>
  <c r="FC85" i="28"/>
  <c r="FB85" i="28"/>
  <c r="FA85" i="28"/>
  <c r="EZ85" i="28"/>
  <c r="EY85" i="28"/>
  <c r="EX85" i="28"/>
  <c r="EW85" i="28"/>
  <c r="EV85" i="28"/>
  <c r="EU85" i="28"/>
  <c r="ET85" i="28"/>
  <c r="ES85" i="28"/>
  <c r="ER85" i="28"/>
  <c r="EQ85" i="28"/>
  <c r="EP85" i="28"/>
  <c r="EO85" i="28"/>
  <c r="EN85" i="28"/>
  <c r="EM85" i="28"/>
  <c r="EL85" i="28"/>
  <c r="EK85" i="28"/>
  <c r="EJ85" i="28"/>
  <c r="EI85" i="28"/>
  <c r="EH85" i="28"/>
  <c r="EG85" i="28"/>
  <c r="EF85" i="28"/>
  <c r="EE85" i="28"/>
  <c r="ED85" i="28"/>
  <c r="EC85" i="28"/>
  <c r="EB85" i="28"/>
  <c r="EA85" i="28"/>
  <c r="DZ85" i="28"/>
  <c r="DY85" i="28"/>
  <c r="DX85" i="28"/>
  <c r="DW85" i="28"/>
  <c r="DV85" i="28"/>
  <c r="DU85" i="28"/>
  <c r="DT85" i="28"/>
  <c r="DS85" i="28"/>
  <c r="DR85" i="28"/>
  <c r="DQ85" i="28"/>
  <c r="DP85" i="28"/>
  <c r="DO85" i="28"/>
  <c r="DN85" i="28"/>
  <c r="DM85" i="28"/>
  <c r="DL85" i="28"/>
  <c r="DK85" i="28"/>
  <c r="DJ85" i="28"/>
  <c r="DI85" i="28"/>
  <c r="DH85" i="28"/>
  <c r="DG85" i="28"/>
  <c r="DF85" i="28"/>
  <c r="DE85" i="28"/>
  <c r="DD85" i="28"/>
  <c r="DC85" i="28"/>
  <c r="DB85" i="28"/>
  <c r="DA85" i="28"/>
  <c r="CZ85" i="28"/>
  <c r="CY85" i="28"/>
  <c r="CX85" i="28"/>
  <c r="CW85" i="28"/>
  <c r="CV85" i="28"/>
  <c r="CU85" i="28"/>
  <c r="CT85" i="28"/>
  <c r="CS85" i="28"/>
  <c r="CR85" i="28"/>
  <c r="CQ85" i="28"/>
  <c r="CP85" i="28"/>
  <c r="CO85" i="28"/>
  <c r="CN85" i="28"/>
  <c r="CM85" i="28"/>
  <c r="CL85" i="28"/>
  <c r="CK85" i="28"/>
  <c r="CJ85" i="28"/>
  <c r="CI85" i="28"/>
  <c r="CH85" i="28"/>
  <c r="CG85" i="28"/>
  <c r="CF85" i="28"/>
  <c r="CE85" i="28"/>
  <c r="CD85" i="28"/>
  <c r="CC85" i="28"/>
  <c r="CB85" i="28"/>
  <c r="CA85" i="28"/>
  <c r="BZ85" i="28"/>
  <c r="BY85" i="28"/>
  <c r="BX85" i="28"/>
  <c r="BW85" i="28"/>
  <c r="BV85" i="28"/>
  <c r="BU85" i="28"/>
  <c r="BT85" i="28"/>
  <c r="BS85" i="28"/>
  <c r="BR85" i="28"/>
  <c r="BQ85" i="28"/>
  <c r="BP85" i="28"/>
  <c r="BO85" i="28"/>
  <c r="BN85" i="28"/>
  <c r="BM85" i="28"/>
  <c r="BL85" i="28"/>
  <c r="BK85" i="28"/>
  <c r="BJ85" i="28"/>
  <c r="BI85" i="28"/>
  <c r="BH85" i="28"/>
  <c r="BG85" i="28"/>
  <c r="BF85" i="28"/>
  <c r="BE85" i="28"/>
  <c r="BD85" i="28"/>
  <c r="BC85" i="28"/>
  <c r="BB85" i="28"/>
  <c r="BA85" i="28"/>
  <c r="AZ85" i="28"/>
  <c r="AY85" i="28"/>
  <c r="AX85" i="28"/>
  <c r="AW85" i="28"/>
  <c r="AV85" i="28"/>
  <c r="AU85" i="28"/>
  <c r="AT85" i="28"/>
  <c r="AS85" i="28"/>
  <c r="AR85" i="28"/>
  <c r="AQ85" i="28"/>
  <c r="AP85" i="28"/>
  <c r="AO85" i="28"/>
  <c r="AN85" i="28"/>
  <c r="AM85" i="28"/>
  <c r="AL85" i="28"/>
  <c r="AK85" i="28"/>
  <c r="AJ85" i="28"/>
  <c r="AI85" i="28"/>
  <c r="AH85" i="28"/>
  <c r="AG85" i="28"/>
  <c r="AF85" i="28"/>
  <c r="AE85" i="28"/>
  <c r="AD85" i="28"/>
  <c r="AC85" i="28"/>
  <c r="AB85" i="28"/>
  <c r="AA85" i="28"/>
  <c r="Z85" i="28"/>
  <c r="Y85" i="28"/>
  <c r="X85" i="28"/>
  <c r="W85" i="28"/>
  <c r="R85" i="28"/>
  <c r="T84" i="28"/>
  <c r="T83" i="28"/>
  <c r="T82" i="28"/>
  <c r="O81" i="28"/>
  <c r="T81" i="28" s="1"/>
  <c r="T80" i="28"/>
  <c r="T79" i="28"/>
  <c r="T78" i="28"/>
  <c r="T77" i="28"/>
  <c r="P77" i="28"/>
  <c r="T76" i="28"/>
  <c r="P76" i="28"/>
  <c r="T75" i="28"/>
  <c r="P75" i="28"/>
  <c r="T74" i="28"/>
  <c r="P74" i="28"/>
  <c r="T73" i="28"/>
  <c r="P73" i="28"/>
  <c r="T72" i="28"/>
  <c r="P72" i="28"/>
  <c r="T71" i="28"/>
  <c r="P71" i="28"/>
  <c r="T70" i="28"/>
  <c r="P70" i="28"/>
  <c r="T69" i="28"/>
  <c r="P69" i="28"/>
  <c r="T68" i="28"/>
  <c r="P68" i="28"/>
  <c r="T67" i="28"/>
  <c r="P67" i="28"/>
  <c r="T66" i="28"/>
  <c r="P66" i="28"/>
  <c r="T65" i="28"/>
  <c r="P65" i="28"/>
  <c r="T64" i="28"/>
  <c r="P64" i="28"/>
  <c r="T63" i="28"/>
  <c r="P63" i="28"/>
  <c r="T62" i="28"/>
  <c r="P62" i="28"/>
  <c r="T61" i="28"/>
  <c r="P61" i="28"/>
  <c r="T60" i="28"/>
  <c r="P60" i="28"/>
  <c r="T59" i="28"/>
  <c r="P59" i="28"/>
  <c r="T58" i="28"/>
  <c r="P58" i="28"/>
  <c r="T57" i="28"/>
  <c r="P57" i="28"/>
  <c r="T56" i="28"/>
  <c r="P56" i="28"/>
  <c r="T55" i="28"/>
  <c r="P55" i="28"/>
  <c r="T54" i="28"/>
  <c r="P54" i="28"/>
  <c r="T53" i="28"/>
  <c r="P53" i="28"/>
  <c r="T52" i="28"/>
  <c r="P52" i="28"/>
  <c r="T51" i="28"/>
  <c r="P51" i="28"/>
  <c r="T50" i="28"/>
  <c r="P50" i="28"/>
  <c r="T49" i="28"/>
  <c r="P49" i="28"/>
  <c r="T48" i="28"/>
  <c r="P48" i="28"/>
  <c r="T47" i="28"/>
  <c r="P47" i="28"/>
  <c r="T46" i="28"/>
  <c r="P46" i="28"/>
  <c r="T45" i="28"/>
  <c r="P45" i="28"/>
  <c r="T44" i="28"/>
  <c r="P44" i="28"/>
  <c r="T43" i="28"/>
  <c r="P43" i="28"/>
  <c r="T42" i="28"/>
  <c r="P42" i="28"/>
  <c r="T41" i="28"/>
  <c r="P41" i="28"/>
  <c r="T40" i="28"/>
  <c r="P40" i="28"/>
  <c r="T39" i="28"/>
  <c r="P39" i="28"/>
  <c r="T38" i="28"/>
  <c r="P38" i="28"/>
  <c r="T37" i="28"/>
  <c r="P37" i="28"/>
  <c r="T36" i="28"/>
  <c r="P36" i="28"/>
  <c r="T35" i="28"/>
  <c r="P35" i="28"/>
  <c r="T34" i="28"/>
  <c r="P34" i="28"/>
  <c r="T33" i="28"/>
  <c r="P33" i="28"/>
  <c r="T30" i="28"/>
  <c r="P30" i="28"/>
  <c r="T29" i="28"/>
  <c r="P29" i="28"/>
  <c r="T28" i="28"/>
  <c r="P28" i="28"/>
  <c r="I28" i="28"/>
  <c r="H28" i="28"/>
  <c r="G28" i="28"/>
  <c r="F28" i="28"/>
  <c r="E28" i="28"/>
  <c r="D28" i="28"/>
  <c r="C28" i="28"/>
  <c r="B28" i="28"/>
  <c r="T27" i="28"/>
  <c r="P27" i="28"/>
  <c r="T26" i="28"/>
  <c r="P26" i="28"/>
  <c r="T25" i="28"/>
  <c r="P25" i="28"/>
  <c r="T24" i="28"/>
  <c r="P24" i="28"/>
  <c r="T23" i="28"/>
  <c r="P23" i="28"/>
  <c r="T22" i="28"/>
  <c r="P22" i="28"/>
  <c r="T21" i="28"/>
  <c r="P21" i="28"/>
  <c r="T20" i="28"/>
  <c r="P20" i="28"/>
  <c r="P19" i="28"/>
  <c r="T18" i="28"/>
  <c r="P18" i="28"/>
  <c r="T17" i="28"/>
  <c r="P17" i="28"/>
  <c r="T16" i="28"/>
  <c r="P16" i="28"/>
  <c r="T15" i="28"/>
  <c r="P15" i="28"/>
  <c r="T14" i="28"/>
  <c r="P14" i="28"/>
  <c r="T13" i="28"/>
  <c r="P13" i="28"/>
  <c r="T12" i="28"/>
  <c r="P12" i="28"/>
  <c r="T11" i="28"/>
  <c r="P11" i="28"/>
  <c r="T10" i="28"/>
  <c r="P10" i="28"/>
  <c r="T9" i="28"/>
  <c r="P9" i="28"/>
  <c r="T8" i="28"/>
  <c r="P8" i="28"/>
  <c r="T7" i="28"/>
  <c r="P7" i="28"/>
  <c r="T6" i="28"/>
  <c r="P6" i="28"/>
  <c r="T5" i="28"/>
  <c r="P5" i="28"/>
  <c r="T4" i="28"/>
  <c r="P4" i="28"/>
  <c r="I3" i="28"/>
  <c r="H3" i="28"/>
  <c r="G3" i="28"/>
  <c r="F3" i="28"/>
  <c r="E3" i="28"/>
  <c r="D3" i="28"/>
  <c r="C3" i="28"/>
  <c r="B3" i="28"/>
  <c r="AF1" i="28"/>
  <c r="AO1" i="28" s="1"/>
  <c r="AX1" i="28" s="1"/>
  <c r="BG1" i="28" s="1"/>
  <c r="BP1" i="28" s="1"/>
  <c r="BY1" i="28" s="1"/>
  <c r="CH1" i="28" s="1"/>
  <c r="CQ1" i="28" s="1"/>
  <c r="CZ1" i="28" s="1"/>
  <c r="DI1" i="28" s="1"/>
  <c r="DR1" i="28" s="1"/>
  <c r="EA1" i="28" s="1"/>
  <c r="EJ1" i="28" s="1"/>
  <c r="ES1" i="28" s="1"/>
  <c r="FB1" i="28" s="1"/>
  <c r="FK1" i="28" s="1"/>
  <c r="FT1" i="28" s="1"/>
  <c r="GC1" i="28" s="1"/>
  <c r="GL1" i="28" s="1"/>
  <c r="AD1" i="28"/>
  <c r="AM1" i="28" s="1"/>
  <c r="AV1" i="28" s="1"/>
  <c r="BE1" i="28" s="1"/>
  <c r="BN1" i="28" s="1"/>
  <c r="BW1" i="28" s="1"/>
  <c r="CF1" i="28" s="1"/>
  <c r="CO1" i="28" s="1"/>
  <c r="CX1" i="28" s="1"/>
  <c r="DG1" i="28" s="1"/>
  <c r="DP1" i="28" s="1"/>
  <c r="DY1" i="28" s="1"/>
  <c r="EH1" i="28" s="1"/>
  <c r="EQ1" i="28" s="1"/>
  <c r="EZ1" i="28" s="1"/>
  <c r="FI1" i="28" s="1"/>
  <c r="FR1" i="28" s="1"/>
  <c r="GA1" i="28" s="1"/>
  <c r="GJ1" i="28" s="1"/>
  <c r="GS1" i="28" s="1"/>
  <c r="G126" i="29" l="1"/>
  <c r="T85" i="28"/>
  <c r="T88" i="28" s="1"/>
  <c r="T12" i="26"/>
  <c r="G9" i="27" l="1"/>
  <c r="G10" i="27"/>
  <c r="G11" i="27"/>
  <c r="G12" i="27"/>
  <c r="W7" i="26" l="1"/>
  <c r="O7" i="26"/>
  <c r="O31" i="21" l="1"/>
  <c r="O28" i="21"/>
  <c r="P20" i="26" l="1"/>
  <c r="T12" i="21" l="1"/>
  <c r="G15" i="27" l="1"/>
  <c r="G14" i="27"/>
  <c r="G13" i="27"/>
  <c r="G8" i="27"/>
  <c r="G7" i="27"/>
  <c r="I92" i="26"/>
  <c r="H92" i="26"/>
  <c r="G92" i="26"/>
  <c r="F92" i="26"/>
  <c r="E92" i="26"/>
  <c r="D92" i="26"/>
  <c r="C92" i="26"/>
  <c r="B92" i="26"/>
  <c r="I91" i="26"/>
  <c r="H91" i="26"/>
  <c r="G91" i="26"/>
  <c r="F91" i="26"/>
  <c r="E91" i="26"/>
  <c r="D91" i="26"/>
  <c r="C91" i="26"/>
  <c r="B91" i="26"/>
  <c r="I90" i="26"/>
  <c r="H90" i="26"/>
  <c r="G90" i="26"/>
  <c r="F90" i="26"/>
  <c r="E90" i="26"/>
  <c r="D90" i="26"/>
  <c r="C90" i="26"/>
  <c r="B90" i="26"/>
  <c r="GZ83" i="26"/>
  <c r="GU83" i="26"/>
  <c r="GS83" i="26"/>
  <c r="GR83" i="26"/>
  <c r="GQ83" i="26"/>
  <c r="GP83" i="26"/>
  <c r="GO83" i="26"/>
  <c r="GN83" i="26"/>
  <c r="GM83" i="26"/>
  <c r="GL83" i="26"/>
  <c r="GK83" i="26"/>
  <c r="GJ83" i="26"/>
  <c r="GI83" i="26"/>
  <c r="GH83" i="26"/>
  <c r="GG83" i="26"/>
  <c r="GF83" i="26"/>
  <c r="GE83" i="26"/>
  <c r="GD83" i="26"/>
  <c r="GC83" i="26"/>
  <c r="GB83" i="26"/>
  <c r="GA83" i="26"/>
  <c r="FZ83" i="26"/>
  <c r="FY83" i="26"/>
  <c r="FX83" i="26"/>
  <c r="FW83" i="26"/>
  <c r="FV83" i="26"/>
  <c r="FU83" i="26"/>
  <c r="FT83" i="26"/>
  <c r="FS83" i="26"/>
  <c r="FR83" i="26"/>
  <c r="FQ83" i="26"/>
  <c r="FP83" i="26"/>
  <c r="FO83" i="26"/>
  <c r="FN83" i="26"/>
  <c r="FM83" i="26"/>
  <c r="FL83" i="26"/>
  <c r="FK83" i="26"/>
  <c r="FJ83" i="26"/>
  <c r="FI83" i="26"/>
  <c r="FH83" i="26"/>
  <c r="FG83" i="26"/>
  <c r="FF83" i="26"/>
  <c r="FE83" i="26"/>
  <c r="FD83" i="26"/>
  <c r="FC83" i="26"/>
  <c r="FB83" i="26"/>
  <c r="FA83" i="26"/>
  <c r="EZ83" i="26"/>
  <c r="EY83" i="26"/>
  <c r="EX83" i="26"/>
  <c r="EW83" i="26"/>
  <c r="EV83" i="26"/>
  <c r="EU83" i="26"/>
  <c r="ET83" i="26"/>
  <c r="ES83" i="26"/>
  <c r="ER83" i="26"/>
  <c r="EQ83" i="26"/>
  <c r="EP83" i="26"/>
  <c r="EO83" i="26"/>
  <c r="EN83" i="26"/>
  <c r="EM83" i="26"/>
  <c r="EL83" i="26"/>
  <c r="EK83" i="26"/>
  <c r="EJ83" i="26"/>
  <c r="EI83" i="26"/>
  <c r="EH83" i="26"/>
  <c r="EG83" i="26"/>
  <c r="EF83" i="26"/>
  <c r="EE83" i="26"/>
  <c r="ED83" i="26"/>
  <c r="EC83" i="26"/>
  <c r="EB83" i="26"/>
  <c r="EA83" i="26"/>
  <c r="DZ83" i="26"/>
  <c r="DY83" i="26"/>
  <c r="DX83" i="26"/>
  <c r="DW83" i="26"/>
  <c r="DV83" i="26"/>
  <c r="DU83" i="26"/>
  <c r="DT83" i="26"/>
  <c r="DS83" i="26"/>
  <c r="DR83" i="26"/>
  <c r="DQ83" i="26"/>
  <c r="DP83" i="26"/>
  <c r="DO83" i="26"/>
  <c r="DN83" i="26"/>
  <c r="DM83" i="26"/>
  <c r="DL83" i="26"/>
  <c r="DK83" i="26"/>
  <c r="DJ83" i="26"/>
  <c r="DI83" i="26"/>
  <c r="DH83" i="26"/>
  <c r="DG83" i="26"/>
  <c r="DF83" i="26"/>
  <c r="DE83" i="26"/>
  <c r="DD83" i="26"/>
  <c r="DC83" i="26"/>
  <c r="DB83" i="26"/>
  <c r="DA83" i="26"/>
  <c r="CZ83" i="26"/>
  <c r="CY83" i="26"/>
  <c r="CX83" i="26"/>
  <c r="CW83" i="26"/>
  <c r="CV83" i="26"/>
  <c r="CU83" i="26"/>
  <c r="CT83" i="26"/>
  <c r="CS83" i="26"/>
  <c r="CR83" i="26"/>
  <c r="CQ83" i="26"/>
  <c r="CP83" i="26"/>
  <c r="CO83" i="26"/>
  <c r="CN83" i="26"/>
  <c r="CM83" i="26"/>
  <c r="CL83" i="26"/>
  <c r="CK83" i="26"/>
  <c r="CJ83" i="26"/>
  <c r="CI83" i="26"/>
  <c r="CH83" i="26"/>
  <c r="CG83" i="26"/>
  <c r="CF83" i="26"/>
  <c r="CE83" i="26"/>
  <c r="CD83" i="26"/>
  <c r="CC83" i="26"/>
  <c r="CB83" i="26"/>
  <c r="CA83" i="26"/>
  <c r="BZ83" i="26"/>
  <c r="BY83" i="26"/>
  <c r="BX83" i="26"/>
  <c r="BW83" i="26"/>
  <c r="BV83" i="26"/>
  <c r="BU83" i="26"/>
  <c r="BT83" i="26"/>
  <c r="BS83" i="26"/>
  <c r="BR83" i="26"/>
  <c r="BQ83" i="26"/>
  <c r="BP83" i="26"/>
  <c r="BO83" i="26"/>
  <c r="BN83" i="26"/>
  <c r="BM83" i="26"/>
  <c r="BL83" i="26"/>
  <c r="BK83" i="26"/>
  <c r="BJ83" i="26"/>
  <c r="BI83" i="26"/>
  <c r="BH83" i="26"/>
  <c r="BG83" i="26"/>
  <c r="BF83" i="26"/>
  <c r="BE83" i="26"/>
  <c r="BD83" i="26"/>
  <c r="BC83" i="26"/>
  <c r="BB83" i="26"/>
  <c r="BA83" i="26"/>
  <c r="AZ83" i="26"/>
  <c r="AY83" i="26"/>
  <c r="AX83" i="26"/>
  <c r="AW83" i="26"/>
  <c r="AV83" i="26"/>
  <c r="AU83" i="26"/>
  <c r="AT83" i="26"/>
  <c r="AS83" i="26"/>
  <c r="AR83" i="26"/>
  <c r="AQ83" i="26"/>
  <c r="AP83" i="26"/>
  <c r="AO83" i="26"/>
  <c r="AN83" i="26"/>
  <c r="AM83" i="26"/>
  <c r="AL83" i="26"/>
  <c r="AK83" i="26"/>
  <c r="AJ83" i="26"/>
  <c r="AI83" i="26"/>
  <c r="AH83" i="26"/>
  <c r="AG83" i="26"/>
  <c r="AF83" i="26"/>
  <c r="AE83" i="26"/>
  <c r="AD83" i="26"/>
  <c r="AC83" i="26"/>
  <c r="AB83" i="26"/>
  <c r="AA83" i="26"/>
  <c r="Z83" i="26"/>
  <c r="Y83" i="26"/>
  <c r="X83" i="26"/>
  <c r="W83" i="26"/>
  <c r="R83" i="26"/>
  <c r="T82" i="26"/>
  <c r="T81" i="26"/>
  <c r="T80" i="26"/>
  <c r="O79" i="26"/>
  <c r="T79" i="26" s="1"/>
  <c r="T78" i="26"/>
  <c r="T77" i="26"/>
  <c r="T76" i="26"/>
  <c r="T75" i="26"/>
  <c r="P75" i="26"/>
  <c r="T74" i="26"/>
  <c r="P74" i="26"/>
  <c r="T73" i="26"/>
  <c r="P73" i="26"/>
  <c r="T72" i="26"/>
  <c r="P72" i="26"/>
  <c r="T71" i="26"/>
  <c r="P71" i="26"/>
  <c r="T70" i="26"/>
  <c r="P70" i="26"/>
  <c r="T69" i="26"/>
  <c r="P69" i="26"/>
  <c r="T68" i="26"/>
  <c r="P68" i="26"/>
  <c r="T67" i="26"/>
  <c r="P67" i="26"/>
  <c r="T66" i="26"/>
  <c r="P66" i="26"/>
  <c r="T65" i="26"/>
  <c r="P65" i="26"/>
  <c r="T64" i="26"/>
  <c r="P64" i="26"/>
  <c r="T63" i="26"/>
  <c r="P63" i="26"/>
  <c r="T62" i="26"/>
  <c r="P62" i="26"/>
  <c r="T61" i="26"/>
  <c r="P61" i="26"/>
  <c r="T60" i="26"/>
  <c r="P60" i="26"/>
  <c r="T59" i="26"/>
  <c r="P59" i="26"/>
  <c r="T58" i="26"/>
  <c r="P58" i="26"/>
  <c r="T57" i="26"/>
  <c r="P57" i="26"/>
  <c r="T56" i="26"/>
  <c r="P56" i="26"/>
  <c r="T55" i="26"/>
  <c r="P55" i="26"/>
  <c r="T54" i="26"/>
  <c r="P54" i="26"/>
  <c r="T53" i="26"/>
  <c r="P53" i="26"/>
  <c r="T52" i="26"/>
  <c r="P52" i="26"/>
  <c r="T51" i="26"/>
  <c r="P51" i="26"/>
  <c r="T50" i="26"/>
  <c r="P50" i="26"/>
  <c r="T49" i="26"/>
  <c r="P49" i="26"/>
  <c r="T48" i="26"/>
  <c r="P48" i="26"/>
  <c r="T47" i="26"/>
  <c r="P47" i="26"/>
  <c r="T46" i="26"/>
  <c r="P46" i="26"/>
  <c r="T45" i="26"/>
  <c r="P45" i="26"/>
  <c r="T44" i="26"/>
  <c r="P44" i="26"/>
  <c r="T43" i="26"/>
  <c r="P43" i="26"/>
  <c r="T42" i="26"/>
  <c r="P42" i="26"/>
  <c r="T41" i="26"/>
  <c r="P41" i="26"/>
  <c r="T40" i="26"/>
  <c r="P40" i="26"/>
  <c r="T39" i="26"/>
  <c r="P39" i="26"/>
  <c r="T38" i="26"/>
  <c r="P38" i="26"/>
  <c r="T37" i="26"/>
  <c r="P37" i="26"/>
  <c r="T36" i="26"/>
  <c r="P36" i="26"/>
  <c r="T35" i="26"/>
  <c r="P35" i="26"/>
  <c r="T34" i="26"/>
  <c r="P34" i="26"/>
  <c r="T33" i="26"/>
  <c r="P33" i="26"/>
  <c r="T32" i="26"/>
  <c r="P32" i="26"/>
  <c r="T31" i="26"/>
  <c r="P31" i="26"/>
  <c r="T30" i="26"/>
  <c r="P30" i="26"/>
  <c r="T29" i="26"/>
  <c r="P29" i="26"/>
  <c r="T28" i="26"/>
  <c r="P28" i="26"/>
  <c r="I28" i="26"/>
  <c r="H28" i="26"/>
  <c r="G28" i="26"/>
  <c r="F28" i="26"/>
  <c r="E28" i="26"/>
  <c r="D28" i="26"/>
  <c r="C28" i="26"/>
  <c r="B28" i="26"/>
  <c r="T27" i="26"/>
  <c r="P27" i="26"/>
  <c r="T26" i="26"/>
  <c r="P26" i="26"/>
  <c r="T25" i="26"/>
  <c r="P25" i="26"/>
  <c r="T24" i="26"/>
  <c r="P24" i="26"/>
  <c r="T23" i="26"/>
  <c r="P23" i="26"/>
  <c r="T22" i="26"/>
  <c r="P22" i="26"/>
  <c r="T21" i="26"/>
  <c r="P21" i="26"/>
  <c r="T20" i="26"/>
  <c r="T19" i="26"/>
  <c r="P19" i="26"/>
  <c r="T18" i="26"/>
  <c r="P18" i="26"/>
  <c r="T17" i="26"/>
  <c r="P17" i="26"/>
  <c r="T16" i="26"/>
  <c r="P16" i="26"/>
  <c r="T15" i="26"/>
  <c r="P15" i="26"/>
  <c r="T14" i="26"/>
  <c r="P14" i="26"/>
  <c r="T13" i="26"/>
  <c r="P13" i="26"/>
  <c r="P12" i="26"/>
  <c r="T11" i="26"/>
  <c r="P11" i="26"/>
  <c r="T10" i="26"/>
  <c r="P10" i="26"/>
  <c r="T9" i="26"/>
  <c r="P9" i="26"/>
  <c r="T8" i="26"/>
  <c r="P8" i="26"/>
  <c r="T7" i="26"/>
  <c r="P7" i="26"/>
  <c r="T6" i="26"/>
  <c r="P6" i="26"/>
  <c r="T5" i="26"/>
  <c r="P5" i="26"/>
  <c r="T4" i="26"/>
  <c r="P4" i="26"/>
  <c r="I3" i="26"/>
  <c r="H3" i="26"/>
  <c r="G3" i="26"/>
  <c r="F3" i="26"/>
  <c r="E3" i="26"/>
  <c r="D3" i="26"/>
  <c r="C3" i="26"/>
  <c r="B3" i="26"/>
  <c r="AF1" i="26"/>
  <c r="AO1" i="26" s="1"/>
  <c r="AX1" i="26" s="1"/>
  <c r="BG1" i="26" s="1"/>
  <c r="BP1" i="26" s="1"/>
  <c r="BY1" i="26" s="1"/>
  <c r="CH1" i="26" s="1"/>
  <c r="CQ1" i="26" s="1"/>
  <c r="CZ1" i="26" s="1"/>
  <c r="DI1" i="26" s="1"/>
  <c r="DR1" i="26" s="1"/>
  <c r="EA1" i="26" s="1"/>
  <c r="EJ1" i="26" s="1"/>
  <c r="ES1" i="26" s="1"/>
  <c r="FB1" i="26" s="1"/>
  <c r="FK1" i="26" s="1"/>
  <c r="FT1" i="26" s="1"/>
  <c r="GC1" i="26" s="1"/>
  <c r="GL1" i="26" s="1"/>
  <c r="AD1" i="26"/>
  <c r="AM1" i="26" s="1"/>
  <c r="AV1" i="26" s="1"/>
  <c r="BE1" i="26" s="1"/>
  <c r="BN1" i="26" s="1"/>
  <c r="BW1" i="26" s="1"/>
  <c r="CF1" i="26" s="1"/>
  <c r="CO1" i="26" s="1"/>
  <c r="CX1" i="26" s="1"/>
  <c r="DG1" i="26" s="1"/>
  <c r="DP1" i="26" s="1"/>
  <c r="DY1" i="26" s="1"/>
  <c r="EH1" i="26" s="1"/>
  <c r="EQ1" i="26" s="1"/>
  <c r="EZ1" i="26" s="1"/>
  <c r="FI1" i="26" s="1"/>
  <c r="FR1" i="26" s="1"/>
  <c r="GA1" i="26" s="1"/>
  <c r="GJ1" i="26" s="1"/>
  <c r="GS1" i="26" s="1"/>
  <c r="G131" i="27" l="1"/>
  <c r="T83" i="26"/>
  <c r="T86" i="26" s="1"/>
  <c r="P6" i="21"/>
  <c r="P7" i="21"/>
  <c r="T6" i="21"/>
  <c r="T7" i="21"/>
  <c r="T8" i="21"/>
  <c r="T9" i="21"/>
  <c r="GZ43" i="15" l="1"/>
  <c r="O36" i="15" l="1"/>
  <c r="O20" i="15" l="1"/>
  <c r="T20" i="15" s="1"/>
  <c r="P20" i="15" l="1"/>
  <c r="O21" i="15"/>
  <c r="O18" i="15"/>
  <c r="O17" i="15"/>
  <c r="O15" i="15"/>
  <c r="T12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G136" i="22" l="1"/>
  <c r="G135" i="22"/>
  <c r="G134" i="22"/>
  <c r="G132" i="22"/>
  <c r="G131" i="22"/>
  <c r="G130" i="22"/>
  <c r="G128" i="22"/>
  <c r="G126" i="22"/>
  <c r="G125" i="22"/>
  <c r="G123" i="22"/>
  <c r="G120" i="22"/>
  <c r="G119" i="22"/>
  <c r="G117" i="22"/>
  <c r="G116" i="22"/>
  <c r="G114" i="22"/>
  <c r="G113" i="22"/>
  <c r="G110" i="22"/>
  <c r="G106" i="22"/>
  <c r="G104" i="22"/>
  <c r="G103" i="22"/>
  <c r="G102" i="22"/>
  <c r="G100" i="22"/>
  <c r="G98" i="22"/>
  <c r="G97" i="22"/>
  <c r="G96" i="22"/>
  <c r="G95" i="22"/>
  <c r="G94" i="22"/>
  <c r="G93" i="22"/>
  <c r="G92" i="22"/>
  <c r="G91" i="22"/>
  <c r="G89" i="22"/>
  <c r="G88" i="22"/>
  <c r="G87" i="22"/>
  <c r="G86" i="22"/>
  <c r="G85" i="22"/>
  <c r="G84" i="22"/>
  <c r="G83" i="22"/>
  <c r="G80" i="22"/>
  <c r="G78" i="22"/>
  <c r="G77" i="22"/>
  <c r="G76" i="22"/>
  <c r="G75" i="22"/>
  <c r="G74" i="22"/>
  <c r="G73" i="22"/>
  <c r="G72" i="22"/>
  <c r="G71" i="22"/>
  <c r="G69" i="22"/>
  <c r="G68" i="22"/>
  <c r="G67" i="22"/>
  <c r="G66" i="22"/>
  <c r="G65" i="22"/>
  <c r="G64" i="22"/>
  <c r="G63" i="22"/>
  <c r="G61" i="22"/>
  <c r="G60" i="22"/>
  <c r="G58" i="22"/>
  <c r="G57" i="22"/>
  <c r="G56" i="22"/>
  <c r="G55" i="22"/>
  <c r="G54" i="22"/>
  <c r="G53" i="22"/>
  <c r="G52" i="22"/>
  <c r="G51" i="22"/>
  <c r="G49" i="22"/>
  <c r="G48" i="22"/>
  <c r="G47" i="22"/>
  <c r="G46" i="22"/>
  <c r="G45" i="22"/>
  <c r="G44" i="22"/>
  <c r="G42" i="22"/>
  <c r="G41" i="22"/>
  <c r="G40" i="22"/>
  <c r="G39" i="22"/>
  <c r="G38" i="22"/>
  <c r="G37" i="22"/>
  <c r="G36" i="22"/>
  <c r="G35" i="22"/>
  <c r="G33" i="22"/>
  <c r="G31" i="22"/>
  <c r="G30" i="22"/>
  <c r="G28" i="22"/>
  <c r="G27" i="22"/>
  <c r="G26" i="22"/>
  <c r="G25" i="22"/>
  <c r="G24" i="22"/>
  <c r="G23" i="22"/>
  <c r="G21" i="22"/>
  <c r="G20" i="22"/>
  <c r="G19" i="22"/>
  <c r="G18" i="22"/>
  <c r="G17" i="22"/>
  <c r="G15" i="22"/>
  <c r="G14" i="22"/>
  <c r="G13" i="22"/>
  <c r="G12" i="22"/>
  <c r="G10" i="22"/>
  <c r="G9" i="22"/>
  <c r="G8" i="22"/>
  <c r="G7" i="22"/>
  <c r="G4" i="22"/>
  <c r="I92" i="21"/>
  <c r="H92" i="21"/>
  <c r="G92" i="21"/>
  <c r="F92" i="21"/>
  <c r="E92" i="21"/>
  <c r="D92" i="21"/>
  <c r="C92" i="21"/>
  <c r="B92" i="21"/>
  <c r="I91" i="21"/>
  <c r="H91" i="21"/>
  <c r="G91" i="21"/>
  <c r="F91" i="21"/>
  <c r="E91" i="21"/>
  <c r="D91" i="21"/>
  <c r="C91" i="21"/>
  <c r="B91" i="21"/>
  <c r="I90" i="21"/>
  <c r="H90" i="21"/>
  <c r="G90" i="21"/>
  <c r="F90" i="21"/>
  <c r="E90" i="21"/>
  <c r="D90" i="21"/>
  <c r="C90" i="21"/>
  <c r="B90" i="21"/>
  <c r="GZ83" i="21"/>
  <c r="GU83" i="21"/>
  <c r="GS83" i="21"/>
  <c r="GR83" i="21"/>
  <c r="GQ83" i="21"/>
  <c r="GP83" i="21"/>
  <c r="GO83" i="21"/>
  <c r="GN83" i="21"/>
  <c r="GM83" i="21"/>
  <c r="GL83" i="21"/>
  <c r="GK83" i="21"/>
  <c r="GJ83" i="21"/>
  <c r="GI83" i="21"/>
  <c r="GH83" i="21"/>
  <c r="GG83" i="21"/>
  <c r="GF83" i="21"/>
  <c r="GE83" i="21"/>
  <c r="GD83" i="21"/>
  <c r="GC83" i="21"/>
  <c r="GB83" i="21"/>
  <c r="GA83" i="21"/>
  <c r="FZ83" i="21"/>
  <c r="FY83" i="21"/>
  <c r="FX83" i="21"/>
  <c r="FW83" i="21"/>
  <c r="FV83" i="21"/>
  <c r="FU83" i="21"/>
  <c r="FT83" i="21"/>
  <c r="FS83" i="21"/>
  <c r="FR83" i="21"/>
  <c r="FQ83" i="21"/>
  <c r="FP83" i="21"/>
  <c r="FO83" i="21"/>
  <c r="FN83" i="21"/>
  <c r="FM83" i="21"/>
  <c r="FL83" i="21"/>
  <c r="FK83" i="21"/>
  <c r="FJ83" i="21"/>
  <c r="FI83" i="21"/>
  <c r="FH83" i="21"/>
  <c r="FG83" i="21"/>
  <c r="FF83" i="21"/>
  <c r="FE83" i="21"/>
  <c r="FD83" i="21"/>
  <c r="FC83" i="21"/>
  <c r="FB83" i="21"/>
  <c r="FA83" i="21"/>
  <c r="EZ83" i="21"/>
  <c r="EY83" i="21"/>
  <c r="EX83" i="21"/>
  <c r="EW83" i="21"/>
  <c r="EV83" i="21"/>
  <c r="EU83" i="21"/>
  <c r="ET83" i="21"/>
  <c r="ES83" i="21"/>
  <c r="ER83" i="21"/>
  <c r="EQ83" i="21"/>
  <c r="EP83" i="21"/>
  <c r="EO83" i="21"/>
  <c r="EN83" i="21"/>
  <c r="EM83" i="21"/>
  <c r="EL83" i="21"/>
  <c r="EK83" i="21"/>
  <c r="EJ83" i="21"/>
  <c r="EI83" i="21"/>
  <c r="EH83" i="21"/>
  <c r="EG83" i="21"/>
  <c r="EF83" i="21"/>
  <c r="EE83" i="21"/>
  <c r="ED83" i="21"/>
  <c r="EC83" i="21"/>
  <c r="EB83" i="21"/>
  <c r="EA83" i="21"/>
  <c r="DZ83" i="21"/>
  <c r="DY83" i="21"/>
  <c r="DX83" i="21"/>
  <c r="DW83" i="21"/>
  <c r="DV83" i="21"/>
  <c r="DU83" i="21"/>
  <c r="DT83" i="21"/>
  <c r="DS83" i="21"/>
  <c r="DR83" i="21"/>
  <c r="DQ83" i="21"/>
  <c r="DP83" i="21"/>
  <c r="DO83" i="21"/>
  <c r="DN83" i="21"/>
  <c r="DM83" i="21"/>
  <c r="DL83" i="21"/>
  <c r="DK83" i="21"/>
  <c r="DJ83" i="21"/>
  <c r="DI83" i="21"/>
  <c r="DH83" i="21"/>
  <c r="DG83" i="21"/>
  <c r="DF83" i="21"/>
  <c r="DE83" i="21"/>
  <c r="DD83" i="21"/>
  <c r="DC83" i="21"/>
  <c r="DB83" i="21"/>
  <c r="DA83" i="21"/>
  <c r="CZ83" i="21"/>
  <c r="CY83" i="21"/>
  <c r="CX83" i="21"/>
  <c r="CW83" i="21"/>
  <c r="CV83" i="21"/>
  <c r="CU83" i="21"/>
  <c r="CT83" i="21"/>
  <c r="CS83" i="21"/>
  <c r="CR83" i="21"/>
  <c r="CQ83" i="21"/>
  <c r="CP83" i="21"/>
  <c r="CO83" i="21"/>
  <c r="CN83" i="21"/>
  <c r="CM83" i="21"/>
  <c r="CL83" i="21"/>
  <c r="CK83" i="21"/>
  <c r="CJ83" i="21"/>
  <c r="CI83" i="21"/>
  <c r="CH83" i="21"/>
  <c r="CG83" i="21"/>
  <c r="CF83" i="21"/>
  <c r="CE83" i="21"/>
  <c r="CD83" i="21"/>
  <c r="CC83" i="21"/>
  <c r="CB83" i="21"/>
  <c r="CA83" i="21"/>
  <c r="BZ83" i="21"/>
  <c r="BY83" i="21"/>
  <c r="BX83" i="21"/>
  <c r="BW83" i="21"/>
  <c r="BV83" i="21"/>
  <c r="BU83" i="21"/>
  <c r="BT83" i="21"/>
  <c r="BS83" i="21"/>
  <c r="BR83" i="21"/>
  <c r="BQ83" i="21"/>
  <c r="BP83" i="21"/>
  <c r="BO83" i="21"/>
  <c r="BN83" i="21"/>
  <c r="BM83" i="21"/>
  <c r="BL83" i="21"/>
  <c r="BK83" i="21"/>
  <c r="BJ83" i="21"/>
  <c r="BI83" i="21"/>
  <c r="BH83" i="21"/>
  <c r="BG83" i="21"/>
  <c r="BF83" i="21"/>
  <c r="BE83" i="21"/>
  <c r="BD83" i="21"/>
  <c r="BC83" i="21"/>
  <c r="BB83" i="21"/>
  <c r="BA83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R83" i="21"/>
  <c r="T82" i="21"/>
  <c r="T81" i="21"/>
  <c r="T80" i="21"/>
  <c r="T78" i="21"/>
  <c r="T77" i="21"/>
  <c r="T76" i="21"/>
  <c r="T75" i="21"/>
  <c r="P75" i="21"/>
  <c r="T74" i="21"/>
  <c r="P74" i="21"/>
  <c r="T73" i="21"/>
  <c r="P73" i="21"/>
  <c r="T72" i="21"/>
  <c r="P72" i="21"/>
  <c r="T71" i="21"/>
  <c r="P71" i="21"/>
  <c r="T70" i="21"/>
  <c r="P70" i="21"/>
  <c r="T69" i="21"/>
  <c r="P69" i="21"/>
  <c r="T68" i="21"/>
  <c r="P68" i="21"/>
  <c r="T67" i="21"/>
  <c r="P67" i="21"/>
  <c r="T66" i="21"/>
  <c r="P66" i="21"/>
  <c r="T65" i="21"/>
  <c r="P65" i="21"/>
  <c r="T64" i="21"/>
  <c r="P64" i="21"/>
  <c r="T63" i="21"/>
  <c r="P63" i="21"/>
  <c r="T62" i="21"/>
  <c r="P62" i="21"/>
  <c r="T61" i="21"/>
  <c r="P61" i="21"/>
  <c r="T60" i="21"/>
  <c r="P60" i="21"/>
  <c r="T59" i="21"/>
  <c r="P59" i="21"/>
  <c r="T58" i="21"/>
  <c r="P58" i="21"/>
  <c r="T57" i="21"/>
  <c r="P57" i="21"/>
  <c r="T56" i="21"/>
  <c r="P56" i="21"/>
  <c r="T55" i="21"/>
  <c r="P55" i="21"/>
  <c r="T54" i="21"/>
  <c r="P54" i="21"/>
  <c r="T53" i="21"/>
  <c r="P53" i="21"/>
  <c r="T52" i="21"/>
  <c r="P52" i="21"/>
  <c r="T51" i="21"/>
  <c r="P51" i="21"/>
  <c r="T50" i="21"/>
  <c r="P50" i="21"/>
  <c r="T49" i="21"/>
  <c r="P49" i="21"/>
  <c r="T48" i="21"/>
  <c r="P48" i="21"/>
  <c r="T47" i="21"/>
  <c r="P47" i="21"/>
  <c r="T46" i="21"/>
  <c r="P46" i="21"/>
  <c r="T45" i="21"/>
  <c r="P45" i="21"/>
  <c r="T44" i="21"/>
  <c r="P44" i="21"/>
  <c r="T43" i="21"/>
  <c r="P43" i="21"/>
  <c r="T42" i="21"/>
  <c r="P42" i="21"/>
  <c r="T41" i="21"/>
  <c r="P41" i="21"/>
  <c r="T40" i="21"/>
  <c r="P40" i="21"/>
  <c r="T39" i="21"/>
  <c r="P39" i="21"/>
  <c r="T38" i="21"/>
  <c r="P38" i="21"/>
  <c r="T37" i="21"/>
  <c r="P37" i="21"/>
  <c r="T36" i="21"/>
  <c r="P36" i="21"/>
  <c r="T35" i="21"/>
  <c r="P35" i="21"/>
  <c r="T34" i="21"/>
  <c r="P34" i="21"/>
  <c r="T33" i="21"/>
  <c r="P33" i="21"/>
  <c r="T32" i="21"/>
  <c r="P32" i="21"/>
  <c r="T31" i="21"/>
  <c r="P31" i="21"/>
  <c r="T30" i="21"/>
  <c r="P30" i="21"/>
  <c r="T29" i="21"/>
  <c r="P29" i="21"/>
  <c r="T28" i="21"/>
  <c r="P28" i="21"/>
  <c r="I28" i="21"/>
  <c r="H28" i="21"/>
  <c r="G28" i="21"/>
  <c r="F28" i="21"/>
  <c r="E28" i="21"/>
  <c r="D28" i="21"/>
  <c r="C28" i="21"/>
  <c r="B28" i="21"/>
  <c r="T27" i="21"/>
  <c r="P27" i="21"/>
  <c r="T26" i="21"/>
  <c r="P26" i="21"/>
  <c r="T25" i="21"/>
  <c r="P25" i="21"/>
  <c r="T24" i="21"/>
  <c r="P24" i="21"/>
  <c r="T23" i="21"/>
  <c r="P23" i="21"/>
  <c r="T22" i="21"/>
  <c r="P22" i="21"/>
  <c r="T21" i="21"/>
  <c r="P21" i="21"/>
  <c r="T20" i="21"/>
  <c r="T19" i="21"/>
  <c r="P19" i="21"/>
  <c r="T18" i="21"/>
  <c r="P18" i="21"/>
  <c r="T17" i="21"/>
  <c r="P17" i="21"/>
  <c r="T16" i="21"/>
  <c r="P16" i="21"/>
  <c r="T15" i="21"/>
  <c r="P15" i="21"/>
  <c r="T14" i="21"/>
  <c r="P14" i="21"/>
  <c r="T13" i="21"/>
  <c r="P13" i="21"/>
  <c r="P12" i="21"/>
  <c r="T11" i="21"/>
  <c r="P11" i="21"/>
  <c r="O79" i="21"/>
  <c r="T79" i="21" s="1"/>
  <c r="T10" i="21"/>
  <c r="P10" i="21"/>
  <c r="P9" i="21"/>
  <c r="P8" i="21"/>
  <c r="T5" i="21"/>
  <c r="P5" i="21"/>
  <c r="T4" i="21"/>
  <c r="P4" i="21"/>
  <c r="I3" i="21"/>
  <c r="H3" i="21"/>
  <c r="G3" i="21"/>
  <c r="F3" i="21"/>
  <c r="E3" i="21"/>
  <c r="D3" i="21"/>
  <c r="C3" i="21"/>
  <c r="B3" i="21"/>
  <c r="AF1" i="21"/>
  <c r="AO1" i="21" s="1"/>
  <c r="AX1" i="21" s="1"/>
  <c r="BG1" i="21" s="1"/>
  <c r="BP1" i="21" s="1"/>
  <c r="BY1" i="21" s="1"/>
  <c r="CH1" i="21" s="1"/>
  <c r="CQ1" i="21" s="1"/>
  <c r="CZ1" i="21" s="1"/>
  <c r="DI1" i="21" s="1"/>
  <c r="DR1" i="21" s="1"/>
  <c r="EA1" i="21" s="1"/>
  <c r="EJ1" i="21" s="1"/>
  <c r="ES1" i="21" s="1"/>
  <c r="FB1" i="21" s="1"/>
  <c r="FK1" i="21" s="1"/>
  <c r="FT1" i="21" s="1"/>
  <c r="GC1" i="21" s="1"/>
  <c r="GL1" i="21" s="1"/>
  <c r="AD1" i="21"/>
  <c r="AM1" i="21" s="1"/>
  <c r="AV1" i="21" s="1"/>
  <c r="BE1" i="21" s="1"/>
  <c r="BN1" i="21" s="1"/>
  <c r="BW1" i="21" s="1"/>
  <c r="CF1" i="21" s="1"/>
  <c r="CO1" i="21" s="1"/>
  <c r="CX1" i="21" s="1"/>
  <c r="DG1" i="21" s="1"/>
  <c r="DP1" i="21" s="1"/>
  <c r="DY1" i="21" s="1"/>
  <c r="EH1" i="21" s="1"/>
  <c r="EQ1" i="21" s="1"/>
  <c r="EZ1" i="21" s="1"/>
  <c r="FI1" i="21" s="1"/>
  <c r="FR1" i="21" s="1"/>
  <c r="GA1" i="21" s="1"/>
  <c r="GJ1" i="21" s="1"/>
  <c r="GS1" i="21" s="1"/>
  <c r="G137" i="22" l="1"/>
  <c r="T83" i="21"/>
  <c r="T86" i="21" s="1"/>
  <c r="O11" i="15"/>
  <c r="T14" i="15" l="1"/>
  <c r="P14" i="15"/>
  <c r="O36" i="16" l="1"/>
  <c r="O32" i="16"/>
  <c r="O31" i="16"/>
  <c r="T31" i="16"/>
  <c r="O29" i="16" l="1"/>
  <c r="O30" i="16"/>
  <c r="T19" i="15" l="1"/>
  <c r="P19" i="15"/>
  <c r="T13" i="15" l="1"/>
  <c r="P13" i="15"/>
  <c r="O21" i="16" l="1"/>
  <c r="W16" i="16"/>
  <c r="G122" i="11" l="1"/>
  <c r="G121" i="11"/>
  <c r="G119" i="11"/>
  <c r="G118" i="11"/>
  <c r="G117" i="11"/>
  <c r="G116" i="11"/>
  <c r="G115" i="11"/>
  <c r="G114" i="11"/>
  <c r="G113" i="11"/>
  <c r="G110" i="11"/>
  <c r="G109" i="11"/>
  <c r="G108" i="11"/>
  <c r="G107" i="11"/>
  <c r="G104" i="11"/>
  <c r="G103" i="11"/>
  <c r="G102" i="11"/>
  <c r="G101" i="11"/>
  <c r="G98" i="11"/>
  <c r="G97" i="11"/>
  <c r="G96" i="11"/>
  <c r="G95" i="11"/>
  <c r="G94" i="11"/>
  <c r="G93" i="11"/>
  <c r="G92" i="11"/>
  <c r="G91" i="11"/>
  <c r="G88" i="11"/>
  <c r="G87" i="11"/>
  <c r="G86" i="11"/>
  <c r="G82" i="11"/>
  <c r="G80" i="11"/>
  <c r="G79" i="11"/>
  <c r="G78" i="11"/>
  <c r="G77" i="11"/>
  <c r="G76" i="11"/>
  <c r="G75" i="11"/>
  <c r="G74" i="11"/>
  <c r="G73" i="11"/>
  <c r="G72" i="11"/>
  <c r="G71" i="11"/>
  <c r="G69" i="11"/>
  <c r="G68" i="11"/>
  <c r="G67" i="11"/>
  <c r="G66" i="11"/>
  <c r="G65" i="11"/>
  <c r="G64" i="11"/>
  <c r="G63" i="11"/>
  <c r="G62" i="11"/>
  <c r="G59" i="11"/>
  <c r="G58" i="11"/>
  <c r="G57" i="11"/>
  <c r="G56" i="11"/>
  <c r="G53" i="11"/>
  <c r="G52" i="11"/>
  <c r="G51" i="11"/>
  <c r="G48" i="11"/>
  <c r="G47" i="11"/>
  <c r="G46" i="11"/>
  <c r="G45" i="11"/>
  <c r="G44" i="11"/>
  <c r="G43" i="11"/>
  <c r="G42" i="11"/>
  <c r="G40" i="11"/>
  <c r="G39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6" i="11"/>
  <c r="G5" i="11"/>
  <c r="G4" i="11"/>
  <c r="I92" i="15"/>
  <c r="H92" i="15"/>
  <c r="G92" i="15"/>
  <c r="F92" i="15"/>
  <c r="E92" i="15"/>
  <c r="D92" i="15"/>
  <c r="C92" i="15"/>
  <c r="B92" i="15"/>
  <c r="I91" i="15"/>
  <c r="H91" i="15"/>
  <c r="G91" i="15"/>
  <c r="F91" i="15"/>
  <c r="E91" i="15"/>
  <c r="D91" i="15"/>
  <c r="C91" i="15"/>
  <c r="B91" i="15"/>
  <c r="I90" i="15"/>
  <c r="H90" i="15"/>
  <c r="G90" i="15"/>
  <c r="F90" i="15"/>
  <c r="E90" i="15"/>
  <c r="D90" i="15"/>
  <c r="C90" i="15"/>
  <c r="B90" i="15"/>
  <c r="GZ83" i="15"/>
  <c r="GU83" i="15"/>
  <c r="GS83" i="15"/>
  <c r="GR83" i="15"/>
  <c r="GQ83" i="15"/>
  <c r="GP83" i="15"/>
  <c r="GO83" i="15"/>
  <c r="GN83" i="15"/>
  <c r="GM83" i="15"/>
  <c r="GL83" i="15"/>
  <c r="GK83" i="15"/>
  <c r="GJ83" i="15"/>
  <c r="GI83" i="15"/>
  <c r="GH83" i="15"/>
  <c r="GG83" i="15"/>
  <c r="GF83" i="15"/>
  <c r="GE83" i="15"/>
  <c r="GD83" i="15"/>
  <c r="GC83" i="15"/>
  <c r="GB83" i="15"/>
  <c r="GA83" i="15"/>
  <c r="FZ83" i="15"/>
  <c r="FY83" i="15"/>
  <c r="FX83" i="15"/>
  <c r="FW83" i="15"/>
  <c r="FV83" i="15"/>
  <c r="FU83" i="15"/>
  <c r="FT83" i="15"/>
  <c r="FS83" i="15"/>
  <c r="FR83" i="15"/>
  <c r="FQ83" i="15"/>
  <c r="FP83" i="15"/>
  <c r="FO83" i="15"/>
  <c r="FN83" i="15"/>
  <c r="FM83" i="15"/>
  <c r="FL83" i="15"/>
  <c r="FK83" i="15"/>
  <c r="FJ83" i="15"/>
  <c r="FI83" i="15"/>
  <c r="FH83" i="15"/>
  <c r="FG83" i="15"/>
  <c r="FF83" i="15"/>
  <c r="FE83" i="15"/>
  <c r="FD83" i="15"/>
  <c r="FC83" i="15"/>
  <c r="FB83" i="15"/>
  <c r="FA83" i="15"/>
  <c r="EZ83" i="15"/>
  <c r="EY83" i="15"/>
  <c r="EX83" i="15"/>
  <c r="EW83" i="15"/>
  <c r="EV83" i="15"/>
  <c r="EU83" i="15"/>
  <c r="ET83" i="15"/>
  <c r="ES83" i="15"/>
  <c r="ER83" i="15"/>
  <c r="EQ83" i="15"/>
  <c r="EP83" i="15"/>
  <c r="EO83" i="15"/>
  <c r="EN83" i="15"/>
  <c r="EM83" i="15"/>
  <c r="EL83" i="15"/>
  <c r="EK83" i="15"/>
  <c r="EJ83" i="15"/>
  <c r="EI83" i="15"/>
  <c r="EH83" i="15"/>
  <c r="EG83" i="15"/>
  <c r="EF83" i="15"/>
  <c r="EE83" i="15"/>
  <c r="ED83" i="15"/>
  <c r="EC83" i="15"/>
  <c r="EB83" i="15"/>
  <c r="EA83" i="15"/>
  <c r="DZ83" i="15"/>
  <c r="DY83" i="15"/>
  <c r="DX83" i="15"/>
  <c r="DW83" i="15"/>
  <c r="DV83" i="15"/>
  <c r="DU83" i="15"/>
  <c r="DT83" i="15"/>
  <c r="DS83" i="15"/>
  <c r="DR83" i="15"/>
  <c r="DQ83" i="15"/>
  <c r="DP83" i="15"/>
  <c r="DO83" i="15"/>
  <c r="DN83" i="15"/>
  <c r="DM83" i="15"/>
  <c r="DL83" i="15"/>
  <c r="DK83" i="15"/>
  <c r="DJ83" i="15"/>
  <c r="DI83" i="15"/>
  <c r="DH83" i="15"/>
  <c r="DG83" i="15"/>
  <c r="DF83" i="15"/>
  <c r="DE83" i="15"/>
  <c r="DD83" i="15"/>
  <c r="DC83" i="15"/>
  <c r="DB83" i="15"/>
  <c r="DA83" i="15"/>
  <c r="CZ83" i="15"/>
  <c r="CY83" i="15"/>
  <c r="CX83" i="15"/>
  <c r="CW83" i="15"/>
  <c r="CV83" i="15"/>
  <c r="CU83" i="15"/>
  <c r="CT83" i="15"/>
  <c r="CS83" i="15"/>
  <c r="CR83" i="15"/>
  <c r="CQ83" i="15"/>
  <c r="CP83" i="15"/>
  <c r="CO83" i="15"/>
  <c r="CN83" i="15"/>
  <c r="CM83" i="15"/>
  <c r="CL83" i="15"/>
  <c r="CK83" i="15"/>
  <c r="CJ83" i="15"/>
  <c r="CI83" i="15"/>
  <c r="CH83" i="15"/>
  <c r="CG83" i="15"/>
  <c r="CF83" i="15"/>
  <c r="CE83" i="15"/>
  <c r="CD83" i="15"/>
  <c r="CC83" i="15"/>
  <c r="CB83" i="15"/>
  <c r="CA83" i="15"/>
  <c r="BZ83" i="15"/>
  <c r="BY83" i="15"/>
  <c r="BX83" i="15"/>
  <c r="BW83" i="15"/>
  <c r="BV83" i="15"/>
  <c r="BU83" i="15"/>
  <c r="BT83" i="15"/>
  <c r="BS83" i="15"/>
  <c r="BR83" i="15"/>
  <c r="BQ83" i="15"/>
  <c r="BP83" i="15"/>
  <c r="BO83" i="15"/>
  <c r="BN83" i="15"/>
  <c r="BM83" i="15"/>
  <c r="BL83" i="15"/>
  <c r="BK83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R83" i="15"/>
  <c r="T82" i="15"/>
  <c r="T81" i="15"/>
  <c r="T80" i="15"/>
  <c r="O79" i="15"/>
  <c r="T79" i="15" s="1"/>
  <c r="T78" i="15"/>
  <c r="T77" i="15"/>
  <c r="T76" i="15"/>
  <c r="T75" i="15"/>
  <c r="P75" i="15"/>
  <c r="T74" i="15"/>
  <c r="P74" i="15"/>
  <c r="T73" i="15"/>
  <c r="P73" i="15"/>
  <c r="T72" i="15"/>
  <c r="P72" i="15"/>
  <c r="T71" i="15"/>
  <c r="P71" i="15"/>
  <c r="T70" i="15"/>
  <c r="P70" i="15"/>
  <c r="T69" i="15"/>
  <c r="P69" i="15"/>
  <c r="T68" i="15"/>
  <c r="P68" i="15"/>
  <c r="T67" i="15"/>
  <c r="P67" i="15"/>
  <c r="T66" i="15"/>
  <c r="P66" i="15"/>
  <c r="T65" i="15"/>
  <c r="P65" i="15"/>
  <c r="T64" i="15"/>
  <c r="P64" i="15"/>
  <c r="T63" i="15"/>
  <c r="P63" i="15"/>
  <c r="T62" i="15"/>
  <c r="P62" i="15"/>
  <c r="T61" i="15"/>
  <c r="P61" i="15"/>
  <c r="T60" i="15"/>
  <c r="P60" i="15"/>
  <c r="T59" i="15"/>
  <c r="P59" i="15"/>
  <c r="T58" i="15"/>
  <c r="P58" i="15"/>
  <c r="T57" i="15"/>
  <c r="P57" i="15"/>
  <c r="T56" i="15"/>
  <c r="P56" i="15"/>
  <c r="T55" i="15"/>
  <c r="P55" i="15"/>
  <c r="T54" i="15"/>
  <c r="P54" i="15"/>
  <c r="T53" i="15"/>
  <c r="P53" i="15"/>
  <c r="T52" i="15"/>
  <c r="P52" i="15"/>
  <c r="T51" i="15"/>
  <c r="P51" i="15"/>
  <c r="T50" i="15"/>
  <c r="P50" i="15"/>
  <c r="T49" i="15"/>
  <c r="P49" i="15"/>
  <c r="T48" i="15"/>
  <c r="P48" i="15"/>
  <c r="T47" i="15"/>
  <c r="P47" i="15"/>
  <c r="T46" i="15"/>
  <c r="P46" i="15"/>
  <c r="T45" i="15"/>
  <c r="P45" i="15"/>
  <c r="T44" i="15"/>
  <c r="P44" i="15"/>
  <c r="T43" i="15"/>
  <c r="P43" i="15"/>
  <c r="T42" i="15"/>
  <c r="P42" i="15"/>
  <c r="T41" i="15"/>
  <c r="P41" i="15"/>
  <c r="T40" i="15"/>
  <c r="P40" i="15"/>
  <c r="T39" i="15"/>
  <c r="P39" i="15"/>
  <c r="T38" i="15"/>
  <c r="P38" i="15"/>
  <c r="T37" i="15"/>
  <c r="P37" i="15"/>
  <c r="T36" i="15"/>
  <c r="P36" i="15"/>
  <c r="T35" i="15"/>
  <c r="P35" i="15"/>
  <c r="T34" i="15"/>
  <c r="P34" i="15"/>
  <c r="T33" i="15"/>
  <c r="P33" i="15"/>
  <c r="T32" i="15"/>
  <c r="P32" i="15"/>
  <c r="T31" i="15"/>
  <c r="P31" i="15"/>
  <c r="T30" i="15"/>
  <c r="P30" i="15"/>
  <c r="T29" i="15"/>
  <c r="P29" i="15"/>
  <c r="T28" i="15"/>
  <c r="P28" i="15"/>
  <c r="I28" i="15"/>
  <c r="H28" i="15"/>
  <c r="G28" i="15"/>
  <c r="F28" i="15"/>
  <c r="E28" i="15"/>
  <c r="D28" i="15"/>
  <c r="C28" i="15"/>
  <c r="B28" i="15"/>
  <c r="T27" i="15"/>
  <c r="P27" i="15"/>
  <c r="T26" i="15"/>
  <c r="P26" i="15"/>
  <c r="T25" i="15"/>
  <c r="P25" i="15"/>
  <c r="T24" i="15"/>
  <c r="P24" i="15"/>
  <c r="T23" i="15"/>
  <c r="P23" i="15"/>
  <c r="T22" i="15"/>
  <c r="P22" i="15"/>
  <c r="T21" i="15"/>
  <c r="T18" i="15"/>
  <c r="P18" i="15"/>
  <c r="T17" i="15"/>
  <c r="P17" i="15"/>
  <c r="T16" i="15"/>
  <c r="P16" i="15"/>
  <c r="T15" i="15"/>
  <c r="P15" i="15"/>
  <c r="P12" i="15"/>
  <c r="T11" i="15"/>
  <c r="P11" i="15"/>
  <c r="T10" i="15"/>
  <c r="P10" i="15"/>
  <c r="T9" i="15"/>
  <c r="P9" i="15"/>
  <c r="T8" i="15"/>
  <c r="P8" i="15"/>
  <c r="T7" i="15"/>
  <c r="P7" i="15"/>
  <c r="T6" i="15"/>
  <c r="P6" i="15"/>
  <c r="T5" i="15"/>
  <c r="P5" i="15"/>
  <c r="T4" i="15"/>
  <c r="P4" i="15"/>
  <c r="I3" i="15"/>
  <c r="H3" i="15"/>
  <c r="G3" i="15"/>
  <c r="F3" i="15"/>
  <c r="E3" i="15"/>
  <c r="D3" i="15"/>
  <c r="C3" i="15"/>
  <c r="B3" i="15"/>
  <c r="AF1" i="15"/>
  <c r="AO1" i="15" s="1"/>
  <c r="AX1" i="15" s="1"/>
  <c r="BG1" i="15" s="1"/>
  <c r="BP1" i="15" s="1"/>
  <c r="BY1" i="15" s="1"/>
  <c r="CH1" i="15" s="1"/>
  <c r="CQ1" i="15" s="1"/>
  <c r="CZ1" i="15" s="1"/>
  <c r="DI1" i="15" s="1"/>
  <c r="DR1" i="15" s="1"/>
  <c r="EA1" i="15" s="1"/>
  <c r="EJ1" i="15" s="1"/>
  <c r="ES1" i="15" s="1"/>
  <c r="FB1" i="15" s="1"/>
  <c r="FK1" i="15" s="1"/>
  <c r="FT1" i="15" s="1"/>
  <c r="GC1" i="15" s="1"/>
  <c r="GL1" i="15" s="1"/>
  <c r="AD1" i="15"/>
  <c r="AM1" i="15" s="1"/>
  <c r="AV1" i="15" s="1"/>
  <c r="BE1" i="15" s="1"/>
  <c r="BN1" i="15" s="1"/>
  <c r="BW1" i="15" s="1"/>
  <c r="CF1" i="15" s="1"/>
  <c r="CO1" i="15" s="1"/>
  <c r="CX1" i="15" s="1"/>
  <c r="DG1" i="15" s="1"/>
  <c r="DP1" i="15" s="1"/>
  <c r="DY1" i="15" s="1"/>
  <c r="EH1" i="15" s="1"/>
  <c r="EQ1" i="15" s="1"/>
  <c r="EZ1" i="15" s="1"/>
  <c r="FI1" i="15" s="1"/>
  <c r="FR1" i="15" s="1"/>
  <c r="GA1" i="15" s="1"/>
  <c r="GJ1" i="15" s="1"/>
  <c r="GS1" i="15" s="1"/>
  <c r="G124" i="11" l="1"/>
  <c r="T83" i="15"/>
  <c r="T86" i="15" s="1"/>
  <c r="O36" i="12"/>
  <c r="O34" i="12" l="1"/>
  <c r="O13" i="12" l="1"/>
  <c r="G110" i="14" l="1"/>
  <c r="G109" i="14"/>
  <c r="G108" i="14"/>
  <c r="G107" i="14"/>
  <c r="G106" i="14"/>
  <c r="G104" i="14"/>
  <c r="G102" i="14"/>
  <c r="G101" i="14"/>
  <c r="G100" i="14"/>
  <c r="G99" i="14"/>
  <c r="G98" i="14"/>
  <c r="G97" i="14"/>
  <c r="G96" i="14"/>
  <c r="G95" i="14"/>
  <c r="G94" i="14"/>
  <c r="G93" i="14"/>
  <c r="G90" i="14"/>
  <c r="G87" i="14"/>
  <c r="G86" i="14"/>
  <c r="G85" i="14"/>
  <c r="G84" i="14"/>
  <c r="G82" i="14"/>
  <c r="G81" i="14"/>
  <c r="G78" i="14"/>
  <c r="G76" i="14"/>
  <c r="G75" i="14"/>
  <c r="G72" i="14"/>
  <c r="G71" i="14"/>
  <c r="G70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3" i="14"/>
  <c r="G51" i="14"/>
  <c r="G50" i="14"/>
  <c r="G48" i="14"/>
  <c r="G47" i="14"/>
  <c r="G46" i="14"/>
  <c r="G44" i="14"/>
  <c r="G42" i="14"/>
  <c r="G40" i="14"/>
  <c r="G39" i="14"/>
  <c r="G38" i="14"/>
  <c r="G36" i="14"/>
  <c r="G35" i="14"/>
  <c r="G33" i="14"/>
  <c r="G32" i="14"/>
  <c r="G30" i="14"/>
  <c r="G29" i="14"/>
  <c r="G26" i="14"/>
  <c r="G25" i="14"/>
  <c r="G24" i="14"/>
  <c r="G23" i="14"/>
  <c r="G22" i="14"/>
  <c r="G20" i="14"/>
  <c r="G19" i="14"/>
  <c r="G18" i="14"/>
  <c r="G17" i="14"/>
  <c r="G16" i="14"/>
  <c r="G15" i="14"/>
  <c r="G13" i="14"/>
  <c r="G12" i="14"/>
  <c r="G9" i="14"/>
  <c r="G8" i="14"/>
  <c r="G7" i="14"/>
  <c r="G5" i="14"/>
  <c r="G4" i="14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GZ80" i="16"/>
  <c r="GU80" i="16"/>
  <c r="GS80" i="16"/>
  <c r="GR80" i="16"/>
  <c r="GQ80" i="16"/>
  <c r="GP80" i="16"/>
  <c r="GO80" i="16"/>
  <c r="GN80" i="16"/>
  <c r="GM80" i="16"/>
  <c r="GL80" i="16"/>
  <c r="GK80" i="16"/>
  <c r="GJ80" i="16"/>
  <c r="GI80" i="16"/>
  <c r="GH80" i="16"/>
  <c r="GG80" i="16"/>
  <c r="GF80" i="16"/>
  <c r="GE80" i="16"/>
  <c r="GD80" i="16"/>
  <c r="GC80" i="16"/>
  <c r="GB80" i="16"/>
  <c r="GA80" i="16"/>
  <c r="FZ80" i="16"/>
  <c r="FY80" i="16"/>
  <c r="FX80" i="16"/>
  <c r="FW80" i="16"/>
  <c r="FV80" i="16"/>
  <c r="FU80" i="16"/>
  <c r="FT80" i="16"/>
  <c r="FS80" i="16"/>
  <c r="FR80" i="16"/>
  <c r="FQ80" i="16"/>
  <c r="FP80" i="16"/>
  <c r="FO80" i="16"/>
  <c r="FN80" i="16"/>
  <c r="FM80" i="16"/>
  <c r="FL80" i="16"/>
  <c r="FK80" i="16"/>
  <c r="FJ80" i="16"/>
  <c r="FI80" i="16"/>
  <c r="FH80" i="16"/>
  <c r="FG80" i="16"/>
  <c r="FF80" i="16"/>
  <c r="FE80" i="16"/>
  <c r="FD80" i="16"/>
  <c r="FC80" i="16"/>
  <c r="FB80" i="16"/>
  <c r="FA80" i="16"/>
  <c r="EZ80" i="16"/>
  <c r="EY80" i="16"/>
  <c r="EX80" i="16"/>
  <c r="EW80" i="16"/>
  <c r="EV80" i="16"/>
  <c r="EU80" i="16"/>
  <c r="ET80" i="16"/>
  <c r="ES80" i="16"/>
  <c r="ER80" i="16"/>
  <c r="EQ80" i="16"/>
  <c r="EP80" i="16"/>
  <c r="EO80" i="16"/>
  <c r="EN80" i="16"/>
  <c r="EM80" i="16"/>
  <c r="EL80" i="16"/>
  <c r="EK80" i="16"/>
  <c r="EJ80" i="16"/>
  <c r="EI80" i="16"/>
  <c r="EH80" i="16"/>
  <c r="EG80" i="16"/>
  <c r="EF80" i="16"/>
  <c r="EE80" i="16"/>
  <c r="ED80" i="16"/>
  <c r="EC80" i="16"/>
  <c r="EB80" i="16"/>
  <c r="EA80" i="16"/>
  <c r="DZ80" i="16"/>
  <c r="DY80" i="16"/>
  <c r="DX80" i="16"/>
  <c r="DW80" i="16"/>
  <c r="DV80" i="16"/>
  <c r="DU80" i="16"/>
  <c r="DT80" i="16"/>
  <c r="DS80" i="16"/>
  <c r="DR80" i="16"/>
  <c r="DQ80" i="16"/>
  <c r="DP80" i="16"/>
  <c r="DO80" i="16"/>
  <c r="DN80" i="16"/>
  <c r="DM80" i="16"/>
  <c r="DL80" i="16"/>
  <c r="DK80" i="16"/>
  <c r="DJ80" i="16"/>
  <c r="DI80" i="16"/>
  <c r="DH80" i="16"/>
  <c r="DG80" i="16"/>
  <c r="DF80" i="16"/>
  <c r="DE80" i="16"/>
  <c r="DD80" i="16"/>
  <c r="DC80" i="16"/>
  <c r="DB80" i="16"/>
  <c r="DA80" i="16"/>
  <c r="CZ80" i="16"/>
  <c r="CY80" i="16"/>
  <c r="CX80" i="16"/>
  <c r="CW80" i="16"/>
  <c r="CV80" i="16"/>
  <c r="CU80" i="16"/>
  <c r="CT80" i="16"/>
  <c r="CS80" i="16"/>
  <c r="CR80" i="16"/>
  <c r="CQ80" i="16"/>
  <c r="CP80" i="16"/>
  <c r="CO80" i="16"/>
  <c r="CN80" i="16"/>
  <c r="CM80" i="16"/>
  <c r="CL80" i="16"/>
  <c r="CK80" i="16"/>
  <c r="CJ80" i="16"/>
  <c r="CI80" i="16"/>
  <c r="CH80" i="16"/>
  <c r="CG80" i="16"/>
  <c r="CF80" i="16"/>
  <c r="CE80" i="16"/>
  <c r="CD80" i="16"/>
  <c r="CC80" i="16"/>
  <c r="CB80" i="16"/>
  <c r="CA80" i="16"/>
  <c r="BZ80" i="16"/>
  <c r="BY80" i="16"/>
  <c r="BX80" i="16"/>
  <c r="BW80" i="16"/>
  <c r="BV80" i="16"/>
  <c r="BU80" i="16"/>
  <c r="BT80" i="16"/>
  <c r="BS80" i="16"/>
  <c r="BR80" i="16"/>
  <c r="BQ80" i="16"/>
  <c r="BP80" i="16"/>
  <c r="BO80" i="16"/>
  <c r="BN80" i="16"/>
  <c r="BM80" i="16"/>
  <c r="BL80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R80" i="16"/>
  <c r="T79" i="16"/>
  <c r="T78" i="16"/>
  <c r="T77" i="16"/>
  <c r="T75" i="16"/>
  <c r="T74" i="16"/>
  <c r="T73" i="16"/>
  <c r="T72" i="16"/>
  <c r="P72" i="16"/>
  <c r="T71" i="16"/>
  <c r="P71" i="16"/>
  <c r="T70" i="16"/>
  <c r="P70" i="16"/>
  <c r="T69" i="16"/>
  <c r="P69" i="16"/>
  <c r="T68" i="16"/>
  <c r="P68" i="16"/>
  <c r="T67" i="16"/>
  <c r="P67" i="16"/>
  <c r="T66" i="16"/>
  <c r="P66" i="16"/>
  <c r="T65" i="16"/>
  <c r="P65" i="16"/>
  <c r="T64" i="16"/>
  <c r="P64" i="16"/>
  <c r="T63" i="16"/>
  <c r="P63" i="16"/>
  <c r="T62" i="16"/>
  <c r="P62" i="16"/>
  <c r="T61" i="16"/>
  <c r="P61" i="16"/>
  <c r="T60" i="16"/>
  <c r="P60" i="16"/>
  <c r="T59" i="16"/>
  <c r="P59" i="16"/>
  <c r="T58" i="16"/>
  <c r="P58" i="16"/>
  <c r="T57" i="16"/>
  <c r="P57" i="16"/>
  <c r="T56" i="16"/>
  <c r="P56" i="16"/>
  <c r="T55" i="16"/>
  <c r="P55" i="16"/>
  <c r="T54" i="16"/>
  <c r="P54" i="16"/>
  <c r="T53" i="16"/>
  <c r="P53" i="16"/>
  <c r="T52" i="16"/>
  <c r="P52" i="16"/>
  <c r="T51" i="16"/>
  <c r="P51" i="16"/>
  <c r="T50" i="16"/>
  <c r="P50" i="16"/>
  <c r="T49" i="16"/>
  <c r="P49" i="16"/>
  <c r="T48" i="16"/>
  <c r="P48" i="16"/>
  <c r="T47" i="16"/>
  <c r="P47" i="16"/>
  <c r="T46" i="16"/>
  <c r="P46" i="16"/>
  <c r="T45" i="16"/>
  <c r="P45" i="16"/>
  <c r="T44" i="16"/>
  <c r="P44" i="16"/>
  <c r="T43" i="16"/>
  <c r="P43" i="16"/>
  <c r="T42" i="16"/>
  <c r="P42" i="16"/>
  <c r="T41" i="16"/>
  <c r="P41" i="16"/>
  <c r="T40" i="16"/>
  <c r="P40" i="16"/>
  <c r="T39" i="16"/>
  <c r="P39" i="16"/>
  <c r="T38" i="16"/>
  <c r="P38" i="16"/>
  <c r="T37" i="16"/>
  <c r="P37" i="16"/>
  <c r="T36" i="16"/>
  <c r="P36" i="16"/>
  <c r="T35" i="16"/>
  <c r="P35" i="16"/>
  <c r="T34" i="16"/>
  <c r="P34" i="16"/>
  <c r="T33" i="16"/>
  <c r="P33" i="16"/>
  <c r="T32" i="16"/>
  <c r="P32" i="16"/>
  <c r="P31" i="16"/>
  <c r="T30" i="16"/>
  <c r="P30" i="16"/>
  <c r="T29" i="16"/>
  <c r="P29" i="16"/>
  <c r="T28" i="16"/>
  <c r="P28" i="16"/>
  <c r="T27" i="16"/>
  <c r="P27" i="16"/>
  <c r="T26" i="16"/>
  <c r="P26" i="16"/>
  <c r="T25" i="16"/>
  <c r="P25" i="16"/>
  <c r="I25" i="16"/>
  <c r="H25" i="16"/>
  <c r="G25" i="16"/>
  <c r="F25" i="16"/>
  <c r="E25" i="16"/>
  <c r="D25" i="16"/>
  <c r="C25" i="16"/>
  <c r="B25" i="16"/>
  <c r="T24" i="16"/>
  <c r="P24" i="16"/>
  <c r="T23" i="16"/>
  <c r="P23" i="16"/>
  <c r="T22" i="16"/>
  <c r="P22" i="16"/>
  <c r="T21" i="16"/>
  <c r="P21" i="16"/>
  <c r="T20" i="16"/>
  <c r="P20" i="16"/>
  <c r="T19" i="16"/>
  <c r="P19" i="16"/>
  <c r="T18" i="16"/>
  <c r="P18" i="16"/>
  <c r="T17" i="16"/>
  <c r="T16" i="16"/>
  <c r="P16" i="16"/>
  <c r="T15" i="16"/>
  <c r="P15" i="16"/>
  <c r="T14" i="16"/>
  <c r="P14" i="16"/>
  <c r="T13" i="16"/>
  <c r="P13" i="16"/>
  <c r="T12" i="16"/>
  <c r="P12" i="16"/>
  <c r="T11" i="16"/>
  <c r="P11" i="16"/>
  <c r="O76" i="16"/>
  <c r="T76" i="16" s="1"/>
  <c r="T9" i="16"/>
  <c r="P9" i="16"/>
  <c r="T8" i="16"/>
  <c r="P8" i="16"/>
  <c r="T7" i="16"/>
  <c r="P7" i="16"/>
  <c r="T6" i="16"/>
  <c r="P6" i="16"/>
  <c r="T5" i="16"/>
  <c r="P5" i="16"/>
  <c r="T4" i="16"/>
  <c r="P4" i="16"/>
  <c r="I3" i="16"/>
  <c r="H3" i="16"/>
  <c r="G3" i="16"/>
  <c r="F3" i="16"/>
  <c r="E3" i="16"/>
  <c r="D3" i="16"/>
  <c r="C3" i="16"/>
  <c r="B3" i="16"/>
  <c r="AF1" i="16"/>
  <c r="AO1" i="16" s="1"/>
  <c r="AX1" i="16" s="1"/>
  <c r="BG1" i="16" s="1"/>
  <c r="BP1" i="16" s="1"/>
  <c r="BY1" i="16" s="1"/>
  <c r="CH1" i="16" s="1"/>
  <c r="CQ1" i="16" s="1"/>
  <c r="CZ1" i="16" s="1"/>
  <c r="DI1" i="16" s="1"/>
  <c r="DR1" i="16" s="1"/>
  <c r="EA1" i="16" s="1"/>
  <c r="EJ1" i="16" s="1"/>
  <c r="ES1" i="16" s="1"/>
  <c r="FB1" i="16" s="1"/>
  <c r="FK1" i="16" s="1"/>
  <c r="FT1" i="16" s="1"/>
  <c r="GC1" i="16" s="1"/>
  <c r="GL1" i="16" s="1"/>
  <c r="AD1" i="16"/>
  <c r="AM1" i="16" s="1"/>
  <c r="AV1" i="16" s="1"/>
  <c r="BE1" i="16" s="1"/>
  <c r="BN1" i="16" s="1"/>
  <c r="BW1" i="16" s="1"/>
  <c r="CF1" i="16" s="1"/>
  <c r="CO1" i="16" s="1"/>
  <c r="CX1" i="16" s="1"/>
  <c r="DG1" i="16" s="1"/>
  <c r="DP1" i="16" s="1"/>
  <c r="DY1" i="16" s="1"/>
  <c r="EH1" i="16" s="1"/>
  <c r="EQ1" i="16" s="1"/>
  <c r="EZ1" i="16" s="1"/>
  <c r="FI1" i="16" s="1"/>
  <c r="FR1" i="16" s="1"/>
  <c r="GA1" i="16" s="1"/>
  <c r="GJ1" i="16" s="1"/>
  <c r="GS1" i="16" s="1"/>
  <c r="G111" i="14" l="1"/>
  <c r="T10" i="16"/>
  <c r="T80" i="16" s="1"/>
  <c r="T83" i="16" s="1"/>
  <c r="P10" i="16"/>
  <c r="GZ44" i="9"/>
  <c r="P40" i="12" l="1"/>
  <c r="P41" i="12"/>
  <c r="P42" i="12"/>
  <c r="P43" i="12"/>
  <c r="P44" i="12"/>
  <c r="P45" i="12"/>
  <c r="P46" i="12"/>
  <c r="P47" i="12"/>
  <c r="P48" i="12"/>
  <c r="P49" i="12"/>
  <c r="P50" i="12"/>
  <c r="P51" i="12"/>
  <c r="P39" i="12"/>
  <c r="O10" i="12" l="1"/>
  <c r="T27" i="12" l="1"/>
  <c r="P27" i="12"/>
  <c r="T17" i="12" l="1"/>
  <c r="T40" i="9" l="1"/>
  <c r="T37" i="9"/>
  <c r="T38" i="9"/>
  <c r="P10" i="12" l="1"/>
  <c r="P11" i="12"/>
  <c r="P12" i="12"/>
  <c r="P13" i="12"/>
  <c r="P14" i="12"/>
  <c r="O31" i="9" l="1"/>
  <c r="O20" i="9" l="1"/>
  <c r="G272" i="13" l="1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7" i="13"/>
  <c r="G106" i="13"/>
  <c r="G105" i="13"/>
  <c r="G104" i="13"/>
  <c r="G102" i="13"/>
  <c r="G100" i="13"/>
  <c r="G99" i="13"/>
  <c r="G98" i="13"/>
  <c r="G95" i="13"/>
  <c r="G94" i="13"/>
  <c r="G92" i="13"/>
  <c r="G91" i="13"/>
  <c r="G90" i="13"/>
  <c r="G89" i="13"/>
  <c r="G88" i="13"/>
  <c r="G86" i="13"/>
  <c r="G84" i="13"/>
  <c r="G83" i="13"/>
  <c r="G82" i="13"/>
  <c r="G81" i="13"/>
  <c r="G80" i="13"/>
  <c r="G78" i="13"/>
  <c r="G76" i="13"/>
  <c r="G75" i="13"/>
  <c r="G74" i="13"/>
  <c r="G73" i="13"/>
  <c r="G72" i="13"/>
  <c r="G71" i="13"/>
  <c r="G69" i="13"/>
  <c r="G68" i="13"/>
  <c r="G66" i="13"/>
  <c r="G65" i="13"/>
  <c r="G64" i="13"/>
  <c r="G63" i="13"/>
  <c r="G62" i="13"/>
  <c r="G60" i="13"/>
  <c r="G59" i="13"/>
  <c r="G58" i="13"/>
  <c r="G57" i="13"/>
  <c r="G34" i="13"/>
  <c r="I89" i="12"/>
  <c r="H89" i="12"/>
  <c r="G89" i="12"/>
  <c r="F89" i="12"/>
  <c r="E89" i="12"/>
  <c r="D89" i="12"/>
  <c r="C89" i="12"/>
  <c r="B89" i="12"/>
  <c r="I88" i="12"/>
  <c r="H88" i="12"/>
  <c r="G88" i="12"/>
  <c r="F88" i="12"/>
  <c r="E88" i="12"/>
  <c r="D88" i="12"/>
  <c r="C88" i="12"/>
  <c r="B88" i="12"/>
  <c r="I87" i="12"/>
  <c r="H87" i="12"/>
  <c r="G87" i="12"/>
  <c r="F87" i="12"/>
  <c r="E87" i="12"/>
  <c r="D87" i="12"/>
  <c r="C87" i="12"/>
  <c r="B87" i="12"/>
  <c r="GZ80" i="12"/>
  <c r="GU80" i="12"/>
  <c r="GS80" i="12"/>
  <c r="GR80" i="12"/>
  <c r="GQ80" i="12"/>
  <c r="GP80" i="12"/>
  <c r="GO80" i="12"/>
  <c r="GN80" i="12"/>
  <c r="GM80" i="12"/>
  <c r="GL80" i="12"/>
  <c r="GK80" i="12"/>
  <c r="GJ80" i="12"/>
  <c r="GI80" i="12"/>
  <c r="GH80" i="12"/>
  <c r="GG80" i="12"/>
  <c r="GF80" i="12"/>
  <c r="GE80" i="12"/>
  <c r="GD80" i="12"/>
  <c r="GC80" i="12"/>
  <c r="GB80" i="12"/>
  <c r="GA80" i="12"/>
  <c r="FZ80" i="12"/>
  <c r="FY80" i="12"/>
  <c r="FX80" i="12"/>
  <c r="FW80" i="12"/>
  <c r="FV80" i="12"/>
  <c r="FU80" i="12"/>
  <c r="FT80" i="12"/>
  <c r="FS80" i="12"/>
  <c r="FR80" i="12"/>
  <c r="FQ80" i="12"/>
  <c r="FP80" i="12"/>
  <c r="FO80" i="12"/>
  <c r="FN80" i="12"/>
  <c r="FM80" i="12"/>
  <c r="FL80" i="12"/>
  <c r="FK80" i="12"/>
  <c r="FJ80" i="12"/>
  <c r="FI80" i="12"/>
  <c r="FH80" i="12"/>
  <c r="FG80" i="12"/>
  <c r="FF80" i="12"/>
  <c r="FE80" i="12"/>
  <c r="FD80" i="12"/>
  <c r="FC80" i="12"/>
  <c r="FB80" i="12"/>
  <c r="FA80" i="12"/>
  <c r="EZ80" i="12"/>
  <c r="EY80" i="12"/>
  <c r="EX80" i="12"/>
  <c r="EW80" i="12"/>
  <c r="EV80" i="12"/>
  <c r="EU80" i="12"/>
  <c r="ET80" i="12"/>
  <c r="ES80" i="12"/>
  <c r="ER80" i="12"/>
  <c r="EQ80" i="12"/>
  <c r="EP80" i="12"/>
  <c r="EO80" i="12"/>
  <c r="EN80" i="12"/>
  <c r="EM80" i="12"/>
  <c r="EL80" i="12"/>
  <c r="EK80" i="12"/>
  <c r="EJ80" i="12"/>
  <c r="EI80" i="12"/>
  <c r="EH80" i="12"/>
  <c r="EG80" i="12"/>
  <c r="EF80" i="12"/>
  <c r="EE80" i="12"/>
  <c r="ED80" i="12"/>
  <c r="EC80" i="12"/>
  <c r="EB80" i="12"/>
  <c r="EA80" i="12"/>
  <c r="DZ80" i="12"/>
  <c r="DY80" i="12"/>
  <c r="DX80" i="12"/>
  <c r="DW80" i="12"/>
  <c r="DV80" i="12"/>
  <c r="DU80" i="12"/>
  <c r="DT80" i="12"/>
  <c r="DS80" i="12"/>
  <c r="DR80" i="12"/>
  <c r="DQ80" i="12"/>
  <c r="DP80" i="12"/>
  <c r="DO80" i="12"/>
  <c r="DN80" i="12"/>
  <c r="DM80" i="12"/>
  <c r="DL80" i="12"/>
  <c r="DK80" i="12"/>
  <c r="DJ80" i="12"/>
  <c r="DI80" i="12"/>
  <c r="DH80" i="12"/>
  <c r="DG80" i="12"/>
  <c r="DF80" i="12"/>
  <c r="DE80" i="12"/>
  <c r="DD80" i="12"/>
  <c r="DC80" i="12"/>
  <c r="DB80" i="12"/>
  <c r="DA80" i="12"/>
  <c r="CZ80" i="12"/>
  <c r="CY80" i="12"/>
  <c r="CX80" i="12"/>
  <c r="CW80" i="12"/>
  <c r="CV80" i="12"/>
  <c r="CU80" i="12"/>
  <c r="CT80" i="12"/>
  <c r="CS80" i="12"/>
  <c r="CR80" i="12"/>
  <c r="CQ80" i="12"/>
  <c r="CP80" i="12"/>
  <c r="CO80" i="12"/>
  <c r="CN80" i="12"/>
  <c r="CM80" i="12"/>
  <c r="CL80" i="12"/>
  <c r="CK80" i="12"/>
  <c r="CJ80" i="12"/>
  <c r="CI80" i="12"/>
  <c r="CH80" i="12"/>
  <c r="CG80" i="12"/>
  <c r="CF80" i="12"/>
  <c r="CE80" i="12"/>
  <c r="CD80" i="12"/>
  <c r="CC80" i="12"/>
  <c r="CB80" i="12"/>
  <c r="CA80" i="12"/>
  <c r="BZ80" i="12"/>
  <c r="BY80" i="12"/>
  <c r="BX80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R80" i="12"/>
  <c r="T79" i="12"/>
  <c r="T78" i="12"/>
  <c r="T77" i="12"/>
  <c r="O76" i="12"/>
  <c r="T76" i="12" s="1"/>
  <c r="T75" i="12"/>
  <c r="T74" i="12"/>
  <c r="T73" i="12"/>
  <c r="T72" i="12"/>
  <c r="P72" i="12"/>
  <c r="T71" i="12"/>
  <c r="P71" i="12"/>
  <c r="T70" i="12"/>
  <c r="P70" i="12"/>
  <c r="T69" i="12"/>
  <c r="P69" i="12"/>
  <c r="T68" i="12"/>
  <c r="P68" i="12"/>
  <c r="T67" i="12"/>
  <c r="P67" i="12"/>
  <c r="T66" i="12"/>
  <c r="P66" i="12"/>
  <c r="T65" i="12"/>
  <c r="P65" i="12"/>
  <c r="T64" i="12"/>
  <c r="P64" i="12"/>
  <c r="T63" i="12"/>
  <c r="P63" i="12"/>
  <c r="T62" i="12"/>
  <c r="P62" i="12"/>
  <c r="T61" i="12"/>
  <c r="P61" i="12"/>
  <c r="T60" i="12"/>
  <c r="P60" i="12"/>
  <c r="T59" i="12"/>
  <c r="P59" i="12"/>
  <c r="T58" i="12"/>
  <c r="P58" i="12"/>
  <c r="T57" i="12"/>
  <c r="P57" i="12"/>
  <c r="T56" i="12"/>
  <c r="P56" i="12"/>
  <c r="T55" i="12"/>
  <c r="P55" i="12"/>
  <c r="T54" i="12"/>
  <c r="P54" i="12"/>
  <c r="T53" i="12"/>
  <c r="P53" i="12"/>
  <c r="T52" i="12"/>
  <c r="P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P38" i="12"/>
  <c r="T37" i="12"/>
  <c r="P37" i="12"/>
  <c r="T36" i="12"/>
  <c r="P36" i="12"/>
  <c r="T35" i="12"/>
  <c r="P35" i="12"/>
  <c r="T34" i="12"/>
  <c r="P34" i="12"/>
  <c r="T33" i="12"/>
  <c r="P33" i="12"/>
  <c r="T32" i="12"/>
  <c r="P32" i="12"/>
  <c r="T31" i="12"/>
  <c r="P31" i="12"/>
  <c r="T30" i="12"/>
  <c r="P30" i="12"/>
  <c r="T29" i="12"/>
  <c r="P29" i="12"/>
  <c r="T28" i="12"/>
  <c r="P28" i="12"/>
  <c r="T26" i="12"/>
  <c r="P26" i="12"/>
  <c r="T25" i="12"/>
  <c r="P25" i="12"/>
  <c r="I25" i="12"/>
  <c r="H25" i="12"/>
  <c r="G25" i="12"/>
  <c r="F25" i="12"/>
  <c r="E25" i="12"/>
  <c r="D25" i="12"/>
  <c r="C25" i="12"/>
  <c r="B25" i="12"/>
  <c r="T24" i="12"/>
  <c r="P24" i="12"/>
  <c r="T23" i="12"/>
  <c r="P23" i="12"/>
  <c r="T22" i="12"/>
  <c r="P22" i="12"/>
  <c r="T21" i="12"/>
  <c r="P21" i="12"/>
  <c r="T20" i="12"/>
  <c r="P20" i="12"/>
  <c r="T19" i="12"/>
  <c r="P19" i="12"/>
  <c r="T18" i="12"/>
  <c r="P18" i="12"/>
  <c r="T16" i="12"/>
  <c r="P16" i="12"/>
  <c r="T15" i="12"/>
  <c r="P15" i="12"/>
  <c r="T14" i="12"/>
  <c r="T13" i="12"/>
  <c r="T12" i="12"/>
  <c r="T11" i="12"/>
  <c r="T10" i="12"/>
  <c r="T9" i="12"/>
  <c r="P9" i="12"/>
  <c r="T8" i="12"/>
  <c r="P8" i="12"/>
  <c r="T7" i="12"/>
  <c r="P7" i="12"/>
  <c r="T6" i="12"/>
  <c r="P6" i="12"/>
  <c r="T5" i="12"/>
  <c r="P5" i="12"/>
  <c r="T4" i="12"/>
  <c r="P4" i="12"/>
  <c r="I3" i="12"/>
  <c r="H3" i="12"/>
  <c r="G3" i="12"/>
  <c r="F3" i="12"/>
  <c r="E3" i="12"/>
  <c r="D3" i="12"/>
  <c r="C3" i="12"/>
  <c r="B3" i="12"/>
  <c r="AF1" i="12"/>
  <c r="AO1" i="12" s="1"/>
  <c r="AX1" i="12" s="1"/>
  <c r="BG1" i="12" s="1"/>
  <c r="BP1" i="12" s="1"/>
  <c r="BY1" i="12" s="1"/>
  <c r="CH1" i="12" s="1"/>
  <c r="CQ1" i="12" s="1"/>
  <c r="CZ1" i="12" s="1"/>
  <c r="DI1" i="12" s="1"/>
  <c r="DR1" i="12" s="1"/>
  <c r="EA1" i="12" s="1"/>
  <c r="EJ1" i="12" s="1"/>
  <c r="ES1" i="12" s="1"/>
  <c r="FB1" i="12" s="1"/>
  <c r="FK1" i="12" s="1"/>
  <c r="FT1" i="12" s="1"/>
  <c r="GC1" i="12" s="1"/>
  <c r="GL1" i="12" s="1"/>
  <c r="AD1" i="12"/>
  <c r="AM1" i="12" s="1"/>
  <c r="AV1" i="12" s="1"/>
  <c r="BE1" i="12" s="1"/>
  <c r="BN1" i="12" s="1"/>
  <c r="BW1" i="12" s="1"/>
  <c r="CF1" i="12" s="1"/>
  <c r="CO1" i="12" s="1"/>
  <c r="CX1" i="12" s="1"/>
  <c r="DG1" i="12" s="1"/>
  <c r="DP1" i="12" s="1"/>
  <c r="DY1" i="12" s="1"/>
  <c r="EH1" i="12" s="1"/>
  <c r="EQ1" i="12" s="1"/>
  <c r="EZ1" i="12" s="1"/>
  <c r="FI1" i="12" s="1"/>
  <c r="FR1" i="12" s="1"/>
  <c r="GA1" i="12" s="1"/>
  <c r="GJ1" i="12" s="1"/>
  <c r="GS1" i="12" s="1"/>
  <c r="G273" i="13" l="1"/>
  <c r="T80" i="12"/>
  <c r="T83" i="12" s="1"/>
  <c r="P38" i="9"/>
  <c r="O31" i="7" l="1"/>
  <c r="L38" i="7" l="1"/>
  <c r="O37" i="7" l="1"/>
  <c r="O26" i="7" l="1"/>
  <c r="O12" i="7" l="1"/>
  <c r="G270" i="10" l="1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8" i="10"/>
  <c r="G97" i="10"/>
  <c r="G96" i="10"/>
  <c r="G95" i="10"/>
  <c r="G94" i="10"/>
  <c r="G93" i="10"/>
  <c r="G92" i="10"/>
  <c r="G90" i="10"/>
  <c r="G89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7" i="10"/>
  <c r="G56" i="10"/>
  <c r="G55" i="10"/>
  <c r="G54" i="10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GZ78" i="9"/>
  <c r="GU78" i="9"/>
  <c r="GS78" i="9"/>
  <c r="GR78" i="9"/>
  <c r="GQ78" i="9"/>
  <c r="GP78" i="9"/>
  <c r="GO78" i="9"/>
  <c r="GN78" i="9"/>
  <c r="GM78" i="9"/>
  <c r="GL78" i="9"/>
  <c r="GK78" i="9"/>
  <c r="GJ78" i="9"/>
  <c r="GI78" i="9"/>
  <c r="GH78" i="9"/>
  <c r="GG78" i="9"/>
  <c r="GF78" i="9"/>
  <c r="GE78" i="9"/>
  <c r="GD78" i="9"/>
  <c r="GC78" i="9"/>
  <c r="GB78" i="9"/>
  <c r="GA78" i="9"/>
  <c r="FZ78" i="9"/>
  <c r="FY78" i="9"/>
  <c r="FX78" i="9"/>
  <c r="FW78" i="9"/>
  <c r="FV78" i="9"/>
  <c r="FU78" i="9"/>
  <c r="FT78" i="9"/>
  <c r="FS78" i="9"/>
  <c r="FR78" i="9"/>
  <c r="FQ78" i="9"/>
  <c r="FP78" i="9"/>
  <c r="FO78" i="9"/>
  <c r="FN78" i="9"/>
  <c r="FM78" i="9"/>
  <c r="FL78" i="9"/>
  <c r="FK78" i="9"/>
  <c r="FJ78" i="9"/>
  <c r="FI78" i="9"/>
  <c r="FH78" i="9"/>
  <c r="FG78" i="9"/>
  <c r="FF78" i="9"/>
  <c r="FE78" i="9"/>
  <c r="FD78" i="9"/>
  <c r="FC78" i="9"/>
  <c r="FB78" i="9"/>
  <c r="FA78" i="9"/>
  <c r="EZ78" i="9"/>
  <c r="EY78" i="9"/>
  <c r="EX78" i="9"/>
  <c r="EW78" i="9"/>
  <c r="EV78" i="9"/>
  <c r="EU78" i="9"/>
  <c r="ET78" i="9"/>
  <c r="ES78" i="9"/>
  <c r="ER78" i="9"/>
  <c r="EQ78" i="9"/>
  <c r="EP78" i="9"/>
  <c r="EO78" i="9"/>
  <c r="EN78" i="9"/>
  <c r="EM78" i="9"/>
  <c r="EL78" i="9"/>
  <c r="EK78" i="9"/>
  <c r="EJ78" i="9"/>
  <c r="EI78" i="9"/>
  <c r="EH78" i="9"/>
  <c r="EG78" i="9"/>
  <c r="EF78" i="9"/>
  <c r="EE78" i="9"/>
  <c r="ED78" i="9"/>
  <c r="EC78" i="9"/>
  <c r="EB78" i="9"/>
  <c r="EA78" i="9"/>
  <c r="DZ78" i="9"/>
  <c r="DY78" i="9"/>
  <c r="DX78" i="9"/>
  <c r="DW78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R78" i="9"/>
  <c r="T77" i="9"/>
  <c r="T76" i="9"/>
  <c r="T75" i="9"/>
  <c r="O74" i="9"/>
  <c r="T74" i="9" s="1"/>
  <c r="T73" i="9"/>
  <c r="T72" i="9"/>
  <c r="T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P40" i="9"/>
  <c r="T39" i="9"/>
  <c r="P39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I24" i="9"/>
  <c r="H24" i="9"/>
  <c r="G24" i="9"/>
  <c r="F24" i="9"/>
  <c r="E24" i="9"/>
  <c r="D24" i="9"/>
  <c r="C24" i="9"/>
  <c r="B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T9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G271" i="10" l="1"/>
  <c r="T78" i="9"/>
  <c r="T81" i="9" s="1"/>
  <c r="W40" i="5"/>
  <c r="T13" i="5" l="1"/>
  <c r="T14" i="5"/>
  <c r="T15" i="5"/>
  <c r="P13" i="5"/>
  <c r="P14" i="5"/>
  <c r="T29" i="5"/>
  <c r="P29" i="5"/>
  <c r="G221" i="8" l="1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2" i="8"/>
  <c r="G121" i="8"/>
  <c r="G120" i="8"/>
  <c r="G119" i="8"/>
  <c r="G118" i="8"/>
  <c r="G116" i="8"/>
  <c r="G115" i="8"/>
  <c r="G114" i="8"/>
  <c r="G113" i="8"/>
  <c r="G112" i="8"/>
  <c r="G111" i="8"/>
  <c r="G110" i="8"/>
  <c r="G109" i="8"/>
  <c r="G108" i="8"/>
  <c r="G106" i="8"/>
  <c r="G105" i="8"/>
  <c r="G104" i="8"/>
  <c r="G103" i="8"/>
  <c r="G102" i="8"/>
  <c r="G101" i="8"/>
  <c r="G100" i="8"/>
  <c r="G99" i="8"/>
  <c r="G97" i="8"/>
  <c r="G95" i="8"/>
  <c r="G94" i="8"/>
  <c r="G93" i="8"/>
  <c r="G92" i="8"/>
  <c r="G91" i="8"/>
  <c r="G90" i="8"/>
  <c r="G89" i="8"/>
  <c r="G88" i="8"/>
  <c r="G86" i="8"/>
  <c r="G85" i="8"/>
  <c r="G83" i="8"/>
  <c r="G82" i="8"/>
  <c r="G81" i="8"/>
  <c r="G80" i="8"/>
  <c r="G79" i="8"/>
  <c r="G78" i="8"/>
  <c r="G77" i="8"/>
  <c r="G76" i="8"/>
  <c r="G75" i="8"/>
  <c r="G65" i="8"/>
  <c r="G64" i="8"/>
  <c r="G63" i="8"/>
  <c r="G62" i="8"/>
  <c r="G61" i="8"/>
  <c r="G60" i="8"/>
  <c r="G58" i="8"/>
  <c r="G57" i="8"/>
  <c r="G56" i="8"/>
  <c r="G55" i="8"/>
  <c r="G54" i="8"/>
  <c r="G53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7" i="8"/>
  <c r="G36" i="8"/>
  <c r="G35" i="8"/>
  <c r="G33" i="8"/>
  <c r="G30" i="8"/>
  <c r="G28" i="8"/>
  <c r="G27" i="8"/>
  <c r="G26" i="8"/>
  <c r="G25" i="8"/>
  <c r="G24" i="8"/>
  <c r="G22" i="8"/>
  <c r="G21" i="8"/>
  <c r="G20" i="8"/>
  <c r="G19" i="8"/>
  <c r="G18" i="8"/>
  <c r="G16" i="8"/>
  <c r="G15" i="8"/>
  <c r="G14" i="8"/>
  <c r="G12" i="8"/>
  <c r="G11" i="8"/>
  <c r="G10" i="8"/>
  <c r="G9" i="8"/>
  <c r="G8" i="8"/>
  <c r="G7" i="8"/>
  <c r="G6" i="8"/>
  <c r="G5" i="8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I85" i="7"/>
  <c r="H85" i="7"/>
  <c r="G85" i="7"/>
  <c r="F85" i="7"/>
  <c r="E85" i="7"/>
  <c r="D85" i="7"/>
  <c r="C85" i="7"/>
  <c r="B85" i="7"/>
  <c r="GZ78" i="7"/>
  <c r="GU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R78" i="7"/>
  <c r="T77" i="7"/>
  <c r="T76" i="7"/>
  <c r="T75" i="7"/>
  <c r="T73" i="7"/>
  <c r="T72" i="7"/>
  <c r="T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4" i="7"/>
  <c r="P24" i="7"/>
  <c r="I24" i="7"/>
  <c r="H24" i="7"/>
  <c r="G24" i="7"/>
  <c r="F24" i="7"/>
  <c r="E24" i="7"/>
  <c r="D24" i="7"/>
  <c r="C24" i="7"/>
  <c r="B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T16" i="7"/>
  <c r="P16" i="7"/>
  <c r="T15" i="7"/>
  <c r="P15" i="7"/>
  <c r="T14" i="7"/>
  <c r="P14" i="7"/>
  <c r="T13" i="7"/>
  <c r="P13" i="7"/>
  <c r="O74" i="7"/>
  <c r="T74" i="7" s="1"/>
  <c r="T11" i="7"/>
  <c r="P11" i="7"/>
  <c r="T10" i="7"/>
  <c r="P10" i="7"/>
  <c r="T9" i="7"/>
  <c r="P9" i="7"/>
  <c r="T8" i="7"/>
  <c r="P8" i="7"/>
  <c r="T7" i="7"/>
  <c r="P7" i="7"/>
  <c r="T6" i="7"/>
  <c r="P6" i="7"/>
  <c r="T5" i="7"/>
  <c r="P5" i="7"/>
  <c r="T4" i="7"/>
  <c r="P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G222" i="8" l="1"/>
  <c r="P12" i="7"/>
  <c r="T12" i="7"/>
  <c r="T78" i="7" s="1"/>
  <c r="T81" i="7" s="1"/>
  <c r="T10" i="5"/>
  <c r="P10" i="5"/>
  <c r="P11" i="5"/>
  <c r="T20" i="5"/>
  <c r="P20" i="5"/>
  <c r="O12" i="5"/>
  <c r="T46" i="5"/>
  <c r="P46" i="5"/>
  <c r="T45" i="5"/>
  <c r="P45" i="5"/>
  <c r="T44" i="5"/>
  <c r="P44" i="5"/>
  <c r="T43" i="5"/>
  <c r="T47" i="5"/>
  <c r="P43" i="5"/>
  <c r="P47" i="5"/>
  <c r="T31" i="5" l="1"/>
  <c r="P31" i="5"/>
  <c r="P32" i="5"/>
  <c r="U20" i="3" l="1"/>
  <c r="Q20" i="3"/>
  <c r="P27" i="3" l="1"/>
  <c r="P6" i="5" l="1"/>
  <c r="T6" i="5"/>
  <c r="T7" i="5"/>
  <c r="U36" i="3"/>
  <c r="U37" i="3"/>
  <c r="Q36" i="3"/>
  <c r="Q37" i="3"/>
  <c r="Q35" i="3"/>
  <c r="Q38" i="3"/>
  <c r="U35" i="3"/>
  <c r="U38" i="3"/>
  <c r="Q42" i="3" l="1"/>
  <c r="L39" i="1"/>
  <c r="U11" i="3" l="1"/>
  <c r="G135" i="6" l="1"/>
  <c r="G134" i="6"/>
  <c r="G136" i="6"/>
  <c r="G6" i="6"/>
  <c r="G5" i="6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GZ80" i="5"/>
  <c r="GU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R80" i="5"/>
  <c r="T79" i="5"/>
  <c r="T78" i="5"/>
  <c r="T77" i="5"/>
  <c r="T75" i="5"/>
  <c r="T74" i="5"/>
  <c r="T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T30" i="5"/>
  <c r="P30" i="5"/>
  <c r="T28" i="5"/>
  <c r="P28" i="5"/>
  <c r="T27" i="5"/>
  <c r="P27" i="5"/>
  <c r="T26" i="5"/>
  <c r="P26" i="5"/>
  <c r="T25" i="5"/>
  <c r="P25" i="5"/>
  <c r="I25" i="5"/>
  <c r="H25" i="5"/>
  <c r="G25" i="5"/>
  <c r="F25" i="5"/>
  <c r="E25" i="5"/>
  <c r="D25" i="5"/>
  <c r="C25" i="5"/>
  <c r="B25" i="5"/>
  <c r="T24" i="5"/>
  <c r="P24" i="5"/>
  <c r="T23" i="5"/>
  <c r="P23" i="5"/>
  <c r="T22" i="5"/>
  <c r="P22" i="5"/>
  <c r="T21" i="5"/>
  <c r="P21" i="5"/>
  <c r="T19" i="5"/>
  <c r="P19" i="5"/>
  <c r="T18" i="5"/>
  <c r="P18" i="5"/>
  <c r="O76" i="5"/>
  <c r="T76" i="5" s="1"/>
  <c r="T17" i="5"/>
  <c r="P17" i="5"/>
  <c r="T16" i="5"/>
  <c r="P16" i="5"/>
  <c r="P15" i="5"/>
  <c r="T12" i="5"/>
  <c r="P12" i="5"/>
  <c r="T11" i="5"/>
  <c r="T9" i="5"/>
  <c r="P9" i="5"/>
  <c r="T8" i="5"/>
  <c r="P8" i="5"/>
  <c r="P7" i="5"/>
  <c r="T5" i="5"/>
  <c r="P5" i="5"/>
  <c r="T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T80" i="5" l="1"/>
  <c r="T83" i="5" s="1"/>
  <c r="P4" i="5"/>
  <c r="P4" i="3"/>
  <c r="Q32" i="1" l="1"/>
  <c r="U32" i="1"/>
  <c r="U33" i="1"/>
  <c r="U14" i="3" l="1"/>
  <c r="Q14" i="3"/>
  <c r="P15" i="3" l="1"/>
  <c r="P23" i="1"/>
  <c r="Q25" i="3" l="1"/>
  <c r="Q26" i="3"/>
  <c r="Q27" i="3"/>
  <c r="G138" i="4" l="1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3" i="4"/>
  <c r="G122" i="4"/>
  <c r="G121" i="4"/>
  <c r="G120" i="4"/>
  <c r="G119" i="4"/>
  <c r="G117" i="4"/>
  <c r="G116" i="4"/>
  <c r="G115" i="4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HA74" i="3"/>
  <c r="GV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S74" i="3"/>
  <c r="U73" i="3"/>
  <c r="U72" i="3"/>
  <c r="U71" i="3"/>
  <c r="P70" i="3"/>
  <c r="U70" i="3" s="1"/>
  <c r="U69" i="3"/>
  <c r="U68" i="3"/>
  <c r="U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U41" i="3"/>
  <c r="Q41" i="3"/>
  <c r="U40" i="3"/>
  <c r="Q40" i="3"/>
  <c r="U39" i="3"/>
  <c r="Q39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U26" i="3"/>
  <c r="U25" i="3"/>
  <c r="U24" i="3"/>
  <c r="Q24" i="3"/>
  <c r="U23" i="3"/>
  <c r="Q23" i="3"/>
  <c r="U22" i="3"/>
  <c r="Q22" i="3"/>
  <c r="I22" i="3"/>
  <c r="H22" i="3"/>
  <c r="G22" i="3"/>
  <c r="F22" i="3"/>
  <c r="E22" i="3"/>
  <c r="D22" i="3"/>
  <c r="C22" i="3"/>
  <c r="B22" i="3"/>
  <c r="U21" i="3"/>
  <c r="Q21" i="3"/>
  <c r="U19" i="3"/>
  <c r="Q19" i="3"/>
  <c r="U18" i="3"/>
  <c r="Q18" i="3"/>
  <c r="U17" i="3"/>
  <c r="Q17" i="3"/>
  <c r="U16" i="3"/>
  <c r="Q16" i="3"/>
  <c r="U15" i="3"/>
  <c r="Q15" i="3"/>
  <c r="U13" i="3"/>
  <c r="Q13" i="3"/>
  <c r="U12" i="3"/>
  <c r="Q12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G139" i="4" l="1"/>
  <c r="U74" i="3"/>
  <c r="U77" i="3" s="1"/>
  <c r="U35" i="1"/>
  <c r="Q35" i="1"/>
  <c r="U36" i="1"/>
  <c r="U37" i="1"/>
  <c r="U38" i="1"/>
  <c r="U39" i="1"/>
  <c r="Q24" i="1" l="1"/>
  <c r="Q4" i="1" l="1"/>
  <c r="G105" i="2" l="1"/>
  <c r="G104" i="2"/>
  <c r="G103" i="2"/>
  <c r="G102" i="2"/>
  <c r="G101" i="2"/>
  <c r="G100" i="2"/>
  <c r="G99" i="2"/>
  <c r="G98" i="2"/>
  <c r="G97" i="2"/>
  <c r="G96" i="2"/>
  <c r="G94" i="2"/>
  <c r="G93" i="2"/>
  <c r="G92" i="2"/>
  <c r="G91" i="2"/>
  <c r="G89" i="2"/>
  <c r="G88" i="2"/>
  <c r="G86" i="2"/>
  <c r="G85" i="2"/>
  <c r="G84" i="2"/>
  <c r="G83" i="2"/>
  <c r="G82" i="2"/>
  <c r="G81" i="2"/>
  <c r="G80" i="2"/>
  <c r="G79" i="2"/>
  <c r="G77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59" i="2"/>
  <c r="G58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2" i="2"/>
  <c r="G31" i="2"/>
  <c r="G30" i="2"/>
  <c r="G29" i="2"/>
  <c r="G28" i="2"/>
  <c r="G26" i="2"/>
  <c r="G25" i="2"/>
  <c r="G24" i="2"/>
  <c r="G23" i="2"/>
  <c r="G22" i="2"/>
  <c r="G21" i="2"/>
  <c r="G19" i="2"/>
  <c r="G18" i="2"/>
  <c r="G17" i="2"/>
  <c r="G16" i="2"/>
  <c r="G15" i="2"/>
  <c r="G14" i="2"/>
  <c r="G13" i="2"/>
  <c r="G12" i="2"/>
  <c r="G11" i="2"/>
  <c r="G10" i="2"/>
  <c r="G9" i="2"/>
  <c r="G7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HA70" i="1"/>
  <c r="GV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U69" i="1"/>
  <c r="U68" i="1"/>
  <c r="U67" i="1"/>
  <c r="U65" i="1"/>
  <c r="U64" i="1"/>
  <c r="U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Q39" i="1"/>
  <c r="Q38" i="1"/>
  <c r="Q37" i="1"/>
  <c r="Q36" i="1"/>
  <c r="U34" i="1"/>
  <c r="Q34" i="1"/>
  <c r="Q33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3" i="1"/>
  <c r="P66" i="1"/>
  <c r="U66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G106" i="2" l="1"/>
  <c r="Q22" i="1"/>
  <c r="U22" i="1"/>
  <c r="U70" i="1" s="1"/>
  <c r="U73" i="1" s="1"/>
</calcChain>
</file>

<file path=xl/sharedStrings.xml><?xml version="1.0" encoding="utf-8"?>
<sst xmlns="http://schemas.openxmlformats.org/spreadsheetml/2006/main" count="8812" uniqueCount="1687">
  <si>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</si>
  <si>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</si>
  <si>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</si>
  <si>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</si>
  <si>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</si>
  <si>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</si>
  <si>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</si>
  <si>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</si>
  <si>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</si>
  <si>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</si>
  <si>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</si>
  <si>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</si>
  <si>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</si>
  <si>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</si>
  <si>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</si>
  <si>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</si>
  <si>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</si>
  <si>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</si>
  <si>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</si>
  <si>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</si>
  <si>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</si>
  <si>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</si>
  <si>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</si>
  <si>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</si>
  <si>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</si>
  <si>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</si>
  <si>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</si>
  <si>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</si>
  <si>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</si>
  <si>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</si>
  <si>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</si>
  <si>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</si>
  <si>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</si>
  <si>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</si>
  <si>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</si>
  <si>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</si>
  <si>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</si>
  <si>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</si>
  <si>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</si>
  <si>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</si>
  <si>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</si>
  <si>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</si>
  <si>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</si>
  <si>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</si>
  <si>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</si>
  <si>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</si>
  <si>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</si>
  <si>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</si>
  <si>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</si>
  <si>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</si>
  <si>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</si>
  <si>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</si>
  <si>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</si>
  <si>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</si>
  <si>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</si>
  <si>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</si>
  <si>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</si>
  <si>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</si>
  <si>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</si>
  <si>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</si>
  <si>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</si>
  <si>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</si>
  <si>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</si>
  <si>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</si>
  <si>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</si>
  <si>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</si>
  <si>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</si>
  <si>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</si>
  <si>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</si>
  <si>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</si>
  <si>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</si>
  <si>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</si>
  <si>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</si>
  <si>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</si>
  <si>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</si>
  <si>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</si>
  <si>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</si>
  <si>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</si>
  <si>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</si>
  <si>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</si>
  <si>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</si>
  <si>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</si>
  <si>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</si>
  <si>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</si>
  <si>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</si>
  <si>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</si>
  <si>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</si>
  <si>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</si>
  <si>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</si>
  <si>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</si>
  <si>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</si>
  <si>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</si>
  <si>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</si>
  <si>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</si>
  <si>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</si>
  <si>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</si>
  <si>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</si>
  <si>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</si>
  <si>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</si>
  <si>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</si>
  <si>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</si>
  <si>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</si>
  <si>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</si>
  <si>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</si>
  <si>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</si>
  <si>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</si>
  <si>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</si>
  <si>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</si>
  <si>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</si>
  <si>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</si>
  <si>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</si>
  <si>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</si>
  <si>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</si>
  <si>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</si>
  <si>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</si>
  <si>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</si>
  <si>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</si>
  <si>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</si>
  <si>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</si>
  <si>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</si>
  <si>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</si>
  <si>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</si>
  <si>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</si>
  <si>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</si>
  <si>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</si>
  <si>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</si>
  <si>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</si>
  <si>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</si>
  <si>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</si>
  <si>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</si>
  <si>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</si>
  <si>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</si>
  <si>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</si>
  <si>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</si>
  <si>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</si>
  <si>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</si>
  <si>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</si>
  <si>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</si>
  <si>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</si>
  <si>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</si>
  <si>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</si>
  <si>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</si>
  <si>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</si>
  <si>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</si>
  <si>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</si>
  <si>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</si>
  <si>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</si>
  <si>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</si>
  <si>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</si>
  <si>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</si>
  <si>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</si>
  <si>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</si>
  <si>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</si>
  <si>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</si>
  <si>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</si>
  <si>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</si>
  <si>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</si>
  <si>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</si>
  <si>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</si>
  <si>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</si>
  <si>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</si>
  <si>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</si>
  <si>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</si>
  <si>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</si>
  <si>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</si>
  <si>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</si>
  <si>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</si>
  <si>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</si>
  <si>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</si>
  <si>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</si>
  <si>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</si>
  <si>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</si>
  <si>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</si>
  <si>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</si>
  <si>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</si>
  <si>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</si>
  <si>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</si>
  <si>
    <t>ENTRADAS DEL MES DE     M A R Z O                         2 0 1 7</t>
  </si>
  <si>
    <t>CANALES 201</t>
  </si>
  <si>
    <t>CANALES 200-1</t>
  </si>
  <si>
    <t>PORCICOLA SAN BERNARDO  200</t>
  </si>
  <si>
    <t>AGROPECUARIA LA CHEMITA   129</t>
  </si>
  <si>
    <t>CANAQLES 106</t>
  </si>
  <si>
    <t xml:space="preserve">PORCICOLA SAN BERNARDO    </t>
  </si>
  <si>
    <t>CANALES 20</t>
  </si>
  <si>
    <t>754--755</t>
  </si>
  <si>
    <t>751--752</t>
  </si>
  <si>
    <t>5971--5972--5973--5974 nc 355</t>
  </si>
  <si>
    <t>759--760</t>
  </si>
  <si>
    <t>5130--5131</t>
  </si>
  <si>
    <t>Rivera A-6682</t>
  </si>
  <si>
    <t>Rivera A-6683</t>
  </si>
  <si>
    <t>Rivera A-6684</t>
  </si>
  <si>
    <t>Rivera A-6685</t>
  </si>
  <si>
    <t>Rivera A-6686</t>
  </si>
  <si>
    <t>Rivera A-6687</t>
  </si>
  <si>
    <t>Rivera A-6688</t>
  </si>
  <si>
    <t>771--772</t>
  </si>
  <si>
    <t>764--765</t>
  </si>
  <si>
    <t>774--775</t>
  </si>
  <si>
    <t>769--770</t>
  </si>
  <si>
    <t>833--834</t>
  </si>
  <si>
    <t>5033--5034</t>
  </si>
  <si>
    <t>837--838</t>
  </si>
  <si>
    <t>5041--5042</t>
  </si>
  <si>
    <t>GERARDO PULIDO BARRA</t>
  </si>
  <si>
    <t>RES</t>
  </si>
  <si>
    <t>PATAS</t>
  </si>
  <si>
    <t>Cuero pierna</t>
  </si>
  <si>
    <t>GERARDO PULIDO BARBA</t>
  </si>
  <si>
    <t>CANALES 260</t>
  </si>
  <si>
    <t>CANALES 99</t>
  </si>
  <si>
    <t>GANADERIA RANCHO SAN FELIPE 200-2</t>
  </si>
  <si>
    <t xml:space="preserve">PORCICOLA SAN BERNARDO </t>
  </si>
  <si>
    <t>CANALES 131</t>
  </si>
  <si>
    <t>CANALES 190</t>
  </si>
  <si>
    <t>789--790 nc-26</t>
  </si>
  <si>
    <t>5161--5162</t>
  </si>
  <si>
    <t>Rivera A-6689</t>
  </si>
  <si>
    <t>Rivera A-6690</t>
  </si>
  <si>
    <t>Rivera A-6736</t>
  </si>
  <si>
    <t>Rivera A-6735</t>
  </si>
  <si>
    <t>793--794--</t>
  </si>
  <si>
    <t>x</t>
  </si>
  <si>
    <t>796--797</t>
  </si>
  <si>
    <t>5063--5064</t>
  </si>
  <si>
    <t>Rivera A 6737</t>
  </si>
  <si>
    <t>Rivera A-6738</t>
  </si>
  <si>
    <t>Rivera A-6739</t>
  </si>
  <si>
    <t>Rivera A-6787</t>
  </si>
  <si>
    <t>Rivera A-6789</t>
  </si>
  <si>
    <t>5167--5168</t>
  </si>
  <si>
    <t>5178--5179</t>
  </si>
  <si>
    <t>5173--5174</t>
  </si>
  <si>
    <t>5473 Folio 4091</t>
  </si>
  <si>
    <t>5472 Folio 4090</t>
  </si>
  <si>
    <t>5473 Folio 4090</t>
  </si>
  <si>
    <t xml:space="preserve">GERARDO PULIDO </t>
  </si>
  <si>
    <t>Transferencia</t>
  </si>
  <si>
    <t>Cuero Pierna</t>
  </si>
  <si>
    <t>EL GRANGERO FELIZ</t>
  </si>
  <si>
    <t>Tripas</t>
  </si>
  <si>
    <t>PAI--93163 FOLIO 4076</t>
  </si>
  <si>
    <t>843--844</t>
  </si>
  <si>
    <t>846--847</t>
  </si>
  <si>
    <t>815--816</t>
  </si>
  <si>
    <t>5195--5196</t>
  </si>
  <si>
    <t>5197--5198</t>
  </si>
  <si>
    <t>TRIPAS</t>
  </si>
  <si>
    <t>NLP</t>
  </si>
  <si>
    <t xml:space="preserve">GRANJERO FELIZ S DE RL DE CV </t>
  </si>
  <si>
    <t>PCI 2406</t>
  </si>
  <si>
    <t>CANALES  260</t>
  </si>
  <si>
    <t>AGROPECUARIA EL DORADOR</t>
  </si>
  <si>
    <t xml:space="preserve">GANADERIA RANCHO SAN FELIPE </t>
  </si>
  <si>
    <t>CANALES  129</t>
  </si>
  <si>
    <t xml:space="preserve">CARNES SELECTAS EL CIEN SA DE CV </t>
  </si>
  <si>
    <t>MEDIA RES 1 Chelco + 1 pierna</t>
  </si>
  <si>
    <t>CHALECO DE RES</t>
  </si>
  <si>
    <t>ARRACHERA DE RES</t>
  </si>
  <si>
    <t xml:space="preserve">ESPINAZO ENTERO </t>
  </si>
  <si>
    <t>825--826</t>
  </si>
  <si>
    <t>5190--5191</t>
  </si>
  <si>
    <t>5077--5078</t>
  </si>
  <si>
    <t>852--853</t>
  </si>
  <si>
    <t>858--859--nc 27</t>
  </si>
  <si>
    <t>Rivera A-6794</t>
  </si>
  <si>
    <t>Rivera A-6795</t>
  </si>
  <si>
    <t>Rivera A-6796</t>
  </si>
  <si>
    <t>Rivera A-6797</t>
  </si>
  <si>
    <t>Rivera A-6798</t>
  </si>
  <si>
    <t>Rivera A-6799</t>
  </si>
  <si>
    <t>5217--5218</t>
  </si>
  <si>
    <t>5476--Folio 4152</t>
  </si>
  <si>
    <t>res</t>
  </si>
  <si>
    <t>2305--2306</t>
  </si>
  <si>
    <t>CANALES 40</t>
  </si>
  <si>
    <t>5205--5206</t>
  </si>
  <si>
    <t>ENTRADAS DEL MES DE     A B R I L                          2 0 1 7</t>
  </si>
  <si>
    <t xml:space="preserve">ENTRADAS   DEL  MES   DE   ABRIL     2 0 1 7 </t>
  </si>
  <si>
    <t xml:space="preserve">A-84744  </t>
  </si>
  <si>
    <t>2298--2299*</t>
  </si>
  <si>
    <t>CANALES 203</t>
  </si>
  <si>
    <t>2270--2271</t>
  </si>
  <si>
    <t>2290--2278/</t>
  </si>
  <si>
    <t>2286--2287</t>
  </si>
  <si>
    <t>864--865</t>
  </si>
  <si>
    <t>3301--3302</t>
  </si>
  <si>
    <t>5225--5226</t>
  </si>
  <si>
    <t>870--871</t>
  </si>
  <si>
    <t>Rivera A-6870</t>
  </si>
  <si>
    <t>Rivera A-6871</t>
  </si>
  <si>
    <t>Rivera A-6872</t>
  </si>
  <si>
    <t>Rivera A-6873</t>
  </si>
  <si>
    <t>Rivera A-6874</t>
  </si>
  <si>
    <t>Rivera A-6875</t>
  </si>
  <si>
    <t>Rivera A-6876</t>
  </si>
  <si>
    <t>Rivera A-6877</t>
  </si>
  <si>
    <t>Rivera A-6904</t>
  </si>
  <si>
    <t>Rivera A-6905</t>
  </si>
  <si>
    <t>358--360</t>
  </si>
  <si>
    <t>AGROPECUARIA EL DORADO        129</t>
  </si>
  <si>
    <t>5240--5241</t>
  </si>
  <si>
    <t>5229--5230</t>
  </si>
  <si>
    <t>2314--2315</t>
  </si>
  <si>
    <t>850--851</t>
  </si>
  <si>
    <t>856--857</t>
  </si>
  <si>
    <t>370--371</t>
  </si>
  <si>
    <t>2329--2320</t>
  </si>
  <si>
    <t>PCI-2471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</si>
  <si>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</si>
  <si>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 200</t>
    </r>
  </si>
  <si>
    <t xml:space="preserve">AGROPECUARIA EL TOPETE       </t>
  </si>
  <si>
    <t>CANALES  200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</si>
  <si>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 200</t>
    </r>
  </si>
  <si>
    <t>CANALES 249</t>
  </si>
  <si>
    <t xml:space="preserve">EL GRANJERO FELIZ S DE RL </t>
  </si>
  <si>
    <t>PCI-2491</t>
  </si>
  <si>
    <t xml:space="preserve">INDS DE PORCINOS DELTA SA DE CV </t>
  </si>
  <si>
    <t>CANALES 239</t>
  </si>
  <si>
    <r>
      <t xml:space="preserve">ATOSA    </t>
    </r>
    <r>
      <rPr>
        <b/>
        <sz val="12"/>
        <color rgb="FF0000FF"/>
        <rFont val="Calibri"/>
        <family val="2"/>
        <scheme val="minor"/>
      </rPr>
      <t xml:space="preserve"> 234</t>
    </r>
  </si>
  <si>
    <r>
      <t xml:space="preserve">ATOSA     </t>
    </r>
    <r>
      <rPr>
        <b/>
        <sz val="12"/>
        <color rgb="FF0000FF"/>
        <rFont val="Calibri"/>
        <family val="2"/>
        <scheme val="minor"/>
      </rPr>
      <t>144</t>
    </r>
  </si>
  <si>
    <t>CANALES 272</t>
  </si>
  <si>
    <t>CANALES  228</t>
  </si>
  <si>
    <t>A-90196</t>
  </si>
  <si>
    <t>Rivera A-6927</t>
  </si>
  <si>
    <t>Rivera A-6928</t>
  </si>
  <si>
    <t>Rivera A-6929</t>
  </si>
  <si>
    <t>Rivera A-6930</t>
  </si>
  <si>
    <t>Rivera A-6931</t>
  </si>
  <si>
    <t>Rivera A-6932</t>
  </si>
  <si>
    <r>
      <t xml:space="preserve">ATOSA  </t>
    </r>
    <r>
      <rPr>
        <b/>
        <sz val="12"/>
        <color rgb="FF0000FF"/>
        <rFont val="Calibri"/>
        <family val="2"/>
        <scheme val="minor"/>
      </rPr>
      <t xml:space="preserve"> 249-</t>
    </r>
    <r>
      <rPr>
        <b/>
        <sz val="12"/>
        <color rgb="FFFF0000"/>
        <rFont val="Calibri"/>
        <family val="2"/>
        <scheme val="minor"/>
      </rPr>
      <t>-10</t>
    </r>
    <r>
      <rPr>
        <b/>
        <sz val="12"/>
        <color rgb="FF0000FF"/>
        <rFont val="Calibri"/>
        <family val="2"/>
        <scheme val="minor"/>
      </rPr>
      <t xml:space="preserve"> salida rastro 239 pzas con 21,770.00kg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</si>
  <si>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</si>
  <si>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200</t>
    </r>
  </si>
  <si>
    <t>CANALES  250</t>
  </si>
  <si>
    <t xml:space="preserve">AGROPECUARIA EL DORADO </t>
  </si>
  <si>
    <t>CANALES   250</t>
  </si>
  <si>
    <r>
      <t>AGROPECUARIA LAS RESES  250--</t>
    </r>
    <r>
      <rPr>
        <b/>
        <sz val="11"/>
        <color rgb="FFFF0000"/>
        <rFont val="Calibri"/>
        <family val="2"/>
        <scheme val="minor"/>
      </rPr>
      <t>7 quebrados</t>
    </r>
  </si>
  <si>
    <t>A-90393</t>
  </si>
  <si>
    <t>5249--5250</t>
  </si>
  <si>
    <t>A-90414</t>
  </si>
  <si>
    <t>373--374</t>
  </si>
  <si>
    <t>5260--5261</t>
  </si>
  <si>
    <t>376--377</t>
  </si>
  <si>
    <r>
      <t xml:space="preserve">GANADERIA RANCHO SAN FELIPE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</si>
  <si>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GANADERIA RANCHO SAN FELIPE  </t>
    </r>
    <r>
      <rPr>
        <b/>
        <sz val="12"/>
        <color rgb="FF0000FF"/>
        <rFont val="Calibri"/>
        <family val="2"/>
        <scheme val="minor"/>
      </rPr>
      <t xml:space="preserve"> 200  </t>
    </r>
  </si>
  <si>
    <r>
      <t xml:space="preserve">PORCICOLA SOTO    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</si>
  <si>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</si>
  <si>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t>380-- 381</t>
  </si>
  <si>
    <t>NORMA LEDO PARRA</t>
  </si>
  <si>
    <t>CANALES  250--2</t>
  </si>
  <si>
    <t>386--387</t>
  </si>
  <si>
    <t>890-891-nc-27</t>
  </si>
  <si>
    <t>888-889</t>
  </si>
  <si>
    <t>898--899</t>
  </si>
  <si>
    <r>
      <t xml:space="preserve">PORSICOLA SOTO   </t>
    </r>
    <r>
      <rPr>
        <b/>
        <sz val="14"/>
        <color rgb="FF0000FF"/>
        <rFont val="Calibri"/>
        <family val="2"/>
        <scheme val="minor"/>
      </rPr>
      <t xml:space="preserve"> 128</t>
    </r>
  </si>
  <si>
    <t>5281-5282</t>
  </si>
  <si>
    <t>Rivera A-6993</t>
  </si>
  <si>
    <t>Rivera A-6994</t>
  </si>
  <si>
    <t>Rivera A-6995</t>
  </si>
  <si>
    <t>Rivera A-6996</t>
  </si>
  <si>
    <t>ASO</t>
  </si>
  <si>
    <t>5287--5288</t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</si>
  <si>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200</t>
    </r>
  </si>
  <si>
    <t>CANALES 130--1</t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</si>
  <si>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 xml:space="preserve">  130</t>
    </r>
  </si>
  <si>
    <t>5294-5295 NC 316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</si>
  <si>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</si>
  <si>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>900--901</t>
  </si>
  <si>
    <r>
      <t xml:space="preserve">PORSICOLA SOTO         </t>
    </r>
    <r>
      <rPr>
        <b/>
        <sz val="12"/>
        <color rgb="FF0000FF"/>
        <rFont val="Calibri"/>
        <family val="2"/>
        <scheme val="minor"/>
      </rPr>
      <t xml:space="preserve">   250</t>
    </r>
  </si>
  <si>
    <t>CANALES 247</t>
  </si>
  <si>
    <r>
      <t xml:space="preserve">GANADERIA RANCHO SAN FELIPE     </t>
    </r>
    <r>
      <rPr>
        <b/>
        <sz val="12"/>
        <color rgb="FF0000FF"/>
        <rFont val="Calibri"/>
        <family val="2"/>
        <scheme val="minor"/>
      </rPr>
      <t xml:space="preserve"> 126</t>
    </r>
  </si>
  <si>
    <t>ENTRADAS DEL MES DE     MAYO                          2 0 1 7</t>
  </si>
  <si>
    <t xml:space="preserve">ENTRADAS   DEL  MES   DE  M A Y O      2 0 1 7 </t>
  </si>
  <si>
    <t>2266--2267</t>
  </si>
  <si>
    <t>5305--5306</t>
  </si>
  <si>
    <t>395--396</t>
  </si>
  <si>
    <t>Rivera A-6997</t>
  </si>
  <si>
    <t>Rivera A-6998</t>
  </si>
  <si>
    <t>Rivera A-7043</t>
  </si>
  <si>
    <t>Rivera A-7044</t>
  </si>
  <si>
    <t>Rivera A-7045</t>
  </si>
  <si>
    <t>5308--5309</t>
  </si>
  <si>
    <t>912--913</t>
  </si>
  <si>
    <t>5315--5316</t>
  </si>
  <si>
    <t>5324--5325</t>
  </si>
  <si>
    <t>6014--6015</t>
  </si>
  <si>
    <t>915--916</t>
  </si>
  <si>
    <t>923--924</t>
  </si>
  <si>
    <t>6025--6026</t>
  </si>
  <si>
    <t>Rivera A-7046</t>
  </si>
  <si>
    <t>Rivera A-7047</t>
  </si>
  <si>
    <t>Rivera A-7067</t>
  </si>
  <si>
    <t>Rivera A-7068</t>
  </si>
  <si>
    <t>Rivera A-7069</t>
  </si>
  <si>
    <t>Rivera A-7089</t>
  </si>
  <si>
    <t>940--941</t>
  </si>
  <si>
    <t>947--948</t>
  </si>
  <si>
    <t>6034--6035--NC-357-356</t>
  </si>
  <si>
    <t>CANALES   243</t>
  </si>
  <si>
    <t>5352-5353-NC-320</t>
  </si>
  <si>
    <t>926--927</t>
  </si>
  <si>
    <t>5350--5351</t>
  </si>
  <si>
    <t>5364--5365</t>
  </si>
  <si>
    <t>6051--6050</t>
  </si>
  <si>
    <t>T-4446</t>
  </si>
  <si>
    <t>5382--5381</t>
  </si>
  <si>
    <t>Rivera A-7123</t>
  </si>
  <si>
    <t>Rivera A-7124</t>
  </si>
  <si>
    <t>Rivera A-7125</t>
  </si>
  <si>
    <t>Rivera A-7126</t>
  </si>
  <si>
    <t>Rivera A-7127</t>
  </si>
  <si>
    <t>Rivera A-7128</t>
  </si>
  <si>
    <t>5386--5387</t>
  </si>
  <si>
    <t>6054--6055</t>
  </si>
  <si>
    <t>980--981</t>
  </si>
  <si>
    <t>982--983--NC-29</t>
  </si>
  <si>
    <t>5400--5401</t>
  </si>
  <si>
    <t>5406--5407</t>
  </si>
  <si>
    <t>2372--2373</t>
  </si>
  <si>
    <t>VIANSA ALIMENTOS</t>
  </si>
  <si>
    <t>PERNIL</t>
  </si>
  <si>
    <t xml:space="preserve">FACTURADO A  N L P </t>
  </si>
  <si>
    <t>VIP-1731 Folio 4273</t>
  </si>
  <si>
    <t>VIP-1732 Folio 4306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</si>
  <si>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</si>
  <si>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</t>
    </r>
    <r>
      <rPr>
        <b/>
        <sz val="12"/>
        <color rgb="FF0000FF"/>
        <rFont val="Calibri"/>
        <family val="1"/>
        <scheme val="minor"/>
      </rPr>
      <t xml:space="preserve"> 130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</si>
  <si>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201</t>
    </r>
  </si>
  <si>
    <t>CANALES 200-2</t>
  </si>
  <si>
    <t>2354--2355</t>
  </si>
  <si>
    <t>5366-5367--nc-321</t>
  </si>
  <si>
    <t>987--988</t>
  </si>
  <si>
    <t>5409--5410</t>
  </si>
  <si>
    <t>Rivera A-7129</t>
  </si>
  <si>
    <t>Rivera A-7130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</si>
  <si>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130</t>
    </r>
  </si>
  <si>
    <r>
      <t>PORCICOLA SAN BERNARDO</t>
    </r>
    <r>
      <rPr>
        <b/>
        <sz val="12"/>
        <color rgb="FF0000FF"/>
        <rFont val="Calibri"/>
        <family val="2"/>
        <scheme val="minor"/>
      </rPr>
      <t xml:space="preserve"> 215</t>
    </r>
  </si>
  <si>
    <t>CANALES 119-4</t>
  </si>
  <si>
    <t>CANALES 199-3</t>
  </si>
  <si>
    <t>CANALES 200-3</t>
  </si>
  <si>
    <t>2386--2387</t>
  </si>
  <si>
    <t>5413--5414</t>
  </si>
  <si>
    <t>2390--2391</t>
  </si>
  <si>
    <t>T-4498</t>
  </si>
  <si>
    <t>5422--5423</t>
  </si>
  <si>
    <t>5424--5425</t>
  </si>
  <si>
    <t>Rivera A-7158</t>
  </si>
  <si>
    <t>Rivera A-7195</t>
  </si>
  <si>
    <t>Rivera A-7196</t>
  </si>
  <si>
    <t>Rivera A-7197</t>
  </si>
  <si>
    <t xml:space="preserve">COMBOS </t>
  </si>
  <si>
    <t xml:space="preserve">VIANSA ALIMENTOS </t>
  </si>
  <si>
    <t xml:space="preserve">TRANSFERENCIA S </t>
  </si>
  <si>
    <t>ENTRADAS DEL MES DE     JUNIO                           2 0 1 7</t>
  </si>
  <si>
    <t xml:space="preserve">ENTRADAS   DEL  MES   DE    J U N I O       2 0 1 7 </t>
  </si>
  <si>
    <t>5432--5433</t>
  </si>
  <si>
    <t>5438--5439</t>
  </si>
  <si>
    <t>2401--2402</t>
  </si>
  <si>
    <t>5214--5215</t>
  </si>
  <si>
    <t>5443--5444</t>
  </si>
  <si>
    <t>1015--1016</t>
  </si>
  <si>
    <t>5453--5454  nc--322</t>
  </si>
  <si>
    <t>5455--5456</t>
  </si>
  <si>
    <t>2411--2412</t>
  </si>
  <si>
    <t>Rivera A-7199</t>
  </si>
  <si>
    <t>Rivera A-7200</t>
  </si>
  <si>
    <t>Rivera A-7201</t>
  </si>
  <si>
    <t>Rivera A-7202</t>
  </si>
  <si>
    <t>Rivera A-7203</t>
  </si>
  <si>
    <t>2413--2414</t>
  </si>
  <si>
    <t>5460--5461</t>
  </si>
  <si>
    <t>2420--2421</t>
  </si>
  <si>
    <t>2422--2423</t>
  </si>
  <si>
    <t>1038--1039</t>
  </si>
  <si>
    <t>2430--2431</t>
  </si>
  <si>
    <t>2437--2438</t>
  </si>
  <si>
    <t>2444--2484--nc--105</t>
  </si>
  <si>
    <t xml:space="preserve">nc-105 x 219.06 kg Aplicada en canales del 23 Mayo </t>
  </si>
  <si>
    <t>Rivera A-7204</t>
  </si>
  <si>
    <t>Rivera A-7205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</si>
  <si>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>131</t>
    </r>
  </si>
  <si>
    <t xml:space="preserve">AGROPECUARIA LA GABY  </t>
  </si>
  <si>
    <r>
      <t>CANALES 200</t>
    </r>
    <r>
      <rPr>
        <b/>
        <sz val="12"/>
        <color rgb="FF0000FF"/>
        <rFont val="Calibri"/>
        <family val="2"/>
        <scheme val="minor"/>
      </rPr>
      <t>--1</t>
    </r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</si>
  <si>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</si>
  <si>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130</t>
    </r>
  </si>
  <si>
    <t>CANALES 258</t>
  </si>
  <si>
    <t>CANALES 226</t>
  </si>
  <si>
    <t>Rivera A-7206</t>
  </si>
  <si>
    <t>Rivera A-7207</t>
  </si>
  <si>
    <t>Rivera A-7208</t>
  </si>
  <si>
    <t>1048--1049</t>
  </si>
  <si>
    <t>1053--1054</t>
  </si>
  <si>
    <t>COMBOS</t>
  </si>
  <si>
    <t xml:space="preserve">Transferencia </t>
  </si>
  <si>
    <t>AGROPECUARIA LA GABRY</t>
  </si>
  <si>
    <t xml:space="preserve">AGROPECUARIA EL TOPETE  </t>
  </si>
  <si>
    <t>CANALES 128-2</t>
  </si>
  <si>
    <t>CANALES 259</t>
  </si>
  <si>
    <t>CANALES 221</t>
  </si>
  <si>
    <t>T-4575</t>
  </si>
  <si>
    <t>2460--2461</t>
  </si>
  <si>
    <t>994--995</t>
  </si>
  <si>
    <t>2462--2463</t>
  </si>
  <si>
    <t>Rivera A-7301</t>
  </si>
  <si>
    <t>Rivera A-7302</t>
  </si>
  <si>
    <t>Rivera A-7303</t>
  </si>
  <si>
    <t>Rivera A-7304</t>
  </si>
  <si>
    <t>Rivera A-7305</t>
  </si>
  <si>
    <t>5483--5484</t>
  </si>
  <si>
    <t>1001--1002--nc--31</t>
  </si>
  <si>
    <t>2468--2470--------nc--106</t>
  </si>
  <si>
    <t>2471--2472-- NC--1017</t>
  </si>
  <si>
    <t>Rivera A-7306</t>
  </si>
  <si>
    <t>Rivera A-7307</t>
  </si>
  <si>
    <t>Rivera A-7308</t>
  </si>
  <si>
    <t>Rivera A-7309</t>
  </si>
  <si>
    <t>Rivera A-7326</t>
  </si>
  <si>
    <t>Rivera A-7327</t>
  </si>
  <si>
    <t>3429--3430--130</t>
  </si>
  <si>
    <t>1081--10852</t>
  </si>
  <si>
    <t>22,750 KG Hay dif de 300.00 KG</t>
  </si>
  <si>
    <t>1077--1078</t>
  </si>
  <si>
    <t>5243--5244</t>
  </si>
  <si>
    <t>1094--1095</t>
  </si>
  <si>
    <t>1086---1087</t>
  </si>
  <si>
    <t>CANALES 236</t>
  </si>
  <si>
    <r>
      <t xml:space="preserve">AGROPECUARIA LA CHEMITA  </t>
    </r>
    <r>
      <rPr>
        <b/>
        <sz val="12"/>
        <color rgb="FF0000FF"/>
        <rFont val="Calibri"/>
        <family val="2"/>
        <scheme val="minor"/>
      </rPr>
      <t xml:space="preserve"> 250</t>
    </r>
  </si>
  <si>
    <t>GRANJERO FELIZ S DE RL</t>
  </si>
  <si>
    <t>PCI-2896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</si>
  <si>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4500</t>
    </r>
  </si>
  <si>
    <t xml:space="preserve">GRANJERO FELIZ S DE RL 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</si>
  <si>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4510</t>
    </r>
  </si>
  <si>
    <t>1018--1019</t>
  </si>
  <si>
    <r>
      <t xml:space="preserve">CANALES </t>
    </r>
    <r>
      <rPr>
        <b/>
        <sz val="12"/>
        <color rgb="FF0000FF"/>
        <rFont val="Calibri"/>
        <family val="2"/>
        <scheme val="minor"/>
      </rPr>
      <t>10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</si>
  <si>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200</t>
    </r>
  </si>
  <si>
    <t>5252--5253</t>
  </si>
  <si>
    <t>1105--1106</t>
  </si>
  <si>
    <t>3453--3454</t>
  </si>
  <si>
    <t>2492--2493--nc-112</t>
  </si>
  <si>
    <t>Rivera A-7378</t>
  </si>
  <si>
    <t>Rivera A-7379</t>
  </si>
  <si>
    <t>Rivera A-7380</t>
  </si>
  <si>
    <t>Rivera A-7381</t>
  </si>
  <si>
    <t>AGROPECUARIA SAN BERNARDO</t>
  </si>
  <si>
    <t>CANALES 140</t>
  </si>
  <si>
    <t>Rivera A-7382</t>
  </si>
  <si>
    <t>NLP F/VIP-1860</t>
  </si>
  <si>
    <t>NLP/F--VIP1776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</si>
  <si>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260-1</t>
    </r>
  </si>
  <si>
    <t>CANALES 40-1</t>
  </si>
  <si>
    <t>CANALES 218</t>
  </si>
  <si>
    <t>CANALES  225</t>
  </si>
  <si>
    <r>
      <t xml:space="preserve">AGROPECUARIA LA CHEMITA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</si>
  <si>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PASO BLANCO   </t>
    </r>
    <r>
      <rPr>
        <b/>
        <sz val="12"/>
        <color rgb="FF0000FF"/>
        <rFont val="Calibri"/>
        <family val="2"/>
        <scheme val="minor"/>
      </rPr>
      <t>125</t>
    </r>
  </si>
  <si>
    <t>T-4768</t>
  </si>
  <si>
    <t xml:space="preserve">ENTRADAS   DEL  MES   DE    J U L I O       2 0 1 7 </t>
  </si>
  <si>
    <t>ENTRADAS DEL MES DE     JULIO                           2 0 1 7</t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</si>
  <si>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260</t>
    </r>
  </si>
  <si>
    <t xml:space="preserve">PORCICOLA PASO BLANCO   </t>
  </si>
  <si>
    <t xml:space="preserve">AGROPECUARIA LAS RESES </t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</si>
  <si>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220</t>
    </r>
  </si>
  <si>
    <t>CANALES 209</t>
  </si>
  <si>
    <t>CANALES 215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</si>
  <si>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</si>
  <si>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LAS RESES 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</si>
  <si>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</si>
  <si>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</si>
  <si>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>208</t>
    </r>
  </si>
  <si>
    <t>CANALES  199</t>
  </si>
  <si>
    <t>5257--5258</t>
  </si>
  <si>
    <t>5284--5285</t>
  </si>
  <si>
    <t>5506--5507</t>
  </si>
  <si>
    <t>5290--5291</t>
  </si>
  <si>
    <t>6128--6129</t>
  </si>
  <si>
    <t>5293--5294</t>
  </si>
  <si>
    <t>3464--3465</t>
  </si>
  <si>
    <t>5296--5297</t>
  </si>
  <si>
    <t>5515--5516</t>
  </si>
  <si>
    <t>1121--1122-NC-32</t>
  </si>
  <si>
    <t>5280--5281--NC-337</t>
  </si>
  <si>
    <t>5299--530</t>
  </si>
  <si>
    <t>2511--2512</t>
  </si>
  <si>
    <t>Rivera A-7383</t>
  </si>
  <si>
    <t>Rivera A-7395</t>
  </si>
  <si>
    <t>Rivera A-7444</t>
  </si>
  <si>
    <t>Rivera A-7445</t>
  </si>
  <si>
    <t>Rivera A-7446</t>
  </si>
  <si>
    <t>Rivera A-7447</t>
  </si>
  <si>
    <t>Rivera A-7448</t>
  </si>
  <si>
    <t>Rivera A-7449</t>
  </si>
  <si>
    <t>Rivera A-7450</t>
  </si>
  <si>
    <t>5525--5526</t>
  </si>
  <si>
    <t>5311--5312</t>
  </si>
  <si>
    <t>5519--5520</t>
  </si>
  <si>
    <t>2526--2527-nc-113</t>
  </si>
  <si>
    <t>5316--5317</t>
  </si>
  <si>
    <t>5323--5324</t>
  </si>
  <si>
    <t>3481--3482</t>
  </si>
  <si>
    <t>T-4889</t>
  </si>
  <si>
    <t>5534--5535</t>
  </si>
  <si>
    <t>5329-5330-nc-338</t>
  </si>
  <si>
    <t>Rivera A-7473</t>
  </si>
  <si>
    <t>Rivera A-7474</t>
  </si>
  <si>
    <t>Rivera A-7475</t>
  </si>
  <si>
    <t>Rivera A-7476</t>
  </si>
  <si>
    <t>5536--5537</t>
  </si>
  <si>
    <t>5332-5333</t>
  </si>
  <si>
    <t>6157--6158</t>
  </si>
  <si>
    <t>6146--6147</t>
  </si>
  <si>
    <t>2357--2358</t>
  </si>
  <si>
    <t>3511--3512</t>
  </si>
  <si>
    <t>1033-1034</t>
  </si>
  <si>
    <t xml:space="preserve">Transfencia S </t>
  </si>
  <si>
    <t>2363--2364</t>
  </si>
  <si>
    <t>Rivera A-7522</t>
  </si>
  <si>
    <t>Rivera A-7523</t>
  </si>
  <si>
    <t>Rivera A-7524</t>
  </si>
  <si>
    <t>6163--6164</t>
  </si>
  <si>
    <t>5361--5362</t>
  </si>
  <si>
    <t>1040--1041</t>
  </si>
  <si>
    <t>T-4983</t>
  </si>
  <si>
    <t>V</t>
  </si>
  <si>
    <t>1043--1044</t>
  </si>
  <si>
    <t>6174--6175</t>
  </si>
  <si>
    <r>
      <t xml:space="preserve">AGROPECUARIA LA GABY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</si>
  <si>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198</t>
    </r>
  </si>
  <si>
    <r>
      <t xml:space="preserve">AGROPECUARIA LA GABY     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</si>
  <si>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RANCHO SAN FELIPE  </t>
    </r>
    <r>
      <rPr>
        <b/>
        <sz val="12"/>
        <color rgb="FF0000FF"/>
        <rFont val="Calibri"/>
        <family val="2"/>
        <scheme val="minor"/>
      </rPr>
      <t xml:space="preserve">  220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</si>
  <si>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</si>
  <si>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 130</t>
    </r>
  </si>
  <si>
    <t>CANALES 232</t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</si>
  <si>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</si>
  <si>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t>AGROPECUARIA LA GABY  129</t>
  </si>
  <si>
    <t>CANALES  198</t>
  </si>
  <si>
    <t>Rivera A-7525</t>
  </si>
  <si>
    <t>Rivera A-7526</t>
  </si>
  <si>
    <t>Rivera A-7527</t>
  </si>
  <si>
    <t>Rivera A-7528</t>
  </si>
  <si>
    <t>6176--6177</t>
  </si>
  <si>
    <t>1046--1047</t>
  </si>
  <si>
    <t>3539--3540</t>
  </si>
  <si>
    <t>6190--6191</t>
  </si>
  <si>
    <t>AGROPORCICOLA EL DORADO  200</t>
  </si>
  <si>
    <t xml:space="preserve">EL GRANJERO FELIZ </t>
  </si>
  <si>
    <t xml:space="preserve">GRASA  </t>
  </si>
  <si>
    <t>ENTRADAS DEL MES DE     A G O S T O                         2 0 1 7</t>
  </si>
  <si>
    <t xml:space="preserve">ENTRADAS   DEL  MES   DE    A G O S T O        2 0 1 7 </t>
  </si>
  <si>
    <r>
      <t xml:space="preserve">AGROPECUARIA LA GABY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</si>
  <si>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</si>
  <si>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PORCICOLA PASO BLANCO  </t>
  </si>
  <si>
    <t xml:space="preserve">RANCHO SAN FELIPE </t>
  </si>
  <si>
    <t xml:space="preserve">AGROPORCICOLA EL DORADO </t>
  </si>
  <si>
    <t>CANALES 199-1</t>
  </si>
  <si>
    <t>CANALES 210-1</t>
  </si>
  <si>
    <t>CANALES 199*</t>
  </si>
  <si>
    <t xml:space="preserve">AGROPECUARIA EL DORADO  </t>
  </si>
  <si>
    <t>CANALES 130-2</t>
  </si>
  <si>
    <t>6181--6182</t>
  </si>
  <si>
    <t>3542--3543</t>
  </si>
  <si>
    <t>Rivera A-7574</t>
  </si>
  <si>
    <t>Rivera A-7575</t>
  </si>
  <si>
    <t>Rivera A-7576</t>
  </si>
  <si>
    <t>Rivera A-7577</t>
  </si>
  <si>
    <t>Rivera A-7578</t>
  </si>
  <si>
    <t>5392--5393</t>
  </si>
  <si>
    <t>3548--3549</t>
  </si>
  <si>
    <t>2563--2564--2594</t>
  </si>
  <si>
    <t>7-Ago--8-Ago</t>
  </si>
  <si>
    <t>2567--2568</t>
  </si>
  <si>
    <t>Rivera A-7579</t>
  </si>
  <si>
    <t>Rivera A-7580</t>
  </si>
  <si>
    <t>5403--5404</t>
  </si>
  <si>
    <t>2572-2573- nc-115</t>
  </si>
  <si>
    <t>CANALES 209-1</t>
  </si>
  <si>
    <t>3552--3553</t>
  </si>
  <si>
    <t>5405--5406</t>
  </si>
  <si>
    <t>PAI--95594</t>
  </si>
  <si>
    <t>ODELPA</t>
  </si>
  <si>
    <t>Rivera A-7611</t>
  </si>
  <si>
    <t>Rivera A-7612</t>
  </si>
  <si>
    <t>Rivera A-7613</t>
  </si>
  <si>
    <t>AGROPECUARIA EL TOPETE  199</t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</si>
  <si>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129</t>
    </r>
  </si>
  <si>
    <t>CANALES 220-1</t>
  </si>
  <si>
    <t>GRAJERO FELIZ</t>
  </si>
  <si>
    <t>PCI-3174</t>
  </si>
  <si>
    <t>GRANJERO FELIZ</t>
  </si>
  <si>
    <t>2402--2403</t>
  </si>
  <si>
    <t>5410--5411</t>
  </si>
  <si>
    <t>5416--5417</t>
  </si>
  <si>
    <t>5569--5570-NC-324</t>
  </si>
  <si>
    <t>5421-5422--NC-340</t>
  </si>
  <si>
    <t>T-5073</t>
  </si>
  <si>
    <t>5427--5428--nc-341</t>
  </si>
  <si>
    <t>Rivera A-7614</t>
  </si>
  <si>
    <t>Rivera A-7650</t>
  </si>
  <si>
    <t>Rivera A-7651</t>
  </si>
  <si>
    <t>Rivera A-7652</t>
  </si>
  <si>
    <t>445-446-NC-9</t>
  </si>
  <si>
    <t>5574--5575</t>
  </si>
  <si>
    <t>2584--2585</t>
  </si>
  <si>
    <t>5435--5436</t>
  </si>
  <si>
    <t>5440--5441-NC-342</t>
  </si>
  <si>
    <t>Transferecnia s</t>
  </si>
  <si>
    <t>PAI-95751</t>
  </si>
  <si>
    <t xml:space="preserve">GRUPO COMERCIAL SAGOPA SA DE CV </t>
  </si>
  <si>
    <t>ARRACHERA</t>
  </si>
  <si>
    <t>AGROOPECUARIA LAS RESES</t>
  </si>
  <si>
    <t>GANADERA RANCHO SAN FELIPE</t>
  </si>
  <si>
    <r>
      <t xml:space="preserve">CANALES   </t>
    </r>
    <r>
      <rPr>
        <b/>
        <sz val="12"/>
        <color rgb="FF0000FF"/>
        <rFont val="Calibri"/>
        <family val="2"/>
        <scheme val="minor"/>
      </rPr>
      <t xml:space="preserve"> 132-4</t>
    </r>
  </si>
  <si>
    <t>1160--1161</t>
  </si>
  <si>
    <t>5444--5445</t>
  </si>
  <si>
    <t>5446--5447</t>
  </si>
  <si>
    <t>AGROPECUARIA LAS RESES  199</t>
  </si>
  <si>
    <t>CANALES 15</t>
  </si>
  <si>
    <t>Rivera A-7653</t>
  </si>
  <si>
    <t>Rivera A-7691</t>
  </si>
  <si>
    <t>Rivera A-7692</t>
  </si>
  <si>
    <t>Rivera A-7693</t>
  </si>
  <si>
    <t>Rivera A-7694</t>
  </si>
  <si>
    <t>1165--1166</t>
  </si>
  <si>
    <t>5450--5451</t>
  </si>
  <si>
    <t>455-456</t>
  </si>
  <si>
    <t>T-5139</t>
  </si>
  <si>
    <t>T-51398</t>
  </si>
  <si>
    <t>1174-1175</t>
  </si>
  <si>
    <t>5594--5591--NC-325</t>
  </si>
  <si>
    <t>2421--2422</t>
  </si>
  <si>
    <t>5592--5593</t>
  </si>
  <si>
    <t>Rivera 7695-A</t>
  </si>
  <si>
    <t>Rivera 7696-A</t>
  </si>
  <si>
    <t>Rivera A -7697</t>
  </si>
  <si>
    <t>Rivera A-7745</t>
  </si>
  <si>
    <t>Rivera 7746-A</t>
  </si>
  <si>
    <t>Rivera A-7747</t>
  </si>
  <si>
    <t>AGROPECUARIA EL TOPETE   200</t>
  </si>
  <si>
    <t>PORCICOLA SAN BERNARDO  129</t>
  </si>
  <si>
    <t>ENTRADAS DEL MES DE     S E P T I E M B R E                         2 0 1 7</t>
  </si>
  <si>
    <t xml:space="preserve">ENTRADAS   DEL  MES   DE   S E P T I E M B R E         2 0 1 7 </t>
  </si>
  <si>
    <t xml:space="preserve">AGROPECUARIA EL TOPETE   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</si>
  <si>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</si>
  <si>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GABY  </t>
    </r>
    <r>
      <rPr>
        <b/>
        <sz val="12"/>
        <color theme="5" tint="-0.249977111117893"/>
        <rFont val="Calibri"/>
        <family val="2"/>
        <scheme val="minor"/>
      </rPr>
      <t>200</t>
    </r>
  </si>
  <si>
    <r>
      <t xml:space="preserve">AGROPECUARIA EL TOPETE </t>
    </r>
    <r>
      <rPr>
        <b/>
        <sz val="12"/>
        <color theme="5" tint="-0.249977111117893"/>
        <rFont val="Calibri"/>
        <family val="2"/>
        <scheme val="minor"/>
      </rPr>
      <t>130</t>
    </r>
  </si>
  <si>
    <r>
      <t xml:space="preserve">PORCICOLA SAN BERNARDO </t>
    </r>
    <r>
      <rPr>
        <b/>
        <sz val="12"/>
        <color theme="5" tint="-0.499984740745262"/>
        <rFont val="Calibri"/>
        <family val="2"/>
        <scheme val="minor"/>
      </rPr>
      <t xml:space="preserve"> 131</t>
    </r>
  </si>
  <si>
    <t>PORCICOLA PASO BANCO</t>
  </si>
  <si>
    <t>CANALES 240</t>
  </si>
  <si>
    <r>
      <t xml:space="preserve">AGROPECUARIA LA GABY </t>
    </r>
    <r>
      <rPr>
        <b/>
        <sz val="12"/>
        <color rgb="FF00B0F0"/>
        <rFont val="Calibri"/>
        <family val="2"/>
        <scheme val="minor"/>
      </rPr>
      <t xml:space="preserve"> 200</t>
    </r>
  </si>
  <si>
    <t>PORCICOLA PASO BANCO  128</t>
  </si>
  <si>
    <r>
      <t xml:space="preserve">AGROPECUARIA LAS RESES      </t>
    </r>
    <r>
      <rPr>
        <b/>
        <sz val="12"/>
        <color theme="1"/>
        <rFont val="Calibri"/>
        <family val="2"/>
        <scheme val="minor"/>
      </rPr>
      <t>130</t>
    </r>
  </si>
  <si>
    <r>
      <t xml:space="preserve">AGROPECUARIA LAS RESES  </t>
    </r>
    <r>
      <rPr>
        <b/>
        <sz val="12"/>
        <color theme="1"/>
        <rFont val="Calibri"/>
        <family val="2"/>
        <scheme val="minor"/>
      </rPr>
      <t>128</t>
    </r>
  </si>
  <si>
    <r>
      <t xml:space="preserve">AGROPECUARIA LAS RESES </t>
    </r>
    <r>
      <rPr>
        <b/>
        <sz val="12"/>
        <color theme="5" tint="-0.499984740745262"/>
        <rFont val="Calibri"/>
        <family val="2"/>
        <scheme val="minor"/>
      </rPr>
      <t xml:space="preserve"> 130</t>
    </r>
  </si>
  <si>
    <t>5458-5459-</t>
  </si>
  <si>
    <t>2432-2433--NC-108</t>
  </si>
  <si>
    <t>3593--3594-NC-136</t>
  </si>
  <si>
    <t>1185-1186--nc-37</t>
  </si>
  <si>
    <t>1193-1194---nc-39</t>
  </si>
  <si>
    <t>5601--5602--nc-326</t>
  </si>
  <si>
    <t>Rivera A-7754</t>
  </si>
  <si>
    <t>Rivera A-7755</t>
  </si>
  <si>
    <t>Rivera A-7756</t>
  </si>
  <si>
    <t>Rivera A-7757</t>
  </si>
  <si>
    <t>Rivera A-7758</t>
  </si>
  <si>
    <t>5465--5466</t>
  </si>
  <si>
    <t>464--465</t>
  </si>
  <si>
    <t>5468--5469</t>
  </si>
  <si>
    <r>
      <t xml:space="preserve">AGROPECUARIA LA GABY </t>
    </r>
    <r>
      <rPr>
        <b/>
        <sz val="12"/>
        <color theme="5" tint="-0.499984740745262"/>
        <rFont val="Calibri"/>
        <family val="2"/>
        <scheme val="minor"/>
      </rPr>
      <t xml:space="preserve"> 200</t>
    </r>
  </si>
  <si>
    <t>2603--2604</t>
  </si>
  <si>
    <t>5606--5607</t>
  </si>
  <si>
    <t>2451--2452-</t>
  </si>
  <si>
    <t>5611--5612</t>
  </si>
  <si>
    <t>1207--1208</t>
  </si>
  <si>
    <t>5615--5616</t>
  </si>
  <si>
    <t>6222-6223-6224-6225-</t>
  </si>
  <si>
    <t>Rivera A-7800</t>
  </si>
  <si>
    <t>Rivera A-7801</t>
  </si>
  <si>
    <t>Rivera A-7802</t>
  </si>
  <si>
    <t>Rivera A7803</t>
  </si>
  <si>
    <t>Rivera A-7804</t>
  </si>
  <si>
    <t>T-5255</t>
  </si>
  <si>
    <t>XXXX</t>
  </si>
  <si>
    <t>6226--6227--NC-364</t>
  </si>
  <si>
    <t>475-476</t>
  </si>
  <si>
    <t>5619-5620</t>
  </si>
  <si>
    <t>477--478</t>
  </si>
  <si>
    <t>5622--5623--NC-327</t>
  </si>
  <si>
    <t>6238--6237--</t>
  </si>
  <si>
    <t>CANALES 184-1</t>
  </si>
  <si>
    <t>2622--2623</t>
  </si>
  <si>
    <t>1067-1068</t>
  </si>
  <si>
    <t>2616-2617</t>
  </si>
  <si>
    <t>Rivera A-7843</t>
  </si>
  <si>
    <t>Rivera A-7844</t>
  </si>
  <si>
    <t>Rivera A-7845</t>
  </si>
  <si>
    <t>Rivera A-7847</t>
  </si>
  <si>
    <t>Rivera A-7848</t>
  </si>
  <si>
    <t>5627--5628</t>
  </si>
  <si>
    <t>5632--5633</t>
  </si>
  <si>
    <t>5637--5638</t>
  </si>
  <si>
    <t>5513--5514</t>
  </si>
  <si>
    <t>Rivea A-7849</t>
  </si>
  <si>
    <t>Rivera A-7850</t>
  </si>
  <si>
    <t>5644--5645</t>
  </si>
  <si>
    <t>5649-5650</t>
  </si>
  <si>
    <t>5646--5647</t>
  </si>
  <si>
    <t>Rivera A-7892</t>
  </si>
  <si>
    <t>Rivera A-7893</t>
  </si>
  <si>
    <t>Rivera A-7894</t>
  </si>
  <si>
    <t>5523--5524</t>
  </si>
  <si>
    <t>T-5527</t>
  </si>
  <si>
    <t xml:space="preserve">MAZOS </t>
  </si>
  <si>
    <t>ENTRADAS DEL MES DE     O C T U B R E                         2 0 1 7</t>
  </si>
  <si>
    <t xml:space="preserve">ENTRADAS   DEL  MES   DE    O C T U B R E          2 0 1 7 </t>
  </si>
  <si>
    <r>
      <t>AGROPECUARIA EL TOPETE SA DE CV</t>
    </r>
    <r>
      <rPr>
        <b/>
        <sz val="12"/>
        <color rgb="FF0000FF"/>
        <rFont val="Calibri"/>
        <family val="2"/>
        <scheme val="minor"/>
      </rPr>
      <t xml:space="preserve">   200</t>
    </r>
  </si>
  <si>
    <t>AGROPECUARIA LAS RESES    130</t>
  </si>
  <si>
    <t>CANALES  99</t>
  </si>
  <si>
    <t>AGROPECUARIA E3L DORADO</t>
  </si>
  <si>
    <r>
      <t xml:space="preserve">PORCICOLA SOTO </t>
    </r>
    <r>
      <rPr>
        <b/>
        <sz val="12"/>
        <color rgb="FF0000FF"/>
        <rFont val="Calibri"/>
        <family val="2"/>
        <scheme val="minor"/>
      </rPr>
      <t xml:space="preserve"> 261</t>
    </r>
  </si>
  <si>
    <t xml:space="preserve">PORCICOLA SOTO    </t>
  </si>
  <si>
    <t xml:space="preserve">AGROPECUARIA EL TOPETE    </t>
  </si>
  <si>
    <r>
      <t xml:space="preserve">AGROPECUARIA LA CHEMITA </t>
    </r>
    <r>
      <rPr>
        <b/>
        <sz val="12"/>
        <color rgb="FF0000FF"/>
        <rFont val="Calibri"/>
        <family val="2"/>
        <scheme val="minor"/>
      </rPr>
      <t xml:space="preserve"> 260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</si>
  <si>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 260</t>
    </r>
  </si>
  <si>
    <t xml:space="preserve">AGROPECURIA LA CHEMITA </t>
  </si>
  <si>
    <t>2630--2631</t>
  </si>
  <si>
    <t>5654--5655</t>
  </si>
  <si>
    <t xml:space="preserve"> Rivera A-7895</t>
  </si>
  <si>
    <t>Rivera A-7896</t>
  </si>
  <si>
    <t xml:space="preserve">AGROPECURIA EL TOPETE </t>
  </si>
  <si>
    <r>
      <t>AGROPECUARIA EL TOPETE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</si>
  <si>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>AGROPECUARIA EL TOPETE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</si>
  <si>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>AGROPECUARIA EL TOPETE</t>
    </r>
    <r>
      <rPr>
        <b/>
        <sz val="12"/>
        <color rgb="FF0000FF"/>
        <rFont val="Calibri"/>
        <family val="2"/>
        <scheme val="minor"/>
      </rPr>
      <t xml:space="preserve"> 229</t>
    </r>
  </si>
  <si>
    <r>
      <t xml:space="preserve">AGROPECURIA EL TOPETE </t>
    </r>
    <r>
      <rPr>
        <b/>
        <sz val="12"/>
        <color rgb="FF0000FF"/>
        <rFont val="Calibri"/>
        <family val="2"/>
        <scheme val="minor"/>
      </rPr>
      <t xml:space="preserve"> 129</t>
    </r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</si>
  <si>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</si>
  <si>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</si>
  <si>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>200</t>
    </r>
  </si>
  <si>
    <t>Rivera A-7897</t>
  </si>
  <si>
    <t>5658--5659</t>
  </si>
  <si>
    <t>2489--2490</t>
  </si>
  <si>
    <t>5663--5664</t>
  </si>
  <si>
    <t>CANALES  210</t>
  </si>
  <si>
    <t>5660--5661</t>
  </si>
  <si>
    <t>Rivera A-7921</t>
  </si>
  <si>
    <t>Rivera A-7922</t>
  </si>
  <si>
    <t>RiverA A-7923</t>
  </si>
  <si>
    <t>5668--5669</t>
  </si>
  <si>
    <t>5670--5671</t>
  </si>
  <si>
    <t>1088--1089</t>
  </si>
  <si>
    <t>5544--5545</t>
  </si>
  <si>
    <t>2500--2501</t>
  </si>
  <si>
    <t>5674--5675</t>
  </si>
  <si>
    <t>Rivera A-7924</t>
  </si>
  <si>
    <t>Rivera A-7925</t>
  </si>
  <si>
    <t>Rivera A-7926</t>
  </si>
  <si>
    <t>1095--1096</t>
  </si>
  <si>
    <t>5685--5678</t>
  </si>
  <si>
    <t>Rivera A-7951</t>
  </si>
  <si>
    <t>Rivera A-7952</t>
  </si>
  <si>
    <t>Rivera A-7953</t>
  </si>
  <si>
    <t>5681--5682</t>
  </si>
  <si>
    <t>5683--5684</t>
  </si>
  <si>
    <t>6256--6257</t>
  </si>
  <si>
    <t>AGROPERCUARIA EL DORADO</t>
  </si>
  <si>
    <t xml:space="preserve">AGROPECUARIA LAS RESES      </t>
  </si>
  <si>
    <t>MANITAS</t>
  </si>
  <si>
    <t>GRANJERO FELIZ   26  CAJAS</t>
  </si>
  <si>
    <t xml:space="preserve">GRANJERO FELIZ   </t>
  </si>
  <si>
    <t>PUI-2685</t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</si>
  <si>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</si>
  <si>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AGROPECUARIA EL TOPETE     </t>
    </r>
    <r>
      <rPr>
        <b/>
        <sz val="12"/>
        <color rgb="FF0000FF"/>
        <rFont val="Calibri"/>
        <family val="2"/>
        <scheme val="minor"/>
      </rPr>
      <t>130</t>
    </r>
  </si>
  <si>
    <t>CANALES 261</t>
  </si>
  <si>
    <t>5687--5688</t>
  </si>
  <si>
    <t>6259--6260-nc-365</t>
  </si>
  <si>
    <t>5696--5697</t>
  </si>
  <si>
    <t>Rivera A-7954</t>
  </si>
  <si>
    <t>Rivera A-7956</t>
  </si>
  <si>
    <t>Rivera A-7955</t>
  </si>
  <si>
    <t>2644--2645--NC-118</t>
  </si>
  <si>
    <t>6275--6276</t>
  </si>
  <si>
    <t>T-5618</t>
  </si>
  <si>
    <t>5704--5705</t>
  </si>
  <si>
    <t>5707-5708</t>
  </si>
  <si>
    <t>1104--1105</t>
  </si>
  <si>
    <t>5710--5711</t>
  </si>
  <si>
    <t>6284--6285</t>
  </si>
  <si>
    <t>1254--1255</t>
  </si>
  <si>
    <t>5718--5719</t>
  </si>
  <si>
    <t>Transferencia S</t>
  </si>
  <si>
    <t>6296--6297</t>
  </si>
  <si>
    <t>1266--1267</t>
  </si>
  <si>
    <t>Rivera A-8012</t>
  </si>
  <si>
    <t>Rivera A-8013</t>
  </si>
  <si>
    <t>CANALES 258+3</t>
  </si>
  <si>
    <t>1112--1113--1272--1273</t>
  </si>
  <si>
    <t>Rivera A-8014</t>
  </si>
  <si>
    <t>Rivera A-8015</t>
  </si>
  <si>
    <t>Rivera A-8017</t>
  </si>
  <si>
    <t>Rivera A-8016</t>
  </si>
  <si>
    <t>Rivera A-8018</t>
  </si>
  <si>
    <t>Rivera A-8019</t>
  </si>
  <si>
    <t>Rivera A-8020</t>
  </si>
  <si>
    <t xml:space="preserve">Transferecnia S </t>
  </si>
  <si>
    <t>FOLIO 4920/*PCI 3412</t>
  </si>
  <si>
    <t>4976/*PUI-2685</t>
  </si>
  <si>
    <t>nlp</t>
  </si>
  <si>
    <t>1116--1117</t>
  </si>
  <si>
    <t>1270--1271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</si>
  <si>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>200</t>
    </r>
  </si>
  <si>
    <t>6313-6314</t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</si>
  <si>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</si>
  <si>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 200</t>
    </r>
  </si>
  <si>
    <t>Riveraq A-8053</t>
  </si>
  <si>
    <t>Rivera A-8054</t>
  </si>
  <si>
    <t>Rivera A-8055</t>
  </si>
  <si>
    <t>Rivera A-8056</t>
  </si>
  <si>
    <t>Rivera A-8057</t>
  </si>
  <si>
    <t>Rivera A-8058</t>
  </si>
  <si>
    <t>Rivera A-8059</t>
  </si>
  <si>
    <t>3681-3682</t>
  </si>
  <si>
    <t>5722--5723</t>
  </si>
  <si>
    <t>2654-2655</t>
  </si>
  <si>
    <t>3683-3684</t>
  </si>
  <si>
    <t>1281-1282</t>
  </si>
  <si>
    <t>5727--5728</t>
  </si>
  <si>
    <t>T-5716</t>
  </si>
  <si>
    <t>XXXXXX</t>
  </si>
  <si>
    <t>XXXXX</t>
  </si>
  <si>
    <t xml:space="preserve">ENTRADAS   DEL  MES   DE    NOVIEMBRE           2 0 1 7 </t>
  </si>
  <si>
    <t>ENTRADAS DEL MES DE     NOVIEMBRE                        2 0 1 7</t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</si>
  <si>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</si>
  <si>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DORADO </t>
    </r>
    <r>
      <rPr>
        <b/>
        <sz val="12"/>
        <color rgb="FF0000FF"/>
        <rFont val="Calibri"/>
        <family val="2"/>
        <scheme val="minor"/>
      </rPr>
      <t xml:space="preserve"> 200</t>
    </r>
  </si>
  <si>
    <t>CANALES  229</t>
  </si>
  <si>
    <r>
      <t xml:space="preserve">AGROPECUARIA LA CHEMITA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</si>
  <si>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128</t>
    </r>
  </si>
  <si>
    <t>CANALES  249</t>
  </si>
  <si>
    <t xml:space="preserve">AGROPECUARIA LA CHEMITA  </t>
  </si>
  <si>
    <t>1120-1121-NC-38</t>
  </si>
  <si>
    <t>3688--3689</t>
  </si>
  <si>
    <t>5731-5732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</si>
  <si>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128</t>
    </r>
  </si>
  <si>
    <t>3666--3687</t>
  </si>
  <si>
    <t>6348--6349</t>
  </si>
  <si>
    <t>1290--1291</t>
  </si>
  <si>
    <t>5739-5740</t>
  </si>
  <si>
    <t>1287--1288</t>
  </si>
  <si>
    <t>Rivera A-8086</t>
  </si>
  <si>
    <t>Rivera A-8087</t>
  </si>
  <si>
    <t>Rivera A-8088</t>
  </si>
  <si>
    <t>Rivera A-8089</t>
  </si>
  <si>
    <t>Rivera A-8091</t>
  </si>
  <si>
    <t>5741--5742</t>
  </si>
  <si>
    <t>Rivera A-8090</t>
  </si>
  <si>
    <t>5743--5744</t>
  </si>
  <si>
    <t>1132--1133</t>
  </si>
  <si>
    <t>5584-5585</t>
  </si>
  <si>
    <t>2666-2667</t>
  </si>
  <si>
    <t>3697--3698</t>
  </si>
  <si>
    <t>Rivera A-8153</t>
  </si>
  <si>
    <t>Rivera A-8154</t>
  </si>
  <si>
    <t>Rivera A-8155</t>
  </si>
  <si>
    <t>Rivera A-8156</t>
  </si>
  <si>
    <t>Rivera A-8157</t>
  </si>
  <si>
    <r>
      <t xml:space="preserve">PORCICOLA SAN BERNARDO </t>
    </r>
    <r>
      <rPr>
        <b/>
        <sz val="12"/>
        <color theme="5" tint="-0.249977111117893"/>
        <rFont val="Calibri"/>
        <family val="2"/>
        <scheme val="minor"/>
      </rPr>
      <t xml:space="preserve"> 130</t>
    </r>
  </si>
  <si>
    <t>5746--5747</t>
  </si>
  <si>
    <t>2672--2673</t>
  </si>
  <si>
    <r>
      <t>PORCICOLA SAN BERNARDO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</si>
  <si>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200</t>
    </r>
  </si>
  <si>
    <t>5752--5753</t>
  </si>
  <si>
    <t>1299-1300</t>
  </si>
  <si>
    <t>5758--5759</t>
  </si>
  <si>
    <t>2682--2683</t>
  </si>
  <si>
    <t>2675--2676</t>
  </si>
  <si>
    <t>Rivera A-8178</t>
  </si>
  <si>
    <t>6388--6389</t>
  </si>
  <si>
    <t>2687--2688</t>
  </si>
  <si>
    <t>Rivera A-8179</t>
  </si>
  <si>
    <t>Rivera A-8180</t>
  </si>
  <si>
    <t>Rivera A -8185</t>
  </si>
  <si>
    <t>1325--1326</t>
  </si>
  <si>
    <t>5767--5768</t>
  </si>
  <si>
    <t>2702--2703</t>
  </si>
  <si>
    <t>1309--1310</t>
  </si>
  <si>
    <t>6386--6387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</si>
  <si>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</si>
  <si>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251</t>
    </r>
  </si>
  <si>
    <r>
      <t xml:space="preserve">AGROPECURIA LA CHEMITA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</si>
  <si>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 xml:space="preserve"> 127+3</t>
    </r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</si>
  <si>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</si>
  <si>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</t>
    </r>
    <r>
      <rPr>
        <b/>
        <sz val="12"/>
        <color rgb="FF0000FF"/>
        <rFont val="Calibri"/>
        <family val="2"/>
        <scheme val="minor"/>
      </rPr>
      <t>201</t>
    </r>
  </si>
  <si>
    <t>CANALES 250-1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</si>
  <si>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199</t>
    </r>
  </si>
  <si>
    <t>PORCICOLA PASO BLANCO   130-1</t>
  </si>
  <si>
    <t>Rivera A-8186</t>
  </si>
  <si>
    <t>Rivera A-8187</t>
  </si>
  <si>
    <t>Rivera A-8188</t>
  </si>
  <si>
    <t>ARTURO</t>
  </si>
  <si>
    <t>.</t>
  </si>
  <si>
    <t>2723-2724</t>
  </si>
  <si>
    <t>6400--6401</t>
  </si>
  <si>
    <t xml:space="preserve">ARTURO </t>
  </si>
  <si>
    <t>-</t>
  </si>
  <si>
    <t>3736--3737</t>
  </si>
  <si>
    <t>1329--1330</t>
  </si>
  <si>
    <t>5778--5779</t>
  </si>
  <si>
    <t>2731--2732</t>
  </si>
  <si>
    <t>T-5834</t>
  </si>
  <si>
    <t>5784--5785</t>
  </si>
  <si>
    <t>5602--5603</t>
  </si>
  <si>
    <t>Rivera A-8223</t>
  </si>
  <si>
    <t>Rivera A-8224</t>
  </si>
  <si>
    <t>|</t>
  </si>
  <si>
    <t>Rivera A-8225</t>
  </si>
  <si>
    <t>Rivera A-8226</t>
  </si>
  <si>
    <t>Rivera A-8227</t>
  </si>
  <si>
    <t>PORCICOLA PASO BLANCO  221</t>
  </si>
  <si>
    <t>AGROPECUARIA LA GABY  130-1</t>
  </si>
  <si>
    <t>CANALES  150</t>
  </si>
  <si>
    <t xml:space="preserve">AGROPECURIA LA CHEMITA    </t>
  </si>
  <si>
    <t>1163--1164</t>
  </si>
  <si>
    <t>5604--5605</t>
  </si>
  <si>
    <t>5608-5609</t>
  </si>
  <si>
    <t>1161-1162</t>
  </si>
  <si>
    <t>2755-2756</t>
  </si>
  <si>
    <t>ADAMS INT MORELIA</t>
  </si>
  <si>
    <t xml:space="preserve">LENGUA DE RES  20 Cajas </t>
  </si>
  <si>
    <t xml:space="preserve">LENGUA DE CERDO 15 Cajas </t>
  </si>
  <si>
    <t>ENTRADAS DEL MES DE     DICIEMBRE                         2 0 1 7</t>
  </si>
  <si>
    <t xml:space="preserve">ENTRADAS   DEL  MES   DE    DICIEMBRE            2 0 1 7 </t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</si>
  <si>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 xml:space="preserve"> 250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</si>
  <si>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198</t>
    </r>
  </si>
  <si>
    <r>
      <t xml:space="preserve">AGROPECUARIA LAS RESES  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</si>
  <si>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</si>
  <si>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AGROPECUARIA LA GABY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</si>
  <si>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PORCICOLA SOTO          </t>
    </r>
    <r>
      <rPr>
        <b/>
        <sz val="12"/>
        <color rgb="FF0000FF"/>
        <rFont val="Calibri"/>
        <family val="2"/>
        <scheme val="minor"/>
      </rPr>
      <t xml:space="preserve">  200</t>
    </r>
  </si>
  <si>
    <t>AGROPECURIA EL TOPETE</t>
  </si>
  <si>
    <t xml:space="preserve">AGROPECUARIA  LA CHEMITA </t>
  </si>
  <si>
    <r>
      <t xml:space="preserve">AGROPECUARIA LAS RESES     </t>
    </r>
    <r>
      <rPr>
        <b/>
        <sz val="12"/>
        <color rgb="FF0000FF"/>
        <rFont val="Calibri"/>
        <family val="2"/>
        <scheme val="minor"/>
      </rPr>
      <t xml:space="preserve"> 127</t>
    </r>
  </si>
  <si>
    <t xml:space="preserve">AGROPECUARIA EL DORADO    </t>
  </si>
  <si>
    <t>PORCICOLA SOTO     250</t>
  </si>
  <si>
    <r>
      <t xml:space="preserve">AGROPECUARIA LAS RESES   </t>
    </r>
    <r>
      <rPr>
        <b/>
        <sz val="12"/>
        <color rgb="FF0000FF"/>
        <rFont val="Calibri"/>
        <family val="2"/>
        <scheme val="minor"/>
      </rPr>
      <t xml:space="preserve"> 129</t>
    </r>
  </si>
  <si>
    <t>3752--3753--- NC-140</t>
  </si>
  <si>
    <t>3757--3758</t>
  </si>
  <si>
    <t>Rivera A-8267</t>
  </si>
  <si>
    <t>Rivera A-8268</t>
  </si>
  <si>
    <t>Rivera A--8269</t>
  </si>
  <si>
    <t>Rivera A-8270</t>
  </si>
  <si>
    <t>Rivera A-8271</t>
  </si>
  <si>
    <t>1342--1343</t>
  </si>
  <si>
    <t>2576-2577</t>
  </si>
  <si>
    <t>3764--3765</t>
  </si>
  <si>
    <t>6439-6440</t>
  </si>
  <si>
    <t>3766--3767</t>
  </si>
  <si>
    <t>1173--1174</t>
  </si>
  <si>
    <t>2596--2621</t>
  </si>
  <si>
    <t>Rivera A-8295</t>
  </si>
  <si>
    <t>Rivera A-8294</t>
  </si>
  <si>
    <t>5805--5819</t>
  </si>
  <si>
    <t>5806--5822</t>
  </si>
  <si>
    <t>Rivera A-8296</t>
  </si>
  <si>
    <t>XALAPA</t>
  </si>
  <si>
    <t>Rivera A-8297</t>
  </si>
  <si>
    <t>Rivera A-8298</t>
  </si>
  <si>
    <t>Rivera A-8299</t>
  </si>
  <si>
    <t>Rivera A-8301</t>
  </si>
  <si>
    <t>Rivera A-8300</t>
  </si>
  <si>
    <t>Rivera A-8316</t>
  </si>
  <si>
    <t>Rivera A-8317</t>
  </si>
  <si>
    <t>5636--5639</t>
  </si>
  <si>
    <t>5818--5820</t>
  </si>
  <si>
    <t>5807--5821</t>
  </si>
  <si>
    <t>2618--2622</t>
  </si>
  <si>
    <t>6452--6453</t>
  </si>
  <si>
    <t>Rivera A-8329</t>
  </si>
  <si>
    <t>Rivera A-8330</t>
  </si>
  <si>
    <t>Rivera A-8335</t>
  </si>
  <si>
    <t>Rivera A-8336</t>
  </si>
  <si>
    <t>Rivera A-8337</t>
  </si>
  <si>
    <t>XXX</t>
  </si>
  <si>
    <t>Rivera A-8338</t>
  </si>
  <si>
    <t>Rivera A-8339</t>
  </si>
  <si>
    <t>Rivera A-8351</t>
  </si>
  <si>
    <t>Rivera A-8352</t>
  </si>
  <si>
    <t>1361--1362</t>
  </si>
  <si>
    <t>3781--3782</t>
  </si>
  <si>
    <t>5647--5648</t>
  </si>
  <si>
    <t>2646--2647</t>
  </si>
  <si>
    <t>5645--5646</t>
  </si>
  <si>
    <t>5828--5829</t>
  </si>
  <si>
    <t>5835--5836</t>
  </si>
  <si>
    <t>3793--3794</t>
  </si>
  <si>
    <t>5655--5656</t>
  </si>
  <si>
    <t>1194--1195</t>
  </si>
  <si>
    <t>1196--1197</t>
  </si>
  <si>
    <r>
      <t xml:space="preserve">PORCICOLA SOTO </t>
    </r>
    <r>
      <rPr>
        <b/>
        <sz val="12"/>
        <color rgb="FF0000FF"/>
        <rFont val="Calibri"/>
        <family val="2"/>
        <scheme val="minor"/>
      </rPr>
      <t xml:space="preserve">   130</t>
    </r>
  </si>
  <si>
    <t>5840--5841</t>
  </si>
  <si>
    <t xml:space="preserve">AGROPECUARIA LAS RESES    </t>
  </si>
  <si>
    <t>PORCICOLA SOTO     261</t>
  </si>
  <si>
    <t>CANALES  251</t>
  </si>
  <si>
    <r>
      <t xml:space="preserve">AGROPECUARIA LAS RESES    </t>
    </r>
    <r>
      <rPr>
        <b/>
        <sz val="12"/>
        <color rgb="FF0000FF"/>
        <rFont val="Calibri"/>
        <family val="2"/>
        <scheme val="minor"/>
      </rPr>
      <t>129</t>
    </r>
  </si>
  <si>
    <r>
      <t xml:space="preserve">AGROPECUARIA LA GABY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</si>
  <si>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AGROPECUARIA LA GABY   </t>
    </r>
    <r>
      <rPr>
        <b/>
        <sz val="12"/>
        <color rgb="FF0000FF"/>
        <rFont val="Calibri"/>
        <family val="2"/>
        <scheme val="minor"/>
      </rPr>
      <t>200--7 Robados</t>
    </r>
  </si>
  <si>
    <t>CANALES  248</t>
  </si>
  <si>
    <t>Rivera A-8353</t>
  </si>
  <si>
    <t>Rivera A-8354</t>
  </si>
  <si>
    <t>T-5924</t>
  </si>
  <si>
    <t>1372-1373</t>
  </si>
  <si>
    <t>6468-6469</t>
  </si>
  <si>
    <t>1198--1199</t>
  </si>
  <si>
    <t>1203-1204</t>
  </si>
  <si>
    <t>5665--5666</t>
  </si>
  <si>
    <t>5844--5845</t>
  </si>
  <si>
    <t>T-5973</t>
  </si>
  <si>
    <t>Rivera A-8388</t>
  </si>
  <si>
    <t>Rivera A-8389</t>
  </si>
  <si>
    <t>Rivera A-8390</t>
  </si>
  <si>
    <t>Rivera A-8391</t>
  </si>
  <si>
    <t>Rivera A-8392</t>
  </si>
  <si>
    <t>Rivera A-8403</t>
  </si>
  <si>
    <t>Rivera A-8404</t>
  </si>
  <si>
    <t>3810--3811</t>
  </si>
  <si>
    <t>CANALES 250-3</t>
  </si>
  <si>
    <t>3808--3809</t>
  </si>
  <si>
    <t>5472--5473</t>
  </si>
  <si>
    <t>3816--3817</t>
  </si>
  <si>
    <t>1218--1219</t>
  </si>
  <si>
    <t>5850--5851</t>
  </si>
  <si>
    <t>5671--5672</t>
  </si>
  <si>
    <t>2680--2681</t>
  </si>
  <si>
    <t>6476-6477</t>
  </si>
  <si>
    <t>1386--1387</t>
  </si>
  <si>
    <t>1223--1224</t>
  </si>
  <si>
    <t>1225--1226</t>
  </si>
  <si>
    <t>6479--6480</t>
  </si>
  <si>
    <t>1228--1229</t>
  </si>
  <si>
    <t>6483--6484</t>
  </si>
  <si>
    <t>1235--1236</t>
  </si>
  <si>
    <t>1237--1238</t>
  </si>
  <si>
    <t>1240--1241</t>
  </si>
  <si>
    <t>3834--3835</t>
  </si>
  <si>
    <t>CANALES 10</t>
  </si>
  <si>
    <t>5684--5685</t>
  </si>
  <si>
    <t>6487--6488</t>
  </si>
  <si>
    <t>1252--1253</t>
  </si>
  <si>
    <t>5686--5687</t>
  </si>
  <si>
    <t>5690--5691</t>
  </si>
  <si>
    <t>1397--1398</t>
  </si>
  <si>
    <t>Rivera A-8423</t>
  </si>
  <si>
    <t>Rivera A+-8424</t>
  </si>
  <si>
    <t>Rivera A-8467</t>
  </si>
  <si>
    <t>Rivera A-8450</t>
  </si>
  <si>
    <t>Rivera A-8451</t>
  </si>
  <si>
    <t>Rivera A-8452</t>
  </si>
  <si>
    <t>5629-5630-nc-343--5629</t>
  </si>
  <si>
    <t>No procedio la Nota de credito pago 9 Enero 2018</t>
  </si>
  <si>
    <t>5692--5693</t>
  </si>
  <si>
    <t>5695--5696</t>
  </si>
  <si>
    <t>1257--1258</t>
  </si>
  <si>
    <t>5698--5699</t>
  </si>
  <si>
    <t>1403--1404</t>
  </si>
  <si>
    <t>5700--5701---nc-343</t>
  </si>
  <si>
    <t>6496--6497</t>
  </si>
  <si>
    <t>5880--5881</t>
  </si>
  <si>
    <t>6503--6504</t>
  </si>
  <si>
    <t>5707--5708</t>
  </si>
  <si>
    <t>1415--1416</t>
  </si>
  <si>
    <t>Transportista  IMPORTE</t>
  </si>
  <si>
    <t>1276--1277</t>
  </si>
  <si>
    <t>T-5776</t>
  </si>
  <si>
    <t>3860--3861</t>
  </si>
  <si>
    <t>D-33</t>
  </si>
  <si>
    <t xml:space="preserve"> PU-55908</t>
  </si>
  <si>
    <t>Transferencia B</t>
  </si>
  <si>
    <t>D-71</t>
  </si>
  <si>
    <t>MIGUEL HERRERA</t>
  </si>
  <si>
    <t>EFECTIVO</t>
  </si>
  <si>
    <t>ISRAEL LEDO</t>
  </si>
  <si>
    <t>Longaniza Cas</t>
  </si>
  <si>
    <t>Enchilada</t>
  </si>
  <si>
    <t>OYUTLA</t>
  </si>
  <si>
    <t>CARNE ABIERTA</t>
  </si>
  <si>
    <t>ENTRECOAT</t>
  </si>
  <si>
    <t>GABRIEL TUXPAN</t>
  </si>
  <si>
    <t>JORGE LUIS</t>
  </si>
  <si>
    <t xml:space="preserve">Carne ROJA </t>
  </si>
  <si>
    <t>MAQUILA</t>
  </si>
  <si>
    <t>Maquila</t>
  </si>
  <si>
    <t>ARCADIO LEDO</t>
  </si>
  <si>
    <t>CANAL/*Carnero</t>
  </si>
  <si>
    <t>FRANCISCO MORALES</t>
  </si>
  <si>
    <t>ESPINAZO</t>
  </si>
  <si>
    <t>CORTES FINOS LA MORENA</t>
  </si>
  <si>
    <t>LECHON</t>
  </si>
  <si>
    <t>DIST DE CARNES MARIO</t>
  </si>
  <si>
    <t>CARRILLERA</t>
  </si>
  <si>
    <t>GUILLERMINA ZOQUIAPAN</t>
  </si>
  <si>
    <t>CABEZA</t>
  </si>
  <si>
    <t>PACO DIAZ</t>
  </si>
  <si>
    <t>CAPOTE</t>
  </si>
  <si>
    <t>a cuenta 242,000.00-----7-Ene  +  306,500.00  11-Ene</t>
  </si>
  <si>
    <t>PROLEDO</t>
  </si>
  <si>
    <t>CABEZA DE LOMO</t>
  </si>
  <si>
    <t>CHULETAS</t>
  </si>
  <si>
    <t>RICARNE</t>
  </si>
  <si>
    <t xml:space="preserve">CANAL </t>
  </si>
  <si>
    <t>RENE</t>
  </si>
  <si>
    <t>CANAL</t>
  </si>
  <si>
    <t>JOSE LUIS CANTERO</t>
  </si>
  <si>
    <t>JAMON</t>
  </si>
  <si>
    <t>TLAMANI</t>
  </si>
  <si>
    <t>TOCINETA</t>
  </si>
  <si>
    <t>GERARDO PULIDO</t>
  </si>
  <si>
    <t xml:space="preserve">ENTRADAS   DE      F E B R E R O      2 0 1 7 </t>
  </si>
  <si>
    <t>Longaniza Casera</t>
  </si>
  <si>
    <t>OMAR REYES</t>
  </si>
  <si>
    <t>CHULETA NAT</t>
  </si>
  <si>
    <t>AMADO DIAZ</t>
  </si>
  <si>
    <t>CARNE ROJA</t>
  </si>
  <si>
    <t xml:space="preserve">CARNEROS </t>
  </si>
  <si>
    <t>LUIS LEDO</t>
  </si>
  <si>
    <t>PARA DE RES</t>
  </si>
  <si>
    <t>TLAXCALANCINGO</t>
  </si>
  <si>
    <t>PECHO/* Manitas</t>
  </si>
  <si>
    <t>ALBICIA</t>
  </si>
  <si>
    <t>JOSE LUIS OLVERA</t>
  </si>
  <si>
    <t>MANTECA</t>
  </si>
  <si>
    <t>CARNEROS</t>
  </si>
  <si>
    <t>MIGUEL ANGEL</t>
  </si>
  <si>
    <t>CHICHARRON</t>
  </si>
  <si>
    <t>ADRIAN JUAREZ</t>
  </si>
  <si>
    <t>MAZO</t>
  </si>
  <si>
    <t>RICARDO DELEITA</t>
  </si>
  <si>
    <t>MIGUEL</t>
  </si>
  <si>
    <t>PECHO</t>
  </si>
  <si>
    <t>CARNES ALI</t>
  </si>
  <si>
    <t>ALIMENTOS SUPREMOS</t>
  </si>
  <si>
    <t>PULPA</t>
  </si>
  <si>
    <t>CARNE P/Moler</t>
  </si>
  <si>
    <t xml:space="preserve">SAGRADO </t>
  </si>
  <si>
    <t>COMBO</t>
  </si>
  <si>
    <t>Carne Enchilada</t>
  </si>
  <si>
    <t>BRAZILIAM</t>
  </si>
  <si>
    <t>Lomo c/G</t>
  </si>
  <si>
    <t>Casera</t>
  </si>
  <si>
    <t xml:space="preserve">Tocineta </t>
  </si>
  <si>
    <t>Cuero canal</t>
  </si>
  <si>
    <t xml:space="preserve">LOMO  </t>
  </si>
  <si>
    <t>Lomo d cabeza</t>
  </si>
  <si>
    <t>Cabeza de Lomo</t>
  </si>
  <si>
    <t>COSTA DE ORO</t>
  </si>
  <si>
    <t>CANAL C/C</t>
  </si>
  <si>
    <t>Carne p/moler</t>
  </si>
  <si>
    <t xml:space="preserve">ENTRADAS   DE      M A R Z O      2 0 1 7 </t>
  </si>
  <si>
    <t>HERRERA</t>
  </si>
  <si>
    <t>LUIS LUNA</t>
  </si>
  <si>
    <t>Chuleta Nat</t>
  </si>
  <si>
    <t>Chuleta Mar</t>
  </si>
  <si>
    <t>Longaniza Caser</t>
  </si>
  <si>
    <t>Pulpa</t>
  </si>
  <si>
    <t>Canales</t>
  </si>
  <si>
    <t>LEONARDO SANCHEZ</t>
  </si>
  <si>
    <t>Manteca</t>
  </si>
  <si>
    <t>Pulpa/ Lomo</t>
  </si>
  <si>
    <t xml:space="preserve">Pulpa </t>
  </si>
  <si>
    <t>TIO LUPE</t>
  </si>
  <si>
    <t>JAMON 1/2 grasa</t>
  </si>
  <si>
    <t xml:space="preserve">ARCADIO LEDO </t>
  </si>
  <si>
    <t>K-BRIONES</t>
  </si>
  <si>
    <t xml:space="preserve">ALEJANDRO CANO </t>
  </si>
  <si>
    <t>Sancocho</t>
  </si>
  <si>
    <t>Papada</t>
  </si>
  <si>
    <t>Adobo/*salados</t>
  </si>
  <si>
    <t>SAGRADO CENTRO</t>
  </si>
  <si>
    <t>Tocino salado</t>
  </si>
  <si>
    <t>Chorizo</t>
  </si>
  <si>
    <t>Delantero</t>
  </si>
  <si>
    <t>Media res</t>
  </si>
  <si>
    <t>Nota 26537</t>
  </si>
  <si>
    <t>Nota 26788</t>
  </si>
  <si>
    <t>Varios</t>
  </si>
  <si>
    <t>Nota 26234</t>
  </si>
  <si>
    <t>MANUEL REYES</t>
  </si>
  <si>
    <t>Capote</t>
  </si>
  <si>
    <t>Chuleta A</t>
  </si>
  <si>
    <t>maquila</t>
  </si>
  <si>
    <t>CAMPRA</t>
  </si>
  <si>
    <t>JAIME GASPARIANO</t>
  </si>
  <si>
    <t>CUERO CANAL</t>
  </si>
  <si>
    <t xml:space="preserve">. </t>
  </si>
  <si>
    <t>??????</t>
  </si>
  <si>
    <t>PARA RES</t>
  </si>
  <si>
    <t>Nota 26424</t>
  </si>
  <si>
    <t>PIERNA</t>
  </si>
  <si>
    <t>Nota 25749</t>
  </si>
  <si>
    <t>PATA</t>
  </si>
  <si>
    <t>Nota 28505</t>
  </si>
  <si>
    <t>chuleta Ahu</t>
  </si>
  <si>
    <t>Nota 28259</t>
  </si>
  <si>
    <t>jamones</t>
  </si>
  <si>
    <t>Nota 28347</t>
  </si>
  <si>
    <t>Chuleta</t>
  </si>
  <si>
    <t>JAVIER APIZACO</t>
  </si>
  <si>
    <t>Jamon</t>
  </si>
  <si>
    <t xml:space="preserve">SORPRESA </t>
  </si>
  <si>
    <t>27-y 28 Mar-17</t>
  </si>
  <si>
    <t>WELMER</t>
  </si>
  <si>
    <t>Carne roja</t>
  </si>
  <si>
    <t>CANAL Y RES</t>
  </si>
  <si>
    <t>HILDA LUNA</t>
  </si>
  <si>
    <t>30 y 31 Mar -17</t>
  </si>
  <si>
    <t>pecho</t>
  </si>
  <si>
    <t>HILDA</t>
  </si>
  <si>
    <t>1-Y 2 Abril-17</t>
  </si>
  <si>
    <t>2-Y 3 Abr-17</t>
  </si>
  <si>
    <t>SALMON</t>
  </si>
  <si>
    <t>Nota 5908</t>
  </si>
  <si>
    <t>3-Y 6 Abril-17</t>
  </si>
  <si>
    <t>SANCOCHO</t>
  </si>
  <si>
    <t>ALEJANDRA CANO</t>
  </si>
  <si>
    <t>Longanica Casera</t>
  </si>
  <si>
    <t>cabeza</t>
  </si>
  <si>
    <t>Nota 29130</t>
  </si>
  <si>
    <t>varios</t>
  </si>
  <si>
    <t>Nota 28847</t>
  </si>
  <si>
    <t>Nota 29000</t>
  </si>
  <si>
    <t>VARIOS</t>
  </si>
  <si>
    <t>Nota 29542</t>
  </si>
  <si>
    <t xml:space="preserve">LEONARDO SANCHEZ </t>
  </si>
  <si>
    <t>Tocineta</t>
  </si>
  <si>
    <t>Economica</t>
  </si>
  <si>
    <t>PATA PIÑATA</t>
  </si>
  <si>
    <t>ANDRES</t>
  </si>
  <si>
    <t>Devolucion</t>
  </si>
  <si>
    <t>ELEAN</t>
  </si>
  <si>
    <t>LA SORPRESA</t>
  </si>
  <si>
    <t>TACOS JIRETH</t>
  </si>
  <si>
    <t>JAMON C/G</t>
  </si>
  <si>
    <t>TLACOMANI</t>
  </si>
  <si>
    <t>TOCINO manteca</t>
  </si>
  <si>
    <t>ZAPATA</t>
  </si>
  <si>
    <t>Nota 24651</t>
  </si>
  <si>
    <t>nota 25015</t>
  </si>
  <si>
    <t>nota 25118</t>
  </si>
  <si>
    <t>EMILIO LOPEZ</t>
  </si>
  <si>
    <t>DESCARNE</t>
  </si>
  <si>
    <t>Transferencia  S  NLP</t>
  </si>
  <si>
    <t>PAI-9312  FOLIO  4076</t>
  </si>
  <si>
    <t>JAMONES Y PATA</t>
  </si>
  <si>
    <t>Nota 25475</t>
  </si>
  <si>
    <t>Nota 25882</t>
  </si>
  <si>
    <t>Nota 26047</t>
  </si>
  <si>
    <t>Tocino</t>
  </si>
  <si>
    <t>Rem 618 D</t>
  </si>
  <si>
    <t>JAVIER APIZADO</t>
  </si>
  <si>
    <t>Rem 2295 D</t>
  </si>
  <si>
    <t>Nota 23958</t>
  </si>
  <si>
    <t>Pata Res</t>
  </si>
  <si>
    <t>CARNERO/ RES</t>
  </si>
  <si>
    <t>FERNANDO CRUZ</t>
  </si>
  <si>
    <t>JAMON S/H</t>
  </si>
  <si>
    <t>JOEL SALAZAR</t>
  </si>
  <si>
    <t>VIRGINIA</t>
  </si>
  <si>
    <t>Nota  30099</t>
  </si>
  <si>
    <t xml:space="preserve">VICERA </t>
  </si>
  <si>
    <t>VICERA MIKE</t>
  </si>
  <si>
    <t>GUSTAVO</t>
  </si>
  <si>
    <t>Condimento</t>
  </si>
  <si>
    <t>FRANCISCO SANCHEZ</t>
  </si>
  <si>
    <t>CHINOS CRISTAL</t>
  </si>
  <si>
    <t>CORBATA</t>
  </si>
  <si>
    <t>COLA</t>
  </si>
  <si>
    <t>PAPADA</t>
  </si>
  <si>
    <t>TOCINO</t>
  </si>
  <si>
    <t>BASILIO BAEZ</t>
  </si>
  <si>
    <t>Cuero de pierna</t>
  </si>
  <si>
    <t xml:space="preserve">VENTA DE MOSTRADOR </t>
  </si>
  <si>
    <t>JUDITH URBY</t>
  </si>
  <si>
    <t>CANALES</t>
  </si>
  <si>
    <t>DOÑA LET Y</t>
  </si>
  <si>
    <t xml:space="preserve">MARCO GONZALEZ </t>
  </si>
  <si>
    <t>LOMO DE CABEZA</t>
  </si>
  <si>
    <t>LEONARDO S</t>
  </si>
  <si>
    <t>ROBERTO TLAQMANI</t>
  </si>
  <si>
    <t>COMOS</t>
  </si>
  <si>
    <t>ZAPATA JUQUILA</t>
  </si>
  <si>
    <t>ISRAEL TORRES</t>
  </si>
  <si>
    <t>DARIO TIRO</t>
  </si>
  <si>
    <t>SERRANO</t>
  </si>
  <si>
    <t>PATY FLORES</t>
  </si>
  <si>
    <t>CARNEROS , CANAL</t>
  </si>
  <si>
    <t>BENJAMIN</t>
  </si>
  <si>
    <t>TRIPA</t>
  </si>
  <si>
    <t xml:space="preserve">PULPA, </t>
  </si>
  <si>
    <t>CABEZA D Lomo</t>
  </si>
  <si>
    <t xml:space="preserve">CABEZA D Lomo </t>
  </si>
  <si>
    <t>2, 3 May-17</t>
  </si>
  <si>
    <t>Nota 30342</t>
  </si>
  <si>
    <t xml:space="preserve">Chuleta, Chile </t>
  </si>
  <si>
    <t>Pata vinagre</t>
  </si>
  <si>
    <t>JAMONES</t>
  </si>
  <si>
    <t>Nota 30364</t>
  </si>
  <si>
    <t>Nota 30536</t>
  </si>
  <si>
    <t>Nota 30477</t>
  </si>
  <si>
    <t>Nota 30467</t>
  </si>
  <si>
    <t>nota 28627</t>
  </si>
  <si>
    <t>Marinador</t>
  </si>
  <si>
    <t>SAGRADO ZAVALETA</t>
  </si>
  <si>
    <t>ZAVALETA</t>
  </si>
  <si>
    <t>DELANTEROS</t>
  </si>
  <si>
    <t>Longaniza Econ</t>
  </si>
  <si>
    <t>Chuletas</t>
  </si>
  <si>
    <t>7-8 May -17</t>
  </si>
  <si>
    <t>TLAMAN</t>
  </si>
  <si>
    <t>Pata, Canal, Res</t>
  </si>
  <si>
    <t>7, 8, 9-May -17</t>
  </si>
  <si>
    <t>JAVIER</t>
  </si>
  <si>
    <t>Longaniza cacera,chorizo</t>
  </si>
  <si>
    <t>Longaniza</t>
  </si>
  <si>
    <t>Longaniza cacera,</t>
  </si>
  <si>
    <t>Codillo</t>
  </si>
  <si>
    <t>..</t>
  </si>
  <si>
    <t>11, 12 May -17</t>
  </si>
  <si>
    <t>Longaniza cas</t>
  </si>
  <si>
    <t>Remision D09682</t>
  </si>
  <si>
    <t>Rem D-9288-9832</t>
  </si>
  <si>
    <t>Rem D-9654</t>
  </si>
  <si>
    <t>Rem D-10094</t>
  </si>
  <si>
    <t xml:space="preserve">MIGUEL HERRERA </t>
  </si>
  <si>
    <t>Pata de res</t>
  </si>
  <si>
    <t>capote, canal, cabeza</t>
  </si>
  <si>
    <t>cabeza, y lomo de cabeza</t>
  </si>
  <si>
    <t>Tlamani</t>
  </si>
  <si>
    <t>Carnero</t>
  </si>
  <si>
    <t>xxxxxxxxx</t>
  </si>
  <si>
    <t>xxxxxx</t>
  </si>
  <si>
    <t>ARCADIO</t>
  </si>
  <si>
    <t xml:space="preserve">Longaniza Cas </t>
  </si>
  <si>
    <t>JULIO CESAR</t>
  </si>
  <si>
    <t>Rem 12084</t>
  </si>
  <si>
    <t>CHULETA</t>
  </si>
  <si>
    <t>FILETE</t>
  </si>
  <si>
    <t>14-May-17---20-May-17</t>
  </si>
  <si>
    <t>SAGRADO HEROES</t>
  </si>
  <si>
    <t>Nota 30466</t>
  </si>
  <si>
    <t>PLANCHA</t>
  </si>
  <si>
    <t xml:space="preserve">LUIS LEDO </t>
  </si>
  <si>
    <t>Longaniza C/ Econ</t>
  </si>
  <si>
    <t>FERNANDO GALICIA</t>
  </si>
  <si>
    <t xml:space="preserve">Tocino  </t>
  </si>
  <si>
    <t>25-May-17--29-May-17</t>
  </si>
  <si>
    <t>manteca, sancocho, prensado</t>
  </si>
  <si>
    <t>SR. MARIO</t>
  </si>
  <si>
    <t>GIOVANNI RIOS</t>
  </si>
  <si>
    <t>CUERO PIERNA</t>
  </si>
  <si>
    <t xml:space="preserve">EFECTIVO </t>
  </si>
  <si>
    <t>CARNE ROJa</t>
  </si>
  <si>
    <t xml:space="preserve">SR. LEDO </t>
  </si>
  <si>
    <t>VICTOR LOPEZ</t>
  </si>
  <si>
    <t>01-Jun-17---3-Jun-17</t>
  </si>
  <si>
    <t>Longaniza Casera, enchilada, Economica</t>
  </si>
  <si>
    <t>CHORIZO</t>
  </si>
  <si>
    <t>FELIX ALARCON</t>
  </si>
  <si>
    <t>Cabeza</t>
  </si>
  <si>
    <t>COMBO PIERNA</t>
  </si>
  <si>
    <t xml:space="preserve">TOCINO CRUDO </t>
  </si>
  <si>
    <t>CHULETA AHUMADA</t>
  </si>
  <si>
    <t xml:space="preserve">FRANCO MORALES </t>
  </si>
  <si>
    <t xml:space="preserve">PECHO </t>
  </si>
  <si>
    <t>cuero papel</t>
  </si>
  <si>
    <t>JOVANNY</t>
  </si>
  <si>
    <t xml:space="preserve">LEONARDO </t>
  </si>
  <si>
    <t>CARNE ENCHILADA</t>
  </si>
  <si>
    <t xml:space="preserve">Longaniza Casera, economica, chorizo, </t>
  </si>
  <si>
    <t>Longaniza econom ica</t>
  </si>
  <si>
    <t>VENTA DE MOSTRADOR</t>
  </si>
  <si>
    <t>CAÑA DE LOMO</t>
  </si>
  <si>
    <t>GRASA</t>
  </si>
  <si>
    <t>GRASA/*Cabeza de lomo</t>
  </si>
  <si>
    <t>CORAZON DE BRASIL CENTRO</t>
  </si>
  <si>
    <t>FALDA</t>
  </si>
  <si>
    <t>SR. LEDO</t>
  </si>
  <si>
    <t>VICERAS MIKY</t>
  </si>
  <si>
    <t>MENUDO</t>
  </si>
  <si>
    <t>HUGO</t>
  </si>
  <si>
    <t>21-Jun-17--22-Jun-17</t>
  </si>
  <si>
    <t>Chuleta Mariposa</t>
  </si>
  <si>
    <t>SAN BARTOLO</t>
  </si>
  <si>
    <t>JUAN ARRIAGA</t>
  </si>
  <si>
    <t>CODILLO</t>
  </si>
  <si>
    <t>PRENSADO</t>
  </si>
  <si>
    <t>22-Jun-17--24-Jun-17</t>
  </si>
  <si>
    <t>ARTURO Veracruz</t>
  </si>
  <si>
    <t>Longanizas</t>
  </si>
  <si>
    <t>longanizas</t>
  </si>
  <si>
    <t>ChuletaS</t>
  </si>
  <si>
    <t>DELANTERO</t>
  </si>
  <si>
    <t>HUGO HERNANDEZ</t>
  </si>
  <si>
    <t>FERNANDO 14 SUR</t>
  </si>
  <si>
    <t>28-Jun-17--3-Jul-17</t>
  </si>
  <si>
    <t>xxxxxxxxxxxx</t>
  </si>
  <si>
    <t>SAGRADO 14 SUR</t>
  </si>
  <si>
    <t>????????</t>
  </si>
  <si>
    <t>SERGIO JUQUILITA</t>
  </si>
  <si>
    <t xml:space="preserve">SANCOCHO, MANTECA, </t>
  </si>
  <si>
    <t>MARTIN BAEZ</t>
  </si>
  <si>
    <t xml:space="preserve">Cuero </t>
  </si>
  <si>
    <t>CARNERO</t>
  </si>
  <si>
    <t>13-Jul-17--14-Jul-17</t>
  </si>
  <si>
    <t>????</t>
  </si>
  <si>
    <t>CARLOS TEHUACAN</t>
  </si>
  <si>
    <t>SAGRADO CORAZON CENTRO</t>
  </si>
  <si>
    <t>jamon s/h  cuero papel</t>
  </si>
  <si>
    <t>jamon s/h  Pulpa</t>
  </si>
  <si>
    <t>Jamon--grasa</t>
  </si>
  <si>
    <t>C</t>
  </si>
  <si>
    <t>EL GRANJERO</t>
  </si>
  <si>
    <t>Bandera</t>
  </si>
  <si>
    <t>MARINADOR</t>
  </si>
  <si>
    <t xml:space="preserve"> PATA Chuleta Nat</t>
  </si>
  <si>
    <t>carner roja</t>
  </si>
  <si>
    <t xml:space="preserve">JOSE LUIS OLVERA </t>
  </si>
  <si>
    <t>SAGRADO MURILLO</t>
  </si>
  <si>
    <t>xxxxxxxxxx</t>
  </si>
  <si>
    <t xml:space="preserve">GUSTAVO </t>
  </si>
  <si>
    <t>BANDERA</t>
  </si>
  <si>
    <t>SADACOM</t>
  </si>
  <si>
    <t>Polvo p/arabe</t>
  </si>
  <si>
    <t>NOE COYOTL</t>
  </si>
  <si>
    <t>SUPER DESCUENTO VITORINO</t>
  </si>
  <si>
    <t>Dulce Ma. Torres</t>
  </si>
  <si>
    <t>pernil</t>
  </si>
  <si>
    <t>Ing JULIO CESAR</t>
  </si>
  <si>
    <t>ARRACHERA, SANCOCHO</t>
  </si>
  <si>
    <t>VALVERDE</t>
  </si>
  <si>
    <t>Pulpa ESP</t>
  </si>
  <si>
    <t>PIÑA</t>
  </si>
  <si>
    <t>LONGANIZAS</t>
  </si>
  <si>
    <t>CARNE ENCHILADA-Longanizaa</t>
  </si>
  <si>
    <t>tocino</t>
  </si>
  <si>
    <t>18-Ago-17----19-Ago-17</t>
  </si>
  <si>
    <t>Chuleta Amer</t>
  </si>
  <si>
    <t>CHARLY</t>
  </si>
  <si>
    <t>BENJAMIN RAMIREZ</t>
  </si>
  <si>
    <t>PIÑATA</t>
  </si>
  <si>
    <t>23-Ago-17--24-Ago-17-----26-Ago-17</t>
  </si>
  <si>
    <t>FERNANDO TENOR</t>
  </si>
  <si>
    <t>25-Ago-17---27-Ago-17</t>
  </si>
  <si>
    <t>28-Ago-17--29-Ago-17----</t>
  </si>
  <si>
    <t>ENCHILADA</t>
  </si>
  <si>
    <t>MAXICARNES</t>
  </si>
  <si>
    <t>SR. ARCADIO LEDO</t>
  </si>
  <si>
    <t>Pulpa, cabeza de lomo</t>
  </si>
  <si>
    <t>ARACADIO LEDO</t>
  </si>
  <si>
    <t>01-Sept-17---2-Sept-17</t>
  </si>
  <si>
    <t>T.JALADOR</t>
  </si>
  <si>
    <t>papada</t>
  </si>
  <si>
    <t>KEKEN</t>
  </si>
  <si>
    <t>QUESOS</t>
  </si>
  <si>
    <t>JAMON 1/2</t>
  </si>
  <si>
    <t xml:space="preserve">JORGE LUIS </t>
  </si>
  <si>
    <t>05-Sep-17---7-Sep-17</t>
  </si>
  <si>
    <t>ANGEL RIOS</t>
  </si>
  <si>
    <t>?????'</t>
  </si>
  <si>
    <t>LUIS LOPEZ</t>
  </si>
  <si>
    <t>???????</t>
  </si>
  <si>
    <t xml:space="preserve">OMAR ATLIXCO </t>
  </si>
  <si>
    <t>Pierna c/cuero</t>
  </si>
  <si>
    <t>JOSE JUQUILA</t>
  </si>
  <si>
    <t>Dev S/REM 2598-E   q esta CANCELADA</t>
  </si>
  <si>
    <t>TOCINO AHU,</t>
  </si>
  <si>
    <t>URBY</t>
  </si>
  <si>
    <t>Jamon s/g</t>
  </si>
  <si>
    <t>17-Sep-17--------18-Sep-17</t>
  </si>
  <si>
    <t>EL GRAN TACO</t>
  </si>
  <si>
    <t>CHULETA AHUM</t>
  </si>
  <si>
    <t>CABEZAS</t>
  </si>
  <si>
    <t xml:space="preserve">PIERNA PAVO </t>
  </si>
  <si>
    <t>PATA-AHUMADA</t>
  </si>
  <si>
    <t>22-Sep-17--23-Sep-17</t>
  </si>
  <si>
    <t>Pulpa, grasa, descarne</t>
  </si>
  <si>
    <t xml:space="preserve">PATA   </t>
  </si>
  <si>
    <t>cuero pierna</t>
  </si>
  <si>
    <t>PULPA-ESPINAZO</t>
  </si>
  <si>
    <t>CHULETA NAT-Recorte</t>
  </si>
  <si>
    <t>capote-chuleta</t>
  </si>
  <si>
    <t>pata</t>
  </si>
  <si>
    <t>PATA DE RES--DELANTERO</t>
  </si>
  <si>
    <t>ENCHILADA, CHORIZO</t>
  </si>
  <si>
    <t>RECORTE</t>
  </si>
  <si>
    <t>2-Oct-17--4-Oct-17--5-Oct-17--6-Oct-17--7-Oct-17</t>
  </si>
  <si>
    <t>documento</t>
  </si>
  <si>
    <t xml:space="preserve">SR. MARIO </t>
  </si>
  <si>
    <t>Jamon  1/2</t>
  </si>
  <si>
    <t>CARNE MOLIDA</t>
  </si>
  <si>
    <t>pierna</t>
  </si>
  <si>
    <t>Chuleta ahum mariposa</t>
  </si>
  <si>
    <t>12-Oct-17----13-Oct-17</t>
  </si>
  <si>
    <t>PARA-DELANTERO</t>
  </si>
  <si>
    <t>14-Oct-17--16-Oct-17</t>
  </si>
  <si>
    <t>TRIPAS BUCHE</t>
  </si>
  <si>
    <t>RES, PATA</t>
  </si>
  <si>
    <t>TRIPAS, buche</t>
  </si>
  <si>
    <t>LONGANIZAS-Manteca</t>
  </si>
  <si>
    <t>SR LEDO</t>
  </si>
  <si>
    <t>tocino, jamones</t>
  </si>
  <si>
    <t>chuletas</t>
  </si>
  <si>
    <t>21-Oct-17---22-Oct-17</t>
  </si>
  <si>
    <t>SORPRESA Cholula</t>
  </si>
  <si>
    <t>Medio capote</t>
  </si>
  <si>
    <t>SANCHOCHO--CABEZA DE LOMO</t>
  </si>
  <si>
    <t xml:space="preserve">EVANGELINA </t>
  </si>
  <si>
    <t>SAGRADO CORAZON heroes</t>
  </si>
  <si>
    <t>Manteca, C.Lomo,Sancocho</t>
  </si>
  <si>
    <t>BRASILIAN BUFFET</t>
  </si>
  <si>
    <t>PECHO C/G</t>
  </si>
  <si>
    <t>Cuero papel</t>
  </si>
  <si>
    <t>enchilada</t>
  </si>
  <si>
    <t>SAGRADO CORAZON Cruces</t>
  </si>
  <si>
    <t>30-10--17</t>
  </si>
  <si>
    <t>RES--Pata</t>
  </si>
  <si>
    <t>tripas/buche</t>
  </si>
  <si>
    <t>Carne Roja</t>
  </si>
  <si>
    <t xml:space="preserve">Maquila </t>
  </si>
  <si>
    <t>PAVOS Ahum</t>
  </si>
  <si>
    <t>Chuleta Ahum</t>
  </si>
  <si>
    <t>RES/pata</t>
  </si>
  <si>
    <t>28-Oct-17---03-Nov-17</t>
  </si>
  <si>
    <t>EVANGELISTA</t>
  </si>
  <si>
    <t>xxxxx</t>
  </si>
  <si>
    <t xml:space="preserve">Longanizas </t>
  </si>
  <si>
    <t>combos</t>
  </si>
  <si>
    <t>SAGRADO CORAZON 3 CRUCES</t>
  </si>
  <si>
    <t>BUCHE</t>
  </si>
  <si>
    <t>GINA</t>
  </si>
  <si>
    <t>Jamon C/G</t>
  </si>
  <si>
    <t>SAN PEDRO</t>
  </si>
  <si>
    <t>LA SORPRESA cholula</t>
  </si>
  <si>
    <t>Esp. De carnero</t>
  </si>
  <si>
    <t>SAN JUAN</t>
  </si>
  <si>
    <t>13-Nov-17----16-Nov-17</t>
  </si>
  <si>
    <t>CAMPARA</t>
  </si>
  <si>
    <t>??????????</t>
  </si>
  <si>
    <t>17--11-17</t>
  </si>
  <si>
    <t>BUCHE--Tripas</t>
  </si>
  <si>
    <t>PATAS-DELANTEROS</t>
  </si>
  <si>
    <t xml:space="preserve">VENTA MOSTRADOR </t>
  </si>
  <si>
    <t>LEONARDO</t>
  </si>
  <si>
    <t>FILETE--PATA</t>
  </si>
  <si>
    <t>RES, Pata</t>
  </si>
  <si>
    <t>RESES</t>
  </si>
  <si>
    <t>Carne enchilada</t>
  </si>
  <si>
    <t>HARBANO</t>
  </si>
  <si>
    <t>Abierta</t>
  </si>
  <si>
    <t>tocino winis</t>
  </si>
  <si>
    <t>Cabeza de Lomo,  pulpa</t>
  </si>
  <si>
    <t>cabeza de lomo</t>
  </si>
  <si>
    <t>grasa</t>
  </si>
  <si>
    <t>chuleta Nat , cabeza de lomo</t>
  </si>
  <si>
    <t>JAVIER MARQUEZ</t>
  </si>
  <si>
    <t>DELANTERO, PATA</t>
  </si>
  <si>
    <t>23-Nov-17---25-Nov-17</t>
  </si>
  <si>
    <t>MARIO GONZALEZ</t>
  </si>
  <si>
    <t>Pulpa es</t>
  </si>
  <si>
    <t>PULPA, PATA, CABEZA LOMO</t>
  </si>
  <si>
    <t>PAA, CABEZA, CAB DE LOMO</t>
  </si>
  <si>
    <t>TOCINOS</t>
  </si>
  <si>
    <t>AMERICANO</t>
  </si>
  <si>
    <t>29-Nov-17---3-Dic-17--4-Dic-17</t>
  </si>
  <si>
    <t>CRISTIAN GRACIELA</t>
  </si>
  <si>
    <t>LOMO DE CABEZA, PAPADA</t>
  </si>
  <si>
    <t xml:space="preserve">CAPOTE  </t>
  </si>
  <si>
    <t>04-Dic-17--6-Dic-17</t>
  </si>
  <si>
    <t>RES, PATAS</t>
  </si>
  <si>
    <t>A CUENTA</t>
  </si>
  <si>
    <t>JESUS TUXPAN</t>
  </si>
  <si>
    <t>ASADO DE FILETE</t>
  </si>
  <si>
    <t>TRIPAS----BUCHE</t>
  </si>
  <si>
    <t>7-Dic-17---8-Dic-17</t>
  </si>
  <si>
    <t>PATAS-DELAN TERO</t>
  </si>
  <si>
    <t>ABONO</t>
  </si>
  <si>
    <t>MERINO</t>
  </si>
  <si>
    <t xml:space="preserve">SAGRADO CENTRO </t>
  </si>
  <si>
    <t xml:space="preserve">CHULETA--Tocino </t>
  </si>
  <si>
    <t>9-Dic-17---12-Dic-17</t>
  </si>
  <si>
    <t>pierna, canal, capote</t>
  </si>
  <si>
    <t>pATA</t>
  </si>
  <si>
    <t>chuleta</t>
  </si>
  <si>
    <t>POLLO-PAVO</t>
  </si>
  <si>
    <t>TRIPA-BUCHE</t>
  </si>
  <si>
    <t>RES-PATA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</si>
</sst>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9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C00000"/>
      <name val="Calibri"/>
      <family val="1"/>
      <scheme val="minor"/>
    </font>
    <font>
      <b/>
      <sz val="12"/>
      <color rgb="FFC00000"/>
      <name val="Calibri"/>
      <family val="1"/>
      <scheme val="minor"/>
    </font>
    <font>
      <b/>
      <sz val="10"/>
      <color rgb="FFC00000"/>
      <name val="Calibri"/>
      <family val="1"/>
      <scheme val="minor"/>
    </font>
    <font>
      <b/>
      <sz val="8"/>
      <color rgb="FFC00000"/>
      <name val="Calibri"/>
      <family val="1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1"/>
      <color theme="5" tint="-0.499984740745262"/>
      <name val="Calibri"/>
      <family val="1"/>
      <scheme val="minor"/>
    </font>
    <font>
      <b/>
      <sz val="9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1"/>
      <scheme val="minor"/>
    </font>
    <font>
      <b/>
      <sz val="9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sz val="11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i/>
      <sz val="12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rgb="FF0000FF"/>
      <name val="Calibri"/>
      <family val="1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sz val="11"/>
      <color rgb="FFFF0000"/>
      <name val="Calibri"/>
      <family val="1"/>
      <scheme val="minor"/>
    </font>
    <font>
      <b/>
      <sz val="12"/>
      <color rgb="FFFF0000"/>
      <name val="Calibri"/>
      <family val="1"/>
      <scheme val="minor"/>
    </font>
    <font>
      <b/>
      <sz val="12"/>
      <color rgb="FFC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6" fillId="2" borderId="0" xfId="0" applyFont="1" applyFill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Alignment="1">
      <alignment horizontal="center"/>
    </xf>
    <xf numFmtId="16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18" fillId="0" borderId="0" xfId="0" applyNumberFormat="1" applyFont="1"/>
    <xf numFmtId="2" fontId="0" fillId="0" borderId="0" xfId="0" applyNumberFormat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1" fontId="8" fillId="0" borderId="3" xfId="0" applyNumberFormat="1" applyFont="1" applyBorder="1" applyAlignment="1">
      <alignment horizontal="center" wrapText="1"/>
    </xf>
    <xf numFmtId="164" fontId="8" fillId="0" borderId="3" xfId="0" applyNumberFormat="1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165" fontId="8" fillId="0" borderId="0" xfId="0" applyNumberFormat="1" applyFont="1"/>
    <xf numFmtId="164" fontId="8" fillId="0" borderId="13" xfId="0" applyNumberFormat="1" applyFont="1" applyBorder="1"/>
    <xf numFmtId="164" fontId="8" fillId="0" borderId="3" xfId="0" applyNumberFormat="1" applyFont="1" applyBorder="1" applyAlignment="1">
      <alignment horizontal="center"/>
    </xf>
    <xf numFmtId="44" fontId="11" fillId="0" borderId="3" xfId="1" applyFont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Border="1"/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/>
    <xf numFmtId="166" fontId="8" fillId="0" borderId="3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164" fontId="11" fillId="0" borderId="3" xfId="0" applyNumberFormat="1" applyFont="1" applyBorder="1"/>
    <xf numFmtId="0" fontId="20" fillId="0" borderId="3" xfId="0" applyFont="1" applyBorder="1"/>
    <xf numFmtId="4" fontId="8" fillId="0" borderId="3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right"/>
    </xf>
    <xf numFmtId="164" fontId="8" fillId="0" borderId="17" xfId="0" applyNumberFormat="1" applyFont="1" applyBorder="1" applyAlignment="1">
      <alignment horizontal="center"/>
    </xf>
    <xf numFmtId="164" fontId="8" fillId="0" borderId="16" xfId="0" applyNumberFormat="1" applyFont="1" applyBorder="1"/>
    <xf numFmtId="164" fontId="8" fillId="0" borderId="17" xfId="0" applyNumberFormat="1" applyFont="1" applyBorder="1"/>
    <xf numFmtId="0" fontId="21" fillId="0" borderId="3" xfId="0" applyFont="1" applyBorder="1" applyAlignment="1">
      <alignment horizontal="left"/>
    </xf>
    <xf numFmtId="165" fontId="2" fillId="0" borderId="16" xfId="0" applyNumberFormat="1" applyFont="1" applyBorder="1" applyAlignment="1">
      <alignment wrapText="1"/>
    </xf>
    <xf numFmtId="44" fontId="11" fillId="0" borderId="3" xfId="1" applyFont="1" applyBorder="1" applyAlignment="1">
      <alignment horizontal="center" wrapText="1"/>
    </xf>
    <xf numFmtId="0" fontId="22" fillId="0" borderId="3" xfId="0" applyFont="1" applyBorder="1" applyAlignment="1">
      <alignment horizontal="center"/>
    </xf>
    <xf numFmtId="164" fontId="8" fillId="0" borderId="3" xfId="0" applyNumberFormat="1" applyFont="1" applyBorder="1"/>
    <xf numFmtId="167" fontId="0" fillId="0" borderId="0" xfId="0" applyNumberFormat="1"/>
    <xf numFmtId="0" fontId="8" fillId="0" borderId="3" xfId="0" applyFont="1" applyBorder="1" applyAlignment="1">
      <alignment horizontal="left"/>
    </xf>
    <xf numFmtId="164" fontId="22" fillId="0" borderId="3" xfId="0" applyNumberFormat="1" applyFont="1" applyBorder="1" applyAlignment="1">
      <alignment horizontal="center"/>
    </xf>
    <xf numFmtId="164" fontId="21" fillId="0" borderId="3" xfId="0" applyNumberFormat="1" applyFont="1" applyBorder="1" applyAlignment="1">
      <alignment horizontal="left"/>
    </xf>
    <xf numFmtId="167" fontId="2" fillId="0" borderId="18" xfId="0" applyNumberFormat="1" applyFont="1" applyBorder="1"/>
    <xf numFmtId="2" fontId="0" fillId="0" borderId="3" xfId="0" applyNumberFormat="1" applyBorder="1" applyAlignment="1">
      <alignment horizontal="right"/>
    </xf>
    <xf numFmtId="16" fontId="0" fillId="0" borderId="3" xfId="0" applyNumberFormat="1" applyBorder="1"/>
    <xf numFmtId="0" fontId="0" fillId="0" borderId="3" xfId="0" applyBorder="1" applyAlignment="1">
      <alignment horizontal="right"/>
    </xf>
    <xf numFmtId="167" fontId="0" fillId="0" borderId="3" xfId="0" applyNumberFormat="1" applyBorder="1"/>
    <xf numFmtId="2" fontId="0" fillId="0" borderId="3" xfId="0" applyNumberFormat="1" applyBorder="1"/>
    <xf numFmtId="165" fontId="2" fillId="0" borderId="19" xfId="0" applyNumberFormat="1" applyFont="1" applyBorder="1"/>
    <xf numFmtId="164" fontId="2" fillId="0" borderId="17" xfId="0" applyNumberFormat="1" applyFont="1" applyBorder="1" applyAlignment="1">
      <alignment horizontal="center"/>
    </xf>
    <xf numFmtId="164" fontId="23" fillId="0" borderId="3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4" fontId="8" fillId="0" borderId="15" xfId="0" applyNumberFormat="1" applyFont="1" applyBorder="1"/>
    <xf numFmtId="166" fontId="8" fillId="0" borderId="15" xfId="0" applyNumberFormat="1" applyFont="1" applyBorder="1" applyAlignment="1">
      <alignment horizontal="center"/>
    </xf>
    <xf numFmtId="1" fontId="8" fillId="0" borderId="15" xfId="0" applyNumberFormat="1" applyFont="1" applyBorder="1" applyAlignment="1">
      <alignment horizontal="center" wrapText="1"/>
    </xf>
    <xf numFmtId="4" fontId="8" fillId="0" borderId="15" xfId="0" applyNumberFormat="1" applyFont="1" applyBorder="1" applyAlignment="1">
      <alignment horizontal="right"/>
    </xf>
    <xf numFmtId="164" fontId="8" fillId="0" borderId="15" xfId="0" applyNumberFormat="1" applyFont="1" applyBorder="1" applyAlignment="1">
      <alignment horizontal="center"/>
    </xf>
    <xf numFmtId="164" fontId="22" fillId="0" borderId="15" xfId="0" applyNumberFormat="1" applyFont="1" applyBorder="1" applyAlignment="1">
      <alignment horizontal="center"/>
    </xf>
    <xf numFmtId="164" fontId="21" fillId="0" borderId="15" xfId="0" applyNumberFormat="1" applyFont="1" applyBorder="1" applyAlignment="1">
      <alignment horizontal="left"/>
    </xf>
    <xf numFmtId="165" fontId="2" fillId="0" borderId="20" xfId="0" applyNumberFormat="1" applyFont="1" applyBorder="1"/>
    <xf numFmtId="168" fontId="2" fillId="0" borderId="18" xfId="0" applyNumberFormat="1" applyFont="1" applyBorder="1"/>
    <xf numFmtId="4" fontId="8" fillId="0" borderId="3" xfId="0" applyNumberFormat="1" applyFont="1" applyBorder="1" applyAlignment="1">
      <alignment vertical="center"/>
    </xf>
    <xf numFmtId="164" fontId="12" fillId="0" borderId="3" xfId="0" applyNumberFormat="1" applyFont="1" applyBorder="1" applyAlignment="1">
      <alignment horizontal="center"/>
    </xf>
    <xf numFmtId="165" fontId="2" fillId="0" borderId="16" xfId="0" applyNumberFormat="1" applyFont="1" applyBorder="1"/>
    <xf numFmtId="4" fontId="8" fillId="11" borderId="0" xfId="0" applyNumberFormat="1" applyFont="1" applyFill="1" applyAlignment="1">
      <alignment horizontal="right"/>
    </xf>
    <xf numFmtId="44" fontId="2" fillId="0" borderId="17" xfId="1" applyFont="1" applyBorder="1" applyAlignment="1">
      <alignment horizontal="center"/>
    </xf>
    <xf numFmtId="2" fontId="2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164" fontId="20" fillId="0" borderId="3" xfId="0" applyNumberFormat="1" applyFont="1" applyBorder="1" applyAlignment="1">
      <alignment horizontal="center"/>
    </xf>
    <xf numFmtId="168" fontId="2" fillId="0" borderId="18" xfId="0" applyNumberFormat="1" applyFont="1" applyBorder="1" applyAlignment="1">
      <alignment horizontal="right"/>
    </xf>
    <xf numFmtId="1" fontId="11" fillId="0" borderId="3" xfId="0" applyNumberFormat="1" applyFont="1" applyBorder="1" applyAlignment="1">
      <alignment horizontal="center" wrapText="1"/>
    </xf>
    <xf numFmtId="164" fontId="22" fillId="0" borderId="3" xfId="0" applyNumberFormat="1" applyFont="1" applyBorder="1" applyAlignment="1">
      <alignment horizontal="left"/>
    </xf>
    <xf numFmtId="164" fontId="2" fillId="0" borderId="18" xfId="0" applyNumberFormat="1" applyFont="1" applyBorder="1" applyAlignment="1">
      <alignment horizontal="right"/>
    </xf>
    <xf numFmtId="165" fontId="2" fillId="0" borderId="19" xfId="0" applyNumberFormat="1" applyFont="1" applyBorder="1" applyAlignment="1">
      <alignment horizontal="center" wrapText="1"/>
    </xf>
    <xf numFmtId="0" fontId="24" fillId="0" borderId="3" xfId="0" applyFont="1" applyBorder="1" applyAlignment="1">
      <alignment horizontal="left"/>
    </xf>
    <xf numFmtId="164" fontId="25" fillId="0" borderId="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 wrapText="1"/>
    </xf>
    <xf numFmtId="169" fontId="20" fillId="0" borderId="3" xfId="1" applyNumberFormat="1" applyFont="1" applyBorder="1" applyAlignment="1">
      <alignment horizontal="center"/>
    </xf>
    <xf numFmtId="164" fontId="26" fillId="0" borderId="3" xfId="0" applyNumberFormat="1" applyFont="1" applyBorder="1" applyAlignment="1">
      <alignment horizontal="center"/>
    </xf>
    <xf numFmtId="165" fontId="21" fillId="0" borderId="19" xfId="0" applyNumberFormat="1" applyFont="1" applyBorder="1" applyAlignment="1">
      <alignment wrapText="1"/>
    </xf>
    <xf numFmtId="44" fontId="19" fillId="0" borderId="3" xfId="1" applyFont="1" applyBorder="1" applyAlignment="1">
      <alignment horizontal="center" wrapText="1"/>
    </xf>
    <xf numFmtId="44" fontId="19" fillId="0" borderId="3" xfId="1" applyFont="1" applyBorder="1" applyAlignment="1">
      <alignment horizontal="center"/>
    </xf>
    <xf numFmtId="164" fontId="28" fillId="0" borderId="17" xfId="0" applyNumberFormat="1" applyFont="1" applyBorder="1" applyAlignment="1">
      <alignment horizontal="center"/>
    </xf>
    <xf numFmtId="165" fontId="22" fillId="0" borderId="3" xfId="0" applyNumberFormat="1" applyFont="1" applyBorder="1" applyAlignment="1">
      <alignment horizontal="left"/>
    </xf>
    <xf numFmtId="44" fontId="19" fillId="0" borderId="16" xfId="1" applyFont="1" applyBorder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44" fontId="21" fillId="0" borderId="16" xfId="1" applyFont="1" applyBorder="1"/>
    <xf numFmtId="165" fontId="12" fillId="0" borderId="17" xfId="0" applyNumberFormat="1" applyFont="1" applyBorder="1"/>
    <xf numFmtId="165" fontId="27" fillId="0" borderId="19" xfId="0" applyNumberFormat="1" applyFont="1" applyBorder="1" applyAlignment="1">
      <alignment horizontal="center" wrapText="1"/>
    </xf>
    <xf numFmtId="2" fontId="27" fillId="0" borderId="3" xfId="0" applyNumberFormat="1" applyFont="1" applyBorder="1" applyAlignment="1">
      <alignment horizontal="left"/>
    </xf>
    <xf numFmtId="165" fontId="27" fillId="0" borderId="16" xfId="0" applyNumberFormat="1" applyFont="1" applyBorder="1"/>
    <xf numFmtId="164" fontId="29" fillId="0" borderId="3" xfId="0" applyNumberFormat="1" applyFont="1" applyBorder="1" applyAlignment="1">
      <alignment horizontal="center"/>
    </xf>
    <xf numFmtId="165" fontId="22" fillId="0" borderId="3" xfId="0" applyNumberFormat="1" applyFont="1" applyBorder="1" applyAlignment="1">
      <alignment horizontal="center"/>
    </xf>
    <xf numFmtId="1" fontId="14" fillId="0" borderId="3" xfId="0" applyNumberFormat="1" applyFont="1" applyBorder="1" applyAlignment="1">
      <alignment horizontal="center" wrapText="1"/>
    </xf>
    <xf numFmtId="2" fontId="30" fillId="0" borderId="3" xfId="0" applyNumberFormat="1" applyFont="1" applyBorder="1" applyAlignment="1">
      <alignment horizontal="left"/>
    </xf>
    <xf numFmtId="165" fontId="28" fillId="0" borderId="16" xfId="0" applyNumberFormat="1" applyFont="1" applyBorder="1"/>
    <xf numFmtId="164" fontId="28" fillId="0" borderId="18" xfId="0" applyNumberFormat="1" applyFont="1" applyBorder="1" applyAlignment="1">
      <alignment horizontal="right"/>
    </xf>
    <xf numFmtId="0" fontId="31" fillId="0" borderId="3" xfId="0" applyFont="1" applyBorder="1"/>
    <xf numFmtId="0" fontId="31" fillId="0" borderId="3" xfId="0" applyFont="1" applyBorder="1" applyAlignment="1">
      <alignment horizontal="center"/>
    </xf>
    <xf numFmtId="2" fontId="31" fillId="0" borderId="3" xfId="0" applyNumberFormat="1" applyFont="1" applyBorder="1" applyAlignment="1">
      <alignment horizontal="right"/>
    </xf>
    <xf numFmtId="16" fontId="31" fillId="0" borderId="3" xfId="0" applyNumberFormat="1" applyFont="1" applyBorder="1"/>
    <xf numFmtId="0" fontId="31" fillId="0" borderId="3" xfId="0" applyFont="1" applyBorder="1" applyAlignment="1">
      <alignment horizontal="right"/>
    </xf>
    <xf numFmtId="167" fontId="31" fillId="0" borderId="3" xfId="0" applyNumberFormat="1" applyFont="1" applyBorder="1"/>
    <xf numFmtId="165" fontId="28" fillId="0" borderId="19" xfId="0" applyNumberFormat="1" applyFont="1" applyBorder="1"/>
    <xf numFmtId="44" fontId="32" fillId="0" borderId="3" xfId="1" applyFont="1" applyBorder="1" applyAlignment="1">
      <alignment horizontal="center"/>
    </xf>
    <xf numFmtId="165" fontId="28" fillId="0" borderId="3" xfId="0" applyNumberFormat="1" applyFont="1" applyBorder="1"/>
    <xf numFmtId="164" fontId="28" fillId="0" borderId="3" xfId="0" applyNumberFormat="1" applyFont="1" applyBorder="1" applyAlignment="1">
      <alignment horizontal="right"/>
    </xf>
    <xf numFmtId="164" fontId="28" fillId="0" borderId="3" xfId="0" applyNumberFormat="1" applyFont="1" applyBorder="1" applyAlignment="1">
      <alignment horizontal="center"/>
    </xf>
    <xf numFmtId="168" fontId="28" fillId="0" borderId="3" xfId="0" applyNumberFormat="1" applyFont="1" applyBorder="1" applyAlignment="1">
      <alignment horizontal="right"/>
    </xf>
    <xf numFmtId="0" fontId="28" fillId="0" borderId="3" xfId="0" applyFont="1" applyBorder="1"/>
    <xf numFmtId="0" fontId="28" fillId="0" borderId="3" xfId="0" applyFont="1" applyBorder="1" applyAlignment="1">
      <alignment horizontal="center"/>
    </xf>
    <xf numFmtId="2" fontId="28" fillId="0" borderId="3" xfId="0" applyNumberFormat="1" applyFont="1" applyBorder="1" applyAlignment="1">
      <alignment horizontal="right"/>
    </xf>
    <xf numFmtId="16" fontId="28" fillId="0" borderId="3" xfId="0" applyNumberFormat="1" applyFont="1" applyBorder="1"/>
    <xf numFmtId="0" fontId="28" fillId="0" borderId="3" xfId="0" applyFont="1" applyBorder="1" applyAlignment="1">
      <alignment horizontal="right"/>
    </xf>
    <xf numFmtId="167" fontId="28" fillId="0" borderId="3" xfId="0" applyNumberFormat="1" applyFont="1" applyBorder="1"/>
    <xf numFmtId="1" fontId="15" fillId="0" borderId="3" xfId="0" applyNumberFormat="1" applyFont="1" applyBorder="1" applyAlignment="1">
      <alignment horizontal="center" wrapText="1"/>
    </xf>
    <xf numFmtId="164" fontId="28" fillId="0" borderId="3" xfId="0" applyNumberFormat="1" applyFont="1" applyBorder="1"/>
    <xf numFmtId="165" fontId="8" fillId="0" borderId="3" xfId="0" applyNumberFormat="1" applyFont="1" applyBorder="1"/>
    <xf numFmtId="0" fontId="8" fillId="0" borderId="3" xfId="0" applyFont="1" applyBorder="1" applyAlignment="1">
      <alignment horizontal="center"/>
    </xf>
    <xf numFmtId="2" fontId="8" fillId="0" borderId="3" xfId="0" applyNumberFormat="1" applyFont="1" applyBorder="1" applyAlignment="1">
      <alignment horizontal="right"/>
    </xf>
    <xf numFmtId="16" fontId="8" fillId="0" borderId="3" xfId="0" applyNumberFormat="1" applyFont="1" applyBorder="1"/>
    <xf numFmtId="0" fontId="8" fillId="0" borderId="3" xfId="0" applyFont="1" applyBorder="1" applyAlignment="1">
      <alignment horizontal="right"/>
    </xf>
    <xf numFmtId="167" fontId="8" fillId="0" borderId="3" xfId="0" applyNumberFormat="1" applyFont="1" applyBorder="1"/>
    <xf numFmtId="166" fontId="8" fillId="0" borderId="3" xfId="0" applyNumberFormat="1" applyFont="1" applyBorder="1"/>
    <xf numFmtId="1" fontId="12" fillId="0" borderId="3" xfId="0" applyNumberFormat="1" applyFont="1" applyBorder="1" applyAlignment="1">
      <alignment horizontal="center" wrapText="1"/>
    </xf>
    <xf numFmtId="0" fontId="11" fillId="0" borderId="3" xfId="0" applyFont="1" applyBorder="1"/>
    <xf numFmtId="1" fontId="33" fillId="0" borderId="3" xfId="0" applyNumberFormat="1" applyFont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1" fillId="0" borderId="0" xfId="0" applyFont="1"/>
    <xf numFmtId="0" fontId="2" fillId="0" borderId="21" xfId="0" applyFont="1" applyBorder="1" applyAlignment="1">
      <alignment horizontal="left"/>
    </xf>
    <xf numFmtId="1" fontId="18" fillId="0" borderId="0" xfId="0" applyNumberFormat="1" applyFont="1" applyAlignment="1">
      <alignment horizontal="center" wrapText="1"/>
    </xf>
    <xf numFmtId="164" fontId="20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left"/>
    </xf>
    <xf numFmtId="166" fontId="8" fillId="0" borderId="0" xfId="0" applyNumberFormat="1" applyFont="1"/>
    <xf numFmtId="0" fontId="8" fillId="0" borderId="0" xfId="0" applyFont="1" applyAlignment="1">
      <alignment horizontal="center"/>
    </xf>
    <xf numFmtId="2" fontId="8" fillId="0" borderId="22" xfId="0" applyNumberFormat="1" applyFont="1" applyBorder="1" applyAlignment="1">
      <alignment horizontal="right"/>
    </xf>
    <xf numFmtId="16" fontId="8" fillId="0" borderId="0" xfId="0" applyNumberFormat="1" applyFont="1"/>
    <xf numFmtId="0" fontId="8" fillId="0" borderId="0" xfId="0" applyFont="1" applyAlignment="1">
      <alignment horizontal="right"/>
    </xf>
    <xf numFmtId="167" fontId="8" fillId="0" borderId="0" xfId="0" applyNumberFormat="1" applyFont="1"/>
    <xf numFmtId="0" fontId="8" fillId="0" borderId="21" xfId="0" applyFont="1" applyBorder="1"/>
    <xf numFmtId="16" fontId="8" fillId="0" borderId="21" xfId="0" applyNumberFormat="1" applyFont="1" applyBorder="1"/>
    <xf numFmtId="0" fontId="8" fillId="0" borderId="23" xfId="0" applyFont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8" fillId="0" borderId="1" xfId="0" applyNumberFormat="1" applyFont="1" applyBorder="1" applyAlignment="1">
      <alignment horizontal="right"/>
    </xf>
    <xf numFmtId="4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horizontal="center"/>
    </xf>
    <xf numFmtId="2" fontId="35" fillId="0" borderId="22" xfId="0" applyNumberFormat="1" applyFont="1" applyBorder="1" applyAlignment="1">
      <alignment horizontal="right"/>
    </xf>
    <xf numFmtId="16" fontId="35" fillId="0" borderId="0" xfId="0" applyNumberFormat="1" applyFont="1"/>
    <xf numFmtId="0" fontId="35" fillId="0" borderId="0" xfId="0" applyFont="1" applyAlignment="1">
      <alignment horizontal="right"/>
    </xf>
    <xf numFmtId="167" fontId="35" fillId="0" borderId="0" xfId="0" applyNumberFormat="1" applyFont="1"/>
    <xf numFmtId="0" fontId="35" fillId="0" borderId="21" xfId="0" applyFont="1" applyBorder="1"/>
    <xf numFmtId="2" fontId="35" fillId="0" borderId="0" xfId="0" applyNumberFormat="1" applyFont="1" applyAlignment="1">
      <alignment horizontal="right"/>
    </xf>
    <xf numFmtId="16" fontId="35" fillId="0" borderId="21" xfId="0" applyNumberFormat="1" applyFont="1" applyBorder="1"/>
    <xf numFmtId="0" fontId="35" fillId="0" borderId="23" xfId="0" applyFont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2" fillId="0" borderId="0" xfId="0" applyFont="1"/>
    <xf numFmtId="164" fontId="8" fillId="0" borderId="22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44" fontId="36" fillId="0" borderId="29" xfId="1" applyFont="1" applyBorder="1" applyAlignment="1">
      <alignment horizontal="center"/>
    </xf>
    <xf numFmtId="166" fontId="38" fillId="0" borderId="0" xfId="0" applyNumberFormat="1" applyFont="1" applyAlignment="1">
      <alignment horizontal="center"/>
    </xf>
    <xf numFmtId="1" fontId="8" fillId="0" borderId="22" xfId="0" applyNumberFormat="1" applyFont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Border="1" applyAlignment="1">
      <alignment horizontal="center"/>
    </xf>
    <xf numFmtId="4" fontId="18" fillId="0" borderId="31" xfId="0" applyNumberFormat="1" applyFont="1" applyBorder="1"/>
    <xf numFmtId="2" fontId="28" fillId="0" borderId="0" xfId="0" applyNumberFormat="1" applyFont="1" applyAlignment="1">
      <alignment horizontal="left"/>
    </xf>
    <xf numFmtId="164" fontId="8" fillId="0" borderId="32" xfId="0" applyNumberFormat="1" applyFont="1" applyBorder="1"/>
    <xf numFmtId="164" fontId="8" fillId="0" borderId="0" xfId="0" applyNumberFormat="1" applyFont="1"/>
    <xf numFmtId="164" fontId="8" fillId="0" borderId="33" xfId="0" applyNumberFormat="1" applyFont="1" applyBorder="1"/>
    <xf numFmtId="44" fontId="11" fillId="0" borderId="0" xfId="1" applyFont="1" applyAlignment="1">
      <alignment horizontal="center"/>
    </xf>
    <xf numFmtId="164" fontId="22" fillId="0" borderId="0" xfId="0" applyNumberFormat="1" applyFont="1"/>
    <xf numFmtId="164" fontId="8" fillId="0" borderId="34" xfId="0" applyNumberFormat="1" applyFont="1" applyBorder="1"/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0" fillId="0" borderId="21" xfId="0" applyBorder="1"/>
    <xf numFmtId="0" fontId="38" fillId="0" borderId="0" xfId="0" applyFont="1" applyAlignment="1">
      <alignment horizontal="center"/>
    </xf>
    <xf numFmtId="2" fontId="0" fillId="0" borderId="22" xfId="0" applyNumberForma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" fontId="0" fillId="0" borderId="21" xfId="0" applyNumberFormat="1" applyBorder="1"/>
    <xf numFmtId="0" fontId="0" fillId="0" borderId="23" xfId="0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/>
    <xf numFmtId="2" fontId="39" fillId="7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left"/>
    </xf>
    <xf numFmtId="167" fontId="28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0" fillId="0" borderId="37" xfId="0" applyBorder="1"/>
    <xf numFmtId="0" fontId="38" fillId="0" borderId="38" xfId="0" applyFont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2" borderId="0" xfId="0" applyNumberFormat="1" applyFill="1" applyAlignment="1">
      <alignment horizontal="right"/>
    </xf>
    <xf numFmtId="0" fontId="38" fillId="0" borderId="1" xfId="0" applyFont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165" fontId="0" fillId="0" borderId="0" xfId="0" applyNumberFormat="1" applyAlignment="1">
      <alignment horizontal="center"/>
    </xf>
    <xf numFmtId="165" fontId="11" fillId="0" borderId="14" xfId="0" applyNumberFormat="1" applyFont="1" applyBorder="1" applyAlignment="1">
      <alignment horizontal="center"/>
    </xf>
    <xf numFmtId="44" fontId="15" fillId="0" borderId="0" xfId="1" applyFont="1" applyAlignment="1">
      <alignment horizontal="center"/>
    </xf>
    <xf numFmtId="0" fontId="4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4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1" fontId="42" fillId="0" borderId="22" xfId="0" applyNumberFormat="1" applyFont="1" applyBorder="1" applyAlignment="1">
      <alignment horizontal="center"/>
    </xf>
    <xf numFmtId="165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14" xfId="0" applyFont="1" applyBorder="1" applyAlignment="1">
      <alignment horizontal="left"/>
    </xf>
    <xf numFmtId="165" fontId="8" fillId="0" borderId="14" xfId="0" applyNumberFormat="1" applyFont="1" applyBorder="1" applyAlignment="1">
      <alignment horizontal="left"/>
    </xf>
    <xf numFmtId="14" fontId="8" fillId="0" borderId="14" xfId="0" applyNumberFormat="1" applyFont="1" applyBorder="1" applyAlignment="1">
      <alignment horizontal="left"/>
    </xf>
    <xf numFmtId="165" fontId="43" fillId="0" borderId="14" xfId="0" applyNumberFormat="1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165" fontId="11" fillId="0" borderId="14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35" fillId="0" borderId="0" xfId="0" applyNumberFormat="1" applyFont="1"/>
    <xf numFmtId="0" fontId="8" fillId="0" borderId="14" xfId="0" applyFont="1" applyBorder="1"/>
    <xf numFmtId="16" fontId="11" fillId="0" borderId="0" xfId="0" applyNumberFormat="1" applyFont="1" applyAlignment="1">
      <alignment horizontal="left"/>
    </xf>
    <xf numFmtId="165" fontId="8" fillId="0" borderId="14" xfId="0" applyNumberFormat="1" applyFont="1" applyBorder="1"/>
    <xf numFmtId="14" fontId="43" fillId="0" borderId="14" xfId="0" applyNumberFormat="1" applyFont="1" applyBorder="1" applyAlignment="1">
      <alignment horizontal="left"/>
    </xf>
    <xf numFmtId="4" fontId="35" fillId="0" borderId="0" xfId="0" applyNumberFormat="1" applyFont="1"/>
    <xf numFmtId="166" fontId="18" fillId="0" borderId="0" xfId="0" applyNumberFormat="1" applyFont="1" applyAlignment="1">
      <alignment horizontal="left"/>
    </xf>
    <xf numFmtId="14" fontId="43" fillId="0" borderId="0" xfId="0" applyNumberFormat="1" applyFont="1" applyAlignment="1">
      <alignment horizontal="left"/>
    </xf>
    <xf numFmtId="165" fontId="43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4" fontId="20" fillId="0" borderId="0" xfId="0" applyNumberFormat="1" applyFont="1" applyAlignment="1">
      <alignment horizontal="left"/>
    </xf>
    <xf numFmtId="165" fontId="20" fillId="0" borderId="0" xfId="0" applyNumberFormat="1" applyFont="1" applyAlignment="1">
      <alignment horizontal="left"/>
    </xf>
    <xf numFmtId="0" fontId="20" fillId="0" borderId="21" xfId="0" applyFont="1" applyBorder="1" applyAlignment="1">
      <alignment vertical="center"/>
    </xf>
    <xf numFmtId="170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44" fillId="0" borderId="0" xfId="0" applyFont="1"/>
    <xf numFmtId="16" fontId="8" fillId="0" borderId="21" xfId="0" quotePrefix="1" applyNumberFormat="1" applyFont="1" applyBorder="1"/>
    <xf numFmtId="14" fontId="45" fillId="0" borderId="0" xfId="0" applyNumberFormat="1" applyFont="1" applyAlignment="1">
      <alignment horizontal="left"/>
    </xf>
    <xf numFmtId="165" fontId="45" fillId="0" borderId="0" xfId="0" applyNumberFormat="1" applyFont="1" applyAlignment="1">
      <alignment horizontal="left"/>
    </xf>
    <xf numFmtId="14" fontId="46" fillId="0" borderId="0" xfId="0" applyNumberFormat="1" applyFont="1" applyAlignment="1">
      <alignment horizontal="left"/>
    </xf>
    <xf numFmtId="165" fontId="46" fillId="0" borderId="0" xfId="0" applyNumberFormat="1" applyFont="1" applyAlignment="1">
      <alignment horizontal="left"/>
    </xf>
    <xf numFmtId="0" fontId="43" fillId="0" borderId="21" xfId="0" applyFont="1" applyBorder="1"/>
    <xf numFmtId="165" fontId="43" fillId="0" borderId="0" xfId="0" applyNumberFormat="1" applyFont="1" applyAlignment="1">
      <alignment horizontal="center"/>
    </xf>
    <xf numFmtId="1" fontId="8" fillId="0" borderId="22" xfId="0" applyNumberFormat="1" applyFont="1" applyBorder="1" applyAlignment="1">
      <alignment horizontal="center"/>
    </xf>
    <xf numFmtId="170" fontId="14" fillId="0" borderId="0" xfId="0" applyNumberFormat="1" applyFont="1" applyAlignment="1">
      <alignment horizontal="right"/>
    </xf>
    <xf numFmtId="17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43" fillId="0" borderId="22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164" fontId="14" fillId="0" borderId="22" xfId="0" applyNumberFormat="1" applyFont="1" applyBorder="1" applyAlignment="1">
      <alignment horizontal="center"/>
    </xf>
    <xf numFmtId="1" fontId="43" fillId="0" borderId="0" xfId="0" applyNumberFormat="1" applyFont="1" applyAlignment="1">
      <alignment horizontal="center"/>
    </xf>
    <xf numFmtId="170" fontId="47" fillId="0" borderId="0" xfId="0" applyNumberFormat="1" applyFont="1" applyAlignment="1">
      <alignment vertical="center"/>
    </xf>
    <xf numFmtId="164" fontId="47" fillId="0" borderId="0" xfId="0" applyNumberFormat="1" applyFont="1" applyAlignment="1">
      <alignment vertical="center"/>
    </xf>
    <xf numFmtId="4" fontId="40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8" fillId="0" borderId="41" xfId="0" applyFont="1" applyBorder="1"/>
    <xf numFmtId="170" fontId="8" fillId="0" borderId="41" xfId="0" applyNumberFormat="1" applyFont="1" applyBorder="1" applyAlignment="1">
      <alignment horizontal="right"/>
    </xf>
    <xf numFmtId="164" fontId="8" fillId="0" borderId="42" xfId="0" applyNumberFormat="1" applyFont="1" applyBorder="1" applyAlignment="1">
      <alignment horizontal="center"/>
    </xf>
    <xf numFmtId="170" fontId="14" fillId="0" borderId="41" xfId="0" applyNumberFormat="1" applyFont="1" applyBorder="1" applyAlignment="1">
      <alignment horizontal="right"/>
    </xf>
    <xf numFmtId="164" fontId="14" fillId="0" borderId="42" xfId="0" applyNumberFormat="1" applyFont="1" applyBorder="1" applyAlignment="1">
      <alignment horizontal="center"/>
    </xf>
    <xf numFmtId="165" fontId="38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1" fontId="0" fillId="0" borderId="22" xfId="0" applyNumberFormat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7" fillId="0" borderId="3" xfId="0" applyFont="1" applyBorder="1" applyAlignment="1">
      <alignment horizontal="center"/>
    </xf>
    <xf numFmtId="165" fontId="20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wrapText="1"/>
    </xf>
    <xf numFmtId="164" fontId="2" fillId="0" borderId="3" xfId="0" applyNumberFormat="1" applyFont="1" applyBorder="1"/>
    <xf numFmtId="165" fontId="2" fillId="0" borderId="3" xfId="0" applyNumberFormat="1" applyFont="1" applyBorder="1" applyAlignment="1">
      <alignment horizontal="center"/>
    </xf>
    <xf numFmtId="165" fontId="19" fillId="0" borderId="3" xfId="0" applyNumberFormat="1" applyFont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164" fontId="48" fillId="0" borderId="3" xfId="0" applyNumberFormat="1" applyFont="1" applyBorder="1" applyAlignment="1">
      <alignment horizontal="left"/>
    </xf>
    <xf numFmtId="168" fontId="28" fillId="0" borderId="18" xfId="0" applyNumberFormat="1" applyFont="1" applyBorder="1"/>
    <xf numFmtId="2" fontId="31" fillId="0" borderId="3" xfId="0" applyNumberFormat="1" applyFont="1" applyBorder="1"/>
    <xf numFmtId="2" fontId="48" fillId="0" borderId="3" xfId="0" applyNumberFormat="1" applyFont="1" applyBorder="1" applyAlignment="1">
      <alignment horizontal="left"/>
    </xf>
    <xf numFmtId="164" fontId="28" fillId="0" borderId="18" xfId="0" applyNumberFormat="1" applyFont="1" applyBorder="1"/>
    <xf numFmtId="168" fontId="28" fillId="0" borderId="18" xfId="0" applyNumberFormat="1" applyFont="1" applyBorder="1" applyAlignment="1">
      <alignment horizontal="right"/>
    </xf>
    <xf numFmtId="165" fontId="28" fillId="0" borderId="19" xfId="0" applyNumberFormat="1" applyFont="1" applyBorder="1" applyAlignment="1">
      <alignment horizontal="center" wrapText="1"/>
    </xf>
    <xf numFmtId="165" fontId="30" fillId="0" borderId="19" xfId="0" applyNumberFormat="1" applyFont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8" fillId="15" borderId="3" xfId="0" applyFont="1" applyFill="1" applyBorder="1"/>
    <xf numFmtId="0" fontId="50" fillId="0" borderId="3" xfId="0" applyFont="1" applyBorder="1" applyAlignment="1">
      <alignment horizontal="left"/>
    </xf>
    <xf numFmtId="168" fontId="32" fillId="0" borderId="18" xfId="0" applyNumberFormat="1" applyFont="1" applyBorder="1" applyAlignment="1">
      <alignment horizontal="right"/>
    </xf>
    <xf numFmtId="0" fontId="51" fillId="0" borderId="3" xfId="0" applyFont="1" applyBorder="1"/>
    <xf numFmtId="0" fontId="51" fillId="0" borderId="3" xfId="0" applyFont="1" applyBorder="1" applyAlignment="1">
      <alignment horizontal="center"/>
    </xf>
    <xf numFmtId="2" fontId="51" fillId="0" borderId="3" xfId="0" applyNumberFormat="1" applyFont="1" applyBorder="1" applyAlignment="1">
      <alignment horizontal="right"/>
    </xf>
    <xf numFmtId="16" fontId="51" fillId="0" borderId="3" xfId="0" applyNumberFormat="1" applyFont="1" applyBorder="1"/>
    <xf numFmtId="0" fontId="51" fillId="0" borderId="3" xfId="0" applyFont="1" applyBorder="1" applyAlignment="1">
      <alignment horizontal="right"/>
    </xf>
    <xf numFmtId="167" fontId="51" fillId="0" borderId="3" xfId="0" applyNumberFormat="1" applyFont="1" applyBorder="1"/>
    <xf numFmtId="165" fontId="32" fillId="0" borderId="19" xfId="0" applyNumberFormat="1" applyFont="1" applyBorder="1"/>
    <xf numFmtId="2" fontId="2" fillId="0" borderId="3" xfId="0" applyNumberFormat="1" applyFont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/>
    <xf numFmtId="0" fontId="49" fillId="0" borderId="3" xfId="0" applyFont="1" applyBorder="1" applyAlignment="1">
      <alignment horizontal="left"/>
    </xf>
    <xf numFmtId="165" fontId="28" fillId="6" borderId="16" xfId="0" applyNumberFormat="1" applyFont="1" applyFill="1" applyBorder="1" applyAlignment="1">
      <alignment wrapText="1"/>
    </xf>
    <xf numFmtId="164" fontId="48" fillId="6" borderId="15" xfId="0" applyNumberFormat="1" applyFont="1" applyFill="1" applyBorder="1" applyAlignment="1">
      <alignment horizontal="left"/>
    </xf>
    <xf numFmtId="165" fontId="28" fillId="6" borderId="20" xfId="0" applyNumberFormat="1" applyFont="1" applyFill="1" applyBorder="1"/>
    <xf numFmtId="164" fontId="28" fillId="6" borderId="17" xfId="0" applyNumberFormat="1" applyFont="1" applyFill="1" applyBorder="1" applyAlignment="1">
      <alignment horizontal="center"/>
    </xf>
    <xf numFmtId="44" fontId="32" fillId="6" borderId="3" xfId="1" applyFont="1" applyFill="1" applyBorder="1" applyAlignment="1">
      <alignment horizontal="center"/>
    </xf>
    <xf numFmtId="165" fontId="48" fillId="6" borderId="3" xfId="0" applyNumberFormat="1" applyFont="1" applyFill="1" applyBorder="1" applyAlignment="1">
      <alignment horizontal="center"/>
    </xf>
    <xf numFmtId="165" fontId="48" fillId="6" borderId="19" xfId="0" applyNumberFormat="1" applyFont="1" applyFill="1" applyBorder="1" applyAlignment="1">
      <alignment wrapText="1"/>
    </xf>
    <xf numFmtId="44" fontId="32" fillId="6" borderId="3" xfId="1" applyFont="1" applyFill="1" applyBorder="1" applyAlignment="1">
      <alignment horizontal="center" wrapText="1"/>
    </xf>
    <xf numFmtId="1" fontId="14" fillId="6" borderId="15" xfId="0" applyNumberFormat="1" applyFont="1" applyFill="1" applyBorder="1" applyAlignment="1">
      <alignment horizontal="center" wrapText="1"/>
    </xf>
    <xf numFmtId="1" fontId="52" fillId="6" borderId="3" xfId="0" applyNumberFormat="1" applyFont="1" applyFill="1" applyBorder="1" applyAlignment="1">
      <alignment horizontal="center" wrapText="1"/>
    </xf>
    <xf numFmtId="1" fontId="20" fillId="0" borderId="3" xfId="0" applyNumberFormat="1" applyFont="1" applyBorder="1" applyAlignment="1">
      <alignment horizontal="center" wrapText="1"/>
    </xf>
    <xf numFmtId="165" fontId="48" fillId="0" borderId="3" xfId="0" applyNumberFormat="1" applyFont="1" applyBorder="1" applyAlignment="1">
      <alignment horizontal="center"/>
    </xf>
    <xf numFmtId="165" fontId="12" fillId="8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3" xfId="0" applyNumberFormat="1" applyFont="1" applyBorder="1" applyAlignment="1">
      <alignment horizontal="center"/>
    </xf>
    <xf numFmtId="165" fontId="37" fillId="0" borderId="0" xfId="0" applyNumberFormat="1" applyFont="1" applyAlignment="1">
      <alignment horizontal="center"/>
    </xf>
    <xf numFmtId="165" fontId="22" fillId="0" borderId="0" xfId="0" applyNumberFormat="1" applyFont="1"/>
    <xf numFmtId="165" fontId="37" fillId="0" borderId="0" xfId="0" applyNumberFormat="1" applyFont="1"/>
    <xf numFmtId="165" fontId="15" fillId="0" borderId="0" xfId="0" applyNumberFormat="1" applyFont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/>
    <xf numFmtId="165" fontId="28" fillId="6" borderId="19" xfId="0" applyNumberFormat="1" applyFont="1" applyFill="1" applyBorder="1" applyAlignment="1">
      <alignment horizontal="center"/>
    </xf>
    <xf numFmtId="1" fontId="53" fillId="0" borderId="3" xfId="0" applyNumberFormat="1" applyFont="1" applyBorder="1" applyAlignment="1">
      <alignment horizontal="center" wrapText="1"/>
    </xf>
    <xf numFmtId="1" fontId="54" fillId="6" borderId="3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0" fontId="24" fillId="6" borderId="3" xfId="0" applyFont="1" applyFill="1" applyBorder="1" applyAlignment="1">
      <alignment horizontal="left"/>
    </xf>
    <xf numFmtId="0" fontId="8" fillId="16" borderId="3" xfId="0" applyFont="1" applyFill="1" applyBorder="1"/>
    <xf numFmtId="4" fontId="18" fillId="16" borderId="0" xfId="0" applyNumberFormat="1" applyFont="1" applyFill="1"/>
    <xf numFmtId="165" fontId="14" fillId="0" borderId="14" xfId="0" applyNumberFormat="1" applyFont="1" applyBorder="1" applyAlignment="1">
      <alignment horizontal="left"/>
    </xf>
    <xf numFmtId="0" fontId="26" fillId="0" borderId="3" xfId="0" applyFont="1" applyBorder="1"/>
    <xf numFmtId="164" fontId="2" fillId="0" borderId="18" xfId="0" applyNumberFormat="1" applyFont="1" applyBorder="1"/>
    <xf numFmtId="165" fontId="55" fillId="6" borderId="3" xfId="0" applyNumberFormat="1" applyFont="1" applyFill="1" applyBorder="1" applyAlignment="1">
      <alignment horizontal="center"/>
    </xf>
    <xf numFmtId="164" fontId="53" fillId="6" borderId="3" xfId="0" applyNumberFormat="1" applyFont="1" applyFill="1" applyBorder="1"/>
    <xf numFmtId="165" fontId="56" fillId="6" borderId="3" xfId="0" applyNumberFormat="1" applyFont="1" applyFill="1" applyBorder="1" applyAlignment="1">
      <alignment horizontal="center"/>
    </xf>
    <xf numFmtId="165" fontId="53" fillId="6" borderId="3" xfId="0" applyNumberFormat="1" applyFont="1" applyFill="1" applyBorder="1" applyAlignment="1">
      <alignment horizontal="center"/>
    </xf>
    <xf numFmtId="1" fontId="8" fillId="16" borderId="3" xfId="0" applyNumberFormat="1" applyFont="1" applyFill="1" applyBorder="1" applyAlignment="1">
      <alignment horizontal="center" wrapText="1"/>
    </xf>
    <xf numFmtId="1" fontId="26" fillId="6" borderId="3" xfId="0" applyNumberFormat="1" applyFont="1" applyFill="1" applyBorder="1" applyAlignment="1">
      <alignment horizontal="center" wrapText="1"/>
    </xf>
    <xf numFmtId="0" fontId="49" fillId="0" borderId="0" xfId="0" applyFont="1" applyAlignment="1">
      <alignment horizontal="left"/>
    </xf>
    <xf numFmtId="0" fontId="49" fillId="0" borderId="6" xfId="0" applyFont="1" applyBorder="1" applyAlignment="1">
      <alignment horizontal="center"/>
    </xf>
    <xf numFmtId="0" fontId="49" fillId="0" borderId="15" xfId="0" applyFont="1" applyBorder="1" applyAlignment="1">
      <alignment horizontal="left"/>
    </xf>
    <xf numFmtId="0" fontId="49" fillId="0" borderId="3" xfId="0" applyFont="1" applyBorder="1" applyAlignment="1">
      <alignment horizontal="left" wrapText="1"/>
    </xf>
    <xf numFmtId="0" fontId="57" fillId="0" borderId="3" xfId="0" applyFont="1" applyBorder="1" applyAlignment="1">
      <alignment horizontal="left"/>
    </xf>
    <xf numFmtId="0" fontId="49" fillId="0" borderId="2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0" fillId="6" borderId="3" xfId="0" applyFont="1" applyFill="1" applyBorder="1"/>
    <xf numFmtId="0" fontId="8" fillId="0" borderId="3" xfId="0" applyFont="1" applyBorder="1" applyAlignment="1">
      <alignment wrapText="1"/>
    </xf>
    <xf numFmtId="4" fontId="8" fillId="6" borderId="0" xfId="0" applyNumberFormat="1" applyFont="1" applyFill="1" applyAlignment="1">
      <alignment horizontal="right"/>
    </xf>
    <xf numFmtId="4" fontId="18" fillId="6" borderId="0" xfId="0" applyNumberFormat="1" applyFont="1" applyFill="1"/>
    <xf numFmtId="165" fontId="8" fillId="8" borderId="0" xfId="0" applyNumberFormat="1" applyFont="1" applyFill="1" applyAlignment="1">
      <alignment horizontal="center" vertical="center" wrapText="1"/>
    </xf>
    <xf numFmtId="165" fontId="14" fillId="0" borderId="0" xfId="0" applyNumberFormat="1" applyFont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4" fontId="8" fillId="16" borderId="0" xfId="0" applyNumberFormat="1" applyFont="1" applyFill="1" applyAlignment="1">
      <alignment horizontal="right"/>
    </xf>
    <xf numFmtId="168" fontId="2" fillId="16" borderId="18" xfId="0" applyNumberFormat="1" applyFont="1" applyFill="1" applyBorder="1"/>
    <xf numFmtId="0" fontId="0" fillId="16" borderId="3" xfId="0" applyFill="1" applyBorder="1"/>
    <xf numFmtId="0" fontId="0" fillId="16" borderId="3" xfId="0" applyFill="1" applyBorder="1" applyAlignment="1">
      <alignment horizontal="center"/>
    </xf>
    <xf numFmtId="2" fontId="0" fillId="16" borderId="3" xfId="0" applyNumberFormat="1" applyFill="1" applyBorder="1" applyAlignment="1">
      <alignment horizontal="right"/>
    </xf>
    <xf numFmtId="16" fontId="0" fillId="16" borderId="3" xfId="0" applyNumberFormat="1" applyFill="1" applyBorder="1"/>
    <xf numFmtId="0" fontId="0" fillId="16" borderId="3" xfId="0" applyFill="1" applyBorder="1" applyAlignment="1">
      <alignment horizontal="right"/>
    </xf>
    <xf numFmtId="167" fontId="0" fillId="16" borderId="3" xfId="0" applyNumberFormat="1" applyFill="1" applyBorder="1"/>
    <xf numFmtId="2" fontId="0" fillId="16" borderId="3" xfId="0" applyNumberFormat="1" applyFill="1" applyBorder="1"/>
    <xf numFmtId="165" fontId="2" fillId="16" borderId="19" xfId="0" applyNumberFormat="1" applyFont="1" applyFill="1" applyBorder="1"/>
    <xf numFmtId="2" fontId="48" fillId="18" borderId="3" xfId="0" applyNumberFormat="1" applyFont="1" applyFill="1" applyBorder="1" applyAlignment="1">
      <alignment horizontal="left"/>
    </xf>
    <xf numFmtId="165" fontId="28" fillId="18" borderId="16" xfId="0" applyNumberFormat="1" applyFont="1" applyFill="1" applyBorder="1"/>
    <xf numFmtId="168" fontId="28" fillId="18" borderId="18" xfId="0" applyNumberFormat="1" applyFont="1" applyFill="1" applyBorder="1" applyAlignment="1">
      <alignment horizontal="right"/>
    </xf>
    <xf numFmtId="0" fontId="31" fillId="18" borderId="3" xfId="0" applyFont="1" applyFill="1" applyBorder="1"/>
    <xf numFmtId="0" fontId="31" fillId="18" borderId="3" xfId="0" applyFont="1" applyFill="1" applyBorder="1" applyAlignment="1">
      <alignment horizontal="center"/>
    </xf>
    <xf numFmtId="2" fontId="31" fillId="18" borderId="3" xfId="0" applyNumberFormat="1" applyFont="1" applyFill="1" applyBorder="1" applyAlignment="1">
      <alignment horizontal="right"/>
    </xf>
    <xf numFmtId="16" fontId="31" fillId="18" borderId="3" xfId="0" applyNumberFormat="1" applyFont="1" applyFill="1" applyBorder="1"/>
    <xf numFmtId="0" fontId="31" fillId="18" borderId="3" xfId="0" applyFont="1" applyFill="1" applyBorder="1" applyAlignment="1">
      <alignment horizontal="right"/>
    </xf>
    <xf numFmtId="167" fontId="31" fillId="18" borderId="3" xfId="0" applyNumberFormat="1" applyFont="1" applyFill="1" applyBorder="1"/>
    <xf numFmtId="165" fontId="28" fillId="18" borderId="19" xfId="0" applyNumberFormat="1" applyFont="1" applyFill="1" applyBorder="1"/>
    <xf numFmtId="165" fontId="14" fillId="19" borderId="3" xfId="0" applyNumberFormat="1" applyFont="1" applyFill="1" applyBorder="1" applyAlignment="1">
      <alignment horizontal="center"/>
    </xf>
    <xf numFmtId="164" fontId="14" fillId="19" borderId="3" xfId="0" applyNumberFormat="1" applyFont="1" applyFill="1" applyBorder="1"/>
    <xf numFmtId="44" fontId="14" fillId="19" borderId="3" xfId="1" applyFont="1" applyFill="1" applyBorder="1"/>
    <xf numFmtId="0" fontId="32" fillId="6" borderId="3" xfId="0" applyFont="1" applyFill="1" applyBorder="1" applyAlignment="1">
      <alignment horizontal="left"/>
    </xf>
    <xf numFmtId="165" fontId="28" fillId="6" borderId="3" xfId="0" applyNumberFormat="1" applyFont="1" applyFill="1" applyBorder="1"/>
    <xf numFmtId="164" fontId="28" fillId="6" borderId="3" xfId="0" applyNumberFormat="1" applyFont="1" applyFill="1" applyBorder="1"/>
    <xf numFmtId="0" fontId="61" fillId="6" borderId="3" xfId="0" applyFont="1" applyFill="1" applyBorder="1" applyAlignment="1">
      <alignment horizontal="center"/>
    </xf>
    <xf numFmtId="0" fontId="51" fillId="6" borderId="3" xfId="0" applyFont="1" applyFill="1" applyBorder="1" applyAlignment="1">
      <alignment horizontal="center"/>
    </xf>
    <xf numFmtId="165" fontId="50" fillId="6" borderId="3" xfId="0" applyNumberFormat="1" applyFont="1" applyFill="1" applyBorder="1" applyAlignment="1">
      <alignment horizontal="center"/>
    </xf>
    <xf numFmtId="164" fontId="28" fillId="6" borderId="3" xfId="0" applyNumberFormat="1" applyFont="1" applyFill="1" applyBorder="1" applyAlignment="1">
      <alignment horizontal="center"/>
    </xf>
    <xf numFmtId="0" fontId="48" fillId="6" borderId="3" xfId="0" applyFont="1" applyFill="1" applyBorder="1" applyAlignment="1">
      <alignment horizontal="left"/>
    </xf>
    <xf numFmtId="165" fontId="28" fillId="6" borderId="3" xfId="0" applyNumberFormat="1" applyFont="1" applyFill="1" applyBorder="1" applyAlignment="1">
      <alignment wrapText="1"/>
    </xf>
    <xf numFmtId="165" fontId="28" fillId="6" borderId="3" xfId="0" applyNumberFormat="1" applyFont="1" applyFill="1" applyBorder="1" applyAlignment="1">
      <alignment horizontal="center"/>
    </xf>
    <xf numFmtId="165" fontId="32" fillId="6" borderId="3" xfId="0" applyNumberFormat="1" applyFont="1" applyFill="1" applyBorder="1" applyAlignment="1">
      <alignment horizontal="center" wrapText="1"/>
    </xf>
    <xf numFmtId="2" fontId="48" fillId="19" borderId="3" xfId="0" applyNumberFormat="1" applyFont="1" applyFill="1" applyBorder="1" applyAlignment="1">
      <alignment horizontal="left"/>
    </xf>
    <xf numFmtId="165" fontId="28" fillId="19" borderId="16" xfId="0" applyNumberFormat="1" applyFont="1" applyFill="1" applyBorder="1"/>
    <xf numFmtId="168" fontId="28" fillId="19" borderId="18" xfId="0" applyNumberFormat="1" applyFont="1" applyFill="1" applyBorder="1" applyAlignment="1">
      <alignment horizontal="right"/>
    </xf>
    <xf numFmtId="0" fontId="31" fillId="19" borderId="3" xfId="0" applyFont="1" applyFill="1" applyBorder="1"/>
    <xf numFmtId="0" fontId="31" fillId="19" borderId="3" xfId="0" applyFont="1" applyFill="1" applyBorder="1" applyAlignment="1">
      <alignment horizontal="center"/>
    </xf>
    <xf numFmtId="2" fontId="31" fillId="19" borderId="3" xfId="0" applyNumberFormat="1" applyFont="1" applyFill="1" applyBorder="1" applyAlignment="1">
      <alignment horizontal="right"/>
    </xf>
    <xf numFmtId="16" fontId="31" fillId="19" borderId="3" xfId="0" applyNumberFormat="1" applyFont="1" applyFill="1" applyBorder="1"/>
    <xf numFmtId="0" fontId="31" fillId="19" borderId="3" xfId="0" applyFont="1" applyFill="1" applyBorder="1" applyAlignment="1">
      <alignment horizontal="right"/>
    </xf>
    <xf numFmtId="167" fontId="31" fillId="19" borderId="3" xfId="0" applyNumberFormat="1" applyFont="1" applyFill="1" applyBorder="1"/>
    <xf numFmtId="165" fontId="28" fillId="19" borderId="19" xfId="0" applyNumberFormat="1" applyFont="1" applyFill="1" applyBorder="1" applyAlignment="1">
      <alignment horizontal="center" wrapText="1"/>
    </xf>
    <xf numFmtId="1" fontId="53" fillId="19" borderId="3" xfId="0" applyNumberFormat="1" applyFont="1" applyFill="1" applyBorder="1" applyAlignment="1">
      <alignment horizontal="center" wrapText="1"/>
    </xf>
    <xf numFmtId="16" fontId="48" fillId="6" borderId="3" xfId="0" applyNumberFormat="1" applyFont="1" applyFill="1" applyBorder="1" applyAlignment="1">
      <alignment horizontal="left"/>
    </xf>
    <xf numFmtId="165" fontId="8" fillId="0" borderId="14" xfId="0" applyNumberFormat="1" applyFont="1" applyBorder="1" applyAlignment="1">
      <alignment horizontal="center"/>
    </xf>
    <xf numFmtId="2" fontId="48" fillId="15" borderId="3" xfId="0" applyNumberFormat="1" applyFont="1" applyFill="1" applyBorder="1" applyAlignment="1">
      <alignment horizontal="left"/>
    </xf>
    <xf numFmtId="165" fontId="28" fillId="15" borderId="16" xfId="0" applyNumberFormat="1" applyFont="1" applyFill="1" applyBorder="1"/>
    <xf numFmtId="164" fontId="20" fillId="15" borderId="3" xfId="0" applyNumberFormat="1" applyFont="1" applyFill="1" applyBorder="1" applyAlignment="1">
      <alignment horizontal="left"/>
    </xf>
    <xf numFmtId="164" fontId="12" fillId="15" borderId="3" xfId="0" applyNumberFormat="1" applyFont="1" applyFill="1" applyBorder="1" applyAlignment="1">
      <alignment horizontal="center"/>
    </xf>
    <xf numFmtId="1" fontId="62" fillId="15" borderId="3" xfId="0" applyNumberFormat="1" applyFont="1" applyFill="1" applyBorder="1" applyAlignment="1">
      <alignment horizontal="center" wrapText="1"/>
    </xf>
    <xf numFmtId="1" fontId="63" fillId="15" borderId="3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4" fontId="25" fillId="16" borderId="3" xfId="0" applyNumberFormat="1" applyFont="1" applyFill="1" applyBorder="1" applyAlignment="1">
      <alignment horizontal="center"/>
    </xf>
    <xf numFmtId="164" fontId="12" fillId="16" borderId="3" xfId="0" applyNumberFormat="1" applyFont="1" applyFill="1" applyBorder="1" applyAlignment="1">
      <alignment horizontal="center" wrapText="1"/>
    </xf>
    <xf numFmtId="164" fontId="8" fillId="16" borderId="3" xfId="0" applyNumberFormat="1" applyFont="1" applyFill="1" applyBorder="1" applyAlignment="1">
      <alignment horizontal="center"/>
    </xf>
    <xf numFmtId="165" fontId="18" fillId="0" borderId="0" xfId="0" applyNumberFormat="1" applyFont="1" applyAlignment="1">
      <alignment horizontal="left"/>
    </xf>
    <xf numFmtId="165" fontId="14" fillId="0" borderId="0" xfId="0" applyNumberFormat="1" applyFont="1"/>
    <xf numFmtId="164" fontId="14" fillId="6" borderId="0" xfId="0" applyNumberFormat="1" applyFont="1" applyFill="1"/>
    <xf numFmtId="164" fontId="15" fillId="6" borderId="3" xfId="0" applyNumberFormat="1" applyFont="1" applyFill="1" applyBorder="1"/>
    <xf numFmtId="164" fontId="21" fillId="14" borderId="3" xfId="0" applyNumberFormat="1" applyFont="1" applyFill="1" applyBorder="1" applyAlignment="1">
      <alignment horizontal="left"/>
    </xf>
    <xf numFmtId="165" fontId="2" fillId="14" borderId="16" xfId="0" applyNumberFormat="1" applyFont="1" applyFill="1" applyBorder="1"/>
    <xf numFmtId="2" fontId="64" fillId="14" borderId="3" xfId="0" applyNumberFormat="1" applyFont="1" applyFill="1" applyBorder="1" applyAlignment="1">
      <alignment horizontal="left"/>
    </xf>
    <xf numFmtId="165" fontId="24" fillId="14" borderId="16" xfId="0" applyNumberFormat="1" applyFont="1" applyFill="1" applyBorder="1"/>
    <xf numFmtId="166" fontId="8" fillId="17" borderId="3" xfId="0" applyNumberFormat="1" applyFont="1" applyFill="1" applyBorder="1" applyAlignment="1">
      <alignment horizontal="center"/>
    </xf>
    <xf numFmtId="165" fontId="12" fillId="17" borderId="3" xfId="0" applyNumberFormat="1" applyFont="1" applyFill="1" applyBorder="1" applyAlignment="1">
      <alignment horizontal="center"/>
    </xf>
    <xf numFmtId="16" fontId="14" fillId="17" borderId="0" xfId="0" applyNumberFormat="1" applyFont="1" applyFill="1" applyAlignment="1">
      <alignment horizontal="center"/>
    </xf>
    <xf numFmtId="16" fontId="14" fillId="17" borderId="3" xfId="0" applyNumberFormat="1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 wrapText="1"/>
    </xf>
    <xf numFmtId="1" fontId="8" fillId="17" borderId="3" xfId="0" applyNumberFormat="1" applyFont="1" applyFill="1" applyBorder="1" applyAlignment="1">
      <alignment horizontal="center" wrapText="1"/>
    </xf>
    <xf numFmtId="164" fontId="14" fillId="17" borderId="3" xfId="0" applyNumberFormat="1" applyFont="1" applyFill="1" applyBorder="1"/>
    <xf numFmtId="164" fontId="8" fillId="17" borderId="3" xfId="0" applyNumberFormat="1" applyFont="1" applyFill="1" applyBorder="1"/>
    <xf numFmtId="16" fontId="14" fillId="0" borderId="0" xfId="0" applyNumberFormat="1" applyFont="1" applyAlignment="1">
      <alignment horizontal="center"/>
    </xf>
    <xf numFmtId="4" fontId="8" fillId="0" borderId="15" xfId="0" applyNumberFormat="1" applyFont="1" applyBorder="1" applyAlignment="1">
      <alignment horizontal="center"/>
    </xf>
    <xf numFmtId="0" fontId="49" fillId="0" borderId="49" xfId="0" applyFont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166" fontId="8" fillId="0" borderId="49" xfId="0" applyNumberFormat="1" applyFont="1" applyBorder="1" applyAlignment="1">
      <alignment horizontal="center"/>
    </xf>
    <xf numFmtId="1" fontId="8" fillId="0" borderId="49" xfId="0" applyNumberFormat="1" applyFont="1" applyBorder="1" applyAlignment="1">
      <alignment horizontal="center" wrapText="1"/>
    </xf>
    <xf numFmtId="164" fontId="14" fillId="16" borderId="0" xfId="0" applyNumberFormat="1" applyFont="1" applyFill="1" applyAlignment="1">
      <alignment horizontal="center"/>
    </xf>
    <xf numFmtId="44" fontId="15" fillId="16" borderId="0" xfId="1" applyFont="1" applyFill="1" applyAlignment="1">
      <alignment horizontal="center"/>
    </xf>
    <xf numFmtId="44" fontId="32" fillId="0" borderId="3" xfId="1" applyFont="1" applyBorder="1" applyAlignment="1">
      <alignment horizontal="center" wrapText="1"/>
    </xf>
    <xf numFmtId="168" fontId="28" fillId="16" borderId="18" xfId="0" applyNumberFormat="1" applyFont="1" applyFill="1" applyBorder="1"/>
    <xf numFmtId="165" fontId="28" fillId="16" borderId="19" xfId="0" applyNumberFormat="1" applyFont="1" applyFill="1" applyBorder="1"/>
    <xf numFmtId="1" fontId="14" fillId="16" borderId="3" xfId="0" applyNumberFormat="1" applyFont="1" applyFill="1" applyBorder="1" applyAlignment="1">
      <alignment horizontal="center" wrapText="1"/>
    </xf>
    <xf numFmtId="164" fontId="28" fillId="16" borderId="17" xfId="0" applyNumberFormat="1" applyFont="1" applyFill="1" applyBorder="1" applyAlignment="1">
      <alignment horizontal="center"/>
    </xf>
    <xf numFmtId="44" fontId="32" fillId="16" borderId="3" xfId="1" applyFont="1" applyFill="1" applyBorder="1" applyAlignment="1">
      <alignment horizontal="center"/>
    </xf>
    <xf numFmtId="164" fontId="8" fillId="21" borderId="0" xfId="0" applyNumberFormat="1" applyFont="1" applyFill="1" applyAlignment="1">
      <alignment horizontal="center"/>
    </xf>
    <xf numFmtId="164" fontId="8" fillId="21" borderId="15" xfId="0" applyNumberFormat="1" applyFont="1" applyFill="1" applyBorder="1" applyAlignment="1">
      <alignment horizontal="center"/>
    </xf>
    <xf numFmtId="164" fontId="22" fillId="21" borderId="15" xfId="0" applyNumberFormat="1" applyFont="1" applyFill="1" applyBorder="1" applyAlignment="1">
      <alignment horizontal="center"/>
    </xf>
    <xf numFmtId="4" fontId="18" fillId="21" borderId="0" xfId="0" applyNumberFormat="1" applyFont="1" applyFill="1"/>
    <xf numFmtId="164" fontId="8" fillId="21" borderId="3" xfId="0" applyNumberFormat="1" applyFont="1" applyFill="1" applyBorder="1" applyAlignment="1">
      <alignment horizontal="center"/>
    </xf>
    <xf numFmtId="164" fontId="8" fillId="21" borderId="16" xfId="0" applyNumberFormat="1" applyFont="1" applyFill="1" applyBorder="1" applyAlignment="1">
      <alignment horizontal="center"/>
    </xf>
    <xf numFmtId="164" fontId="8" fillId="21" borderId="17" xfId="0" applyNumberFormat="1" applyFont="1" applyFill="1" applyBorder="1" applyAlignment="1">
      <alignment horizontal="center"/>
    </xf>
    <xf numFmtId="0" fontId="49" fillId="16" borderId="15" xfId="0" applyFont="1" applyFill="1" applyBorder="1" applyAlignment="1">
      <alignment horizontal="left"/>
    </xf>
    <xf numFmtId="4" fontId="8" fillId="16" borderId="15" xfId="0" applyNumberFormat="1" applyFont="1" applyFill="1" applyBorder="1"/>
    <xf numFmtId="0" fontId="49" fillId="16" borderId="3" xfId="0" applyFont="1" applyFill="1" applyBorder="1" applyAlignment="1">
      <alignment horizontal="left"/>
    </xf>
    <xf numFmtId="4" fontId="8" fillId="16" borderId="3" xfId="0" applyNumberFormat="1" applyFont="1" applyFill="1" applyBorder="1" applyAlignment="1">
      <alignment vertical="center"/>
    </xf>
    <xf numFmtId="165" fontId="28" fillId="6" borderId="19" xfId="0" applyNumberFormat="1" applyFont="1" applyFill="1" applyBorder="1" applyAlignment="1">
      <alignment horizontal="center" vertical="top"/>
    </xf>
    <xf numFmtId="16" fontId="14" fillId="22" borderId="3" xfId="0" applyNumberFormat="1" applyFont="1" applyFill="1" applyBorder="1" applyAlignment="1">
      <alignment horizontal="center"/>
    </xf>
    <xf numFmtId="164" fontId="14" fillId="22" borderId="3" xfId="0" applyNumberFormat="1" applyFont="1" applyFill="1" applyBorder="1"/>
    <xf numFmtId="0" fontId="14" fillId="22" borderId="3" xfId="0" applyFont="1" applyFill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wrapText="1"/>
    </xf>
    <xf numFmtId="164" fontId="49" fillId="0" borderId="3" xfId="0" applyNumberFormat="1" applyFont="1" applyBorder="1" applyAlignment="1">
      <alignment horizontal="center"/>
    </xf>
    <xf numFmtId="1" fontId="63" fillId="6" borderId="3" xfId="0" applyNumberFormat="1" applyFont="1" applyFill="1" applyBorder="1" applyAlignment="1">
      <alignment horizontal="center" wrapText="1"/>
    </xf>
    <xf numFmtId="1" fontId="69" fillId="6" borderId="3" xfId="0" applyNumberFormat="1" applyFont="1" applyFill="1" applyBorder="1" applyAlignment="1">
      <alignment horizontal="center" wrapText="1"/>
    </xf>
    <xf numFmtId="164" fontId="70" fillId="6" borderId="3" xfId="0" applyNumberFormat="1" applyFont="1" applyFill="1" applyBorder="1" applyAlignment="1">
      <alignment horizontal="left"/>
    </xf>
    <xf numFmtId="165" fontId="68" fillId="6" borderId="16" xfId="0" applyNumberFormat="1" applyFont="1" applyFill="1" applyBorder="1"/>
    <xf numFmtId="168" fontId="68" fillId="6" borderId="18" xfId="0" applyNumberFormat="1" applyFont="1" applyFill="1" applyBorder="1"/>
    <xf numFmtId="0" fontId="71" fillId="6" borderId="3" xfId="0" applyFont="1" applyFill="1" applyBorder="1"/>
    <xf numFmtId="0" fontId="71" fillId="6" borderId="3" xfId="0" applyFont="1" applyFill="1" applyBorder="1" applyAlignment="1">
      <alignment horizontal="center"/>
    </xf>
    <xf numFmtId="2" fontId="71" fillId="6" borderId="3" xfId="0" applyNumberFormat="1" applyFont="1" applyFill="1" applyBorder="1" applyAlignment="1">
      <alignment horizontal="right"/>
    </xf>
    <xf numFmtId="16" fontId="71" fillId="6" borderId="3" xfId="0" applyNumberFormat="1" applyFont="1" applyFill="1" applyBorder="1"/>
    <xf numFmtId="0" fontId="71" fillId="6" borderId="3" xfId="0" applyFont="1" applyFill="1" applyBorder="1" applyAlignment="1">
      <alignment horizontal="right"/>
    </xf>
    <xf numFmtId="167" fontId="71" fillId="6" borderId="3" xfId="0" applyNumberFormat="1" applyFont="1" applyFill="1" applyBorder="1"/>
    <xf numFmtId="2" fontId="71" fillId="6" borderId="3" xfId="0" applyNumberFormat="1" applyFont="1" applyFill="1" applyBorder="1"/>
    <xf numFmtId="165" fontId="68" fillId="6" borderId="19" xfId="0" applyNumberFormat="1" applyFont="1" applyFill="1" applyBorder="1"/>
    <xf numFmtId="2" fontId="70" fillId="6" borderId="3" xfId="0" applyNumberFormat="1" applyFont="1" applyFill="1" applyBorder="1" applyAlignment="1">
      <alignment horizontal="left"/>
    </xf>
    <xf numFmtId="164" fontId="68" fillId="6" borderId="18" xfId="0" applyNumberFormat="1" applyFont="1" applyFill="1" applyBorder="1"/>
    <xf numFmtId="165" fontId="68" fillId="6" borderId="19" xfId="1" applyNumberFormat="1" applyFont="1" applyFill="1" applyBorder="1"/>
    <xf numFmtId="165" fontId="68" fillId="6" borderId="16" xfId="0" applyNumberFormat="1" applyFont="1" applyFill="1" applyBorder="1" applyAlignment="1">
      <alignment horizontal="right"/>
    </xf>
    <xf numFmtId="167" fontId="68" fillId="6" borderId="18" xfId="0" applyNumberFormat="1" applyFont="1" applyFill="1" applyBorder="1"/>
    <xf numFmtId="168" fontId="68" fillId="6" borderId="18" xfId="0" applyNumberFormat="1" applyFont="1" applyFill="1" applyBorder="1" applyAlignment="1">
      <alignment horizontal="right"/>
    </xf>
    <xf numFmtId="164" fontId="68" fillId="6" borderId="18" xfId="0" applyNumberFormat="1" applyFont="1" applyFill="1" applyBorder="1" applyAlignment="1">
      <alignment horizontal="right"/>
    </xf>
    <xf numFmtId="165" fontId="68" fillId="6" borderId="19" xfId="0" applyNumberFormat="1" applyFont="1" applyFill="1" applyBorder="1" applyAlignment="1">
      <alignment horizontal="center" wrapText="1"/>
    </xf>
    <xf numFmtId="167" fontId="68" fillId="6" borderId="18" xfId="0" applyNumberFormat="1" applyFont="1" applyFill="1" applyBorder="1" applyAlignment="1">
      <alignment horizontal="right"/>
    </xf>
    <xf numFmtId="164" fontId="68" fillId="6" borderId="17" xfId="0" applyNumberFormat="1" applyFont="1" applyFill="1" applyBorder="1" applyAlignment="1">
      <alignment horizontal="center"/>
    </xf>
    <xf numFmtId="44" fontId="72" fillId="6" borderId="3" xfId="1" applyFont="1" applyFill="1" applyBorder="1" applyAlignment="1">
      <alignment horizontal="center"/>
    </xf>
    <xf numFmtId="44" fontId="72" fillId="6" borderId="3" xfId="1" applyFont="1" applyFill="1" applyBorder="1" applyAlignment="1">
      <alignment horizontal="center" wrapText="1"/>
    </xf>
    <xf numFmtId="0" fontId="8" fillId="8" borderId="50" xfId="0" applyFont="1" applyFill="1" applyBorder="1" applyAlignment="1">
      <alignment horizontal="center" vertical="center" wrapText="1"/>
    </xf>
    <xf numFmtId="164" fontId="8" fillId="9" borderId="51" xfId="0" applyNumberFormat="1" applyFont="1" applyFill="1" applyBorder="1" applyAlignment="1">
      <alignment horizontal="center"/>
    </xf>
    <xf numFmtId="0" fontId="14" fillId="23" borderId="0" xfId="0" applyFont="1" applyFill="1" applyAlignment="1">
      <alignment horizontal="center"/>
    </xf>
    <xf numFmtId="164" fontId="14" fillId="23" borderId="0" xfId="0" applyNumberFormat="1" applyFont="1" applyFill="1"/>
    <xf numFmtId="16" fontId="14" fillId="23" borderId="3" xfId="0" applyNumberFormat="1" applyFont="1" applyFill="1" applyBorder="1" applyAlignment="1">
      <alignment horizontal="center"/>
    </xf>
    <xf numFmtId="164" fontId="14" fillId="23" borderId="3" xfId="0" applyNumberFormat="1" applyFont="1" applyFill="1" applyBorder="1"/>
    <xf numFmtId="0" fontId="8" fillId="23" borderId="3" xfId="0" applyFont="1" applyFill="1" applyBorder="1" applyAlignment="1">
      <alignment horizontal="center"/>
    </xf>
    <xf numFmtId="0" fontId="14" fillId="23" borderId="3" xfId="0" applyFont="1" applyFill="1" applyBorder="1" applyAlignment="1">
      <alignment horizontal="center"/>
    </xf>
    <xf numFmtId="44" fontId="8" fillId="23" borderId="3" xfId="1" applyFont="1" applyFill="1" applyBorder="1"/>
    <xf numFmtId="44" fontId="14" fillId="23" borderId="3" xfId="1" applyFont="1" applyFill="1" applyBorder="1"/>
    <xf numFmtId="166" fontId="20" fillId="0" borderId="3" xfId="0" applyNumberFormat="1" applyFont="1" applyBorder="1" applyAlignment="1">
      <alignment horizontal="center"/>
    </xf>
    <xf numFmtId="165" fontId="68" fillId="6" borderId="19" xfId="0" applyNumberFormat="1" applyFont="1" applyFill="1" applyBorder="1" applyAlignment="1">
      <alignment wrapText="1"/>
    </xf>
    <xf numFmtId="165" fontId="68" fillId="6" borderId="19" xfId="0" applyNumberFormat="1" applyFont="1" applyFill="1" applyBorder="1" applyAlignment="1">
      <alignment horizontal="center"/>
    </xf>
    <xf numFmtId="2" fontId="70" fillId="0" borderId="3" xfId="0" applyNumberFormat="1" applyFont="1" applyBorder="1" applyAlignment="1">
      <alignment horizontal="left"/>
    </xf>
    <xf numFmtId="165" fontId="68" fillId="0" borderId="16" xfId="0" applyNumberFormat="1" applyFont="1" applyBorder="1"/>
    <xf numFmtId="168" fontId="68" fillId="0" borderId="18" xfId="0" applyNumberFormat="1" applyFont="1" applyBorder="1" applyAlignment="1">
      <alignment horizontal="right"/>
    </xf>
    <xf numFmtId="0" fontId="71" fillId="0" borderId="3" xfId="0" applyFont="1" applyBorder="1"/>
    <xf numFmtId="0" fontId="71" fillId="0" borderId="3" xfId="0" applyFont="1" applyBorder="1" applyAlignment="1">
      <alignment horizontal="center"/>
    </xf>
    <xf numFmtId="2" fontId="71" fillId="0" borderId="3" xfId="0" applyNumberFormat="1" applyFont="1" applyBorder="1" applyAlignment="1">
      <alignment horizontal="right"/>
    </xf>
    <xf numFmtId="16" fontId="71" fillId="0" borderId="3" xfId="0" applyNumberFormat="1" applyFont="1" applyBorder="1"/>
    <xf numFmtId="0" fontId="71" fillId="0" borderId="3" xfId="0" applyFont="1" applyBorder="1" applyAlignment="1">
      <alignment horizontal="right"/>
    </xf>
    <xf numFmtId="167" fontId="71" fillId="0" borderId="3" xfId="0" applyNumberFormat="1" applyFont="1" applyBorder="1"/>
    <xf numFmtId="165" fontId="68" fillId="0" borderId="19" xfId="0" applyNumberFormat="1" applyFont="1" applyBorder="1"/>
    <xf numFmtId="16" fontId="11" fillId="0" borderId="3" xfId="1" applyNumberFormat="1" applyFont="1" applyBorder="1" applyAlignment="1">
      <alignment horizontal="center"/>
    </xf>
    <xf numFmtId="1" fontId="73" fillId="6" borderId="22" xfId="0" applyNumberFormat="1" applyFont="1" applyFill="1" applyBorder="1" applyAlignment="1">
      <alignment horizontal="center" wrapText="1"/>
    </xf>
    <xf numFmtId="0" fontId="28" fillId="0" borderId="0" xfId="0" applyFont="1" applyAlignment="1">
      <alignment horizontal="center"/>
    </xf>
    <xf numFmtId="44" fontId="19" fillId="16" borderId="3" xfId="1" applyFont="1" applyFill="1" applyBorder="1" applyAlignment="1">
      <alignment horizontal="center"/>
    </xf>
    <xf numFmtId="165" fontId="12" fillId="16" borderId="3" xfId="0" applyNumberFormat="1" applyFont="1" applyFill="1" applyBorder="1" applyAlignment="1">
      <alignment horizontal="center"/>
    </xf>
    <xf numFmtId="164" fontId="8" fillId="24" borderId="0" xfId="0" applyNumberFormat="1" applyFont="1" applyFill="1" applyAlignment="1">
      <alignment horizontal="center"/>
    </xf>
    <xf numFmtId="164" fontId="2" fillId="24" borderId="3" xfId="0" applyNumberFormat="1" applyFont="1" applyFill="1" applyBorder="1" applyAlignment="1">
      <alignment horizontal="center"/>
    </xf>
    <xf numFmtId="164" fontId="2" fillId="24" borderId="17" xfId="0" applyNumberFormat="1" applyFont="1" applyFill="1" applyBorder="1" applyAlignment="1">
      <alignment horizontal="center"/>
    </xf>
    <xf numFmtId="44" fontId="2" fillId="24" borderId="17" xfId="1" applyFont="1" applyFill="1" applyBorder="1" applyAlignment="1">
      <alignment horizontal="center"/>
    </xf>
    <xf numFmtId="164" fontId="2" fillId="23" borderId="17" xfId="0" applyNumberFormat="1" applyFont="1" applyFill="1" applyBorder="1" applyAlignment="1">
      <alignment horizontal="center"/>
    </xf>
    <xf numFmtId="44" fontId="11" fillId="23" borderId="3" xfId="1" applyFont="1" applyFill="1" applyBorder="1" applyAlignment="1">
      <alignment horizontal="center"/>
    </xf>
    <xf numFmtId="164" fontId="28" fillId="23" borderId="17" xfId="0" applyNumberFormat="1" applyFont="1" applyFill="1" applyBorder="1" applyAlignment="1">
      <alignment horizontal="center"/>
    </xf>
    <xf numFmtId="44" fontId="32" fillId="23" borderId="3" xfId="1" applyFont="1" applyFill="1" applyBorder="1" applyAlignment="1">
      <alignment horizontal="center"/>
    </xf>
    <xf numFmtId="44" fontId="15" fillId="16" borderId="3" xfId="1" applyFont="1" applyFill="1" applyBorder="1" applyAlignment="1">
      <alignment horizontal="center"/>
    </xf>
    <xf numFmtId="4" fontId="8" fillId="25" borderId="20" xfId="0" applyNumberFormat="1" applyFont="1" applyFill="1" applyBorder="1" applyAlignment="1">
      <alignment horizontal="right"/>
    </xf>
    <xf numFmtId="4" fontId="8" fillId="25" borderId="0" xfId="0" applyNumberFormat="1" applyFont="1" applyFill="1" applyAlignment="1">
      <alignment horizontal="right"/>
    </xf>
    <xf numFmtId="4" fontId="8" fillId="25" borderId="3" xfId="0" applyNumberFormat="1" applyFont="1" applyFill="1" applyBorder="1" applyAlignment="1">
      <alignment horizontal="right"/>
    </xf>
    <xf numFmtId="4" fontId="8" fillId="25" borderId="16" xfId="0" applyNumberFormat="1" applyFont="1" applyFill="1" applyBorder="1" applyAlignment="1">
      <alignment horizontal="right"/>
    </xf>
    <xf numFmtId="164" fontId="8" fillId="0" borderId="16" xfId="0" applyNumberFormat="1" applyFont="1" applyBorder="1" applyAlignment="1">
      <alignment horizontal="center" wrapText="1"/>
    </xf>
    <xf numFmtId="164" fontId="8" fillId="0" borderId="17" xfId="0" applyNumberFormat="1" applyFont="1" applyBorder="1" applyAlignment="1">
      <alignment horizontal="center" wrapText="1"/>
    </xf>
    <xf numFmtId="44" fontId="8" fillId="0" borderId="3" xfId="1" applyFont="1" applyBorder="1" applyAlignment="1">
      <alignment horizontal="center"/>
    </xf>
    <xf numFmtId="44" fontId="8" fillId="0" borderId="0" xfId="1" applyFont="1" applyAlignment="1">
      <alignment horizontal="center"/>
    </xf>
    <xf numFmtId="44" fontId="8" fillId="0" borderId="3" xfId="1" applyFont="1" applyBorder="1" applyAlignment="1">
      <alignment horizontal="center" wrapText="1"/>
    </xf>
    <xf numFmtId="44" fontId="8" fillId="0" borderId="16" xfId="1" applyFont="1" applyBorder="1" applyAlignment="1">
      <alignment horizontal="center"/>
    </xf>
    <xf numFmtId="44" fontId="8" fillId="0" borderId="16" xfId="1" applyFont="1" applyBorder="1"/>
    <xf numFmtId="44" fontId="20" fillId="0" borderId="3" xfId="1" applyFont="1" applyBorder="1" applyAlignment="1">
      <alignment horizontal="center"/>
    </xf>
    <xf numFmtId="0" fontId="49" fillId="16" borderId="3" xfId="0" applyFont="1" applyFill="1" applyBorder="1" applyAlignment="1">
      <alignment horizontal="left" wrapText="1"/>
    </xf>
    <xf numFmtId="0" fontId="8" fillId="0" borderId="38" xfId="0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28" fillId="0" borderId="19" xfId="0" applyNumberFormat="1" applyFont="1" applyBorder="1" applyAlignment="1">
      <alignment horizontal="center"/>
    </xf>
    <xf numFmtId="165" fontId="21" fillId="0" borderId="19" xfId="0" applyNumberFormat="1" applyFont="1" applyBorder="1" applyAlignment="1">
      <alignment horizontal="center" wrapText="1"/>
    </xf>
    <xf numFmtId="165" fontId="28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165" fontId="28" fillId="6" borderId="19" xfId="1" applyNumberFormat="1" applyFont="1" applyFill="1" applyBorder="1" applyAlignment="1">
      <alignment horizontal="center"/>
    </xf>
    <xf numFmtId="1" fontId="8" fillId="26" borderId="3" xfId="0" applyNumberFormat="1" applyFont="1" applyFill="1" applyBorder="1" applyAlignment="1">
      <alignment horizontal="center" wrapText="1"/>
    </xf>
    <xf numFmtId="4" fontId="18" fillId="26" borderId="0" xfId="0" applyNumberFormat="1" applyFont="1" applyFill="1"/>
    <xf numFmtId="164" fontId="8" fillId="0" borderId="53" xfId="0" applyNumberFormat="1" applyFont="1" applyBorder="1" applyAlignment="1">
      <alignment horizontal="center"/>
    </xf>
    <xf numFmtId="44" fontId="15" fillId="0" borderId="54" xfId="1" applyFont="1" applyBorder="1" applyAlignment="1">
      <alignment horizontal="center"/>
    </xf>
    <xf numFmtId="44" fontId="11" fillId="7" borderId="52" xfId="1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/>
    </xf>
    <xf numFmtId="165" fontId="75" fillId="6" borderId="16" xfId="0" applyNumberFormat="1" applyFont="1" applyFill="1" applyBorder="1"/>
    <xf numFmtId="2" fontId="75" fillId="6" borderId="3" xfId="0" applyNumberFormat="1" applyFont="1" applyFill="1" applyBorder="1" applyAlignment="1">
      <alignment horizontal="left"/>
    </xf>
    <xf numFmtId="2" fontId="76" fillId="6" borderId="3" xfId="0" applyNumberFormat="1" applyFont="1" applyFill="1" applyBorder="1" applyAlignment="1">
      <alignment horizontal="left"/>
    </xf>
    <xf numFmtId="165" fontId="76" fillId="6" borderId="16" xfId="0" applyNumberFormat="1" applyFont="1" applyFill="1" applyBorder="1"/>
    <xf numFmtId="1" fontId="26" fillId="0" borderId="3" xfId="0" applyNumberFormat="1" applyFont="1" applyBorder="1" applyAlignment="1">
      <alignment horizontal="center" wrapText="1"/>
    </xf>
    <xf numFmtId="0" fontId="77" fillId="0" borderId="3" xfId="0" applyFont="1" applyBorder="1" applyAlignment="1">
      <alignment horizontal="left" wrapText="1"/>
    </xf>
    <xf numFmtId="4" fontId="77" fillId="0" borderId="3" xfId="0" applyNumberFormat="1" applyFont="1" applyBorder="1"/>
    <xf numFmtId="166" fontId="77" fillId="0" borderId="3" xfId="0" applyNumberFormat="1" applyFont="1" applyBorder="1" applyAlignment="1">
      <alignment horizontal="center"/>
    </xf>
    <xf numFmtId="1" fontId="77" fillId="0" borderId="3" xfId="0" applyNumberFormat="1" applyFont="1" applyBorder="1" applyAlignment="1">
      <alignment horizontal="center" wrapText="1"/>
    </xf>
    <xf numFmtId="4" fontId="77" fillId="0" borderId="3" xfId="0" applyNumberFormat="1" applyFont="1" applyBorder="1" applyAlignment="1">
      <alignment horizontal="right"/>
    </xf>
    <xf numFmtId="0" fontId="77" fillId="0" borderId="3" xfId="0" applyFont="1" applyBorder="1" applyAlignment="1">
      <alignment horizontal="left"/>
    </xf>
    <xf numFmtId="164" fontId="74" fillId="0" borderId="3" xfId="0" applyNumberFormat="1" applyFont="1" applyBorder="1" applyAlignment="1">
      <alignment horizontal="center"/>
    </xf>
    <xf numFmtId="4" fontId="78" fillId="0" borderId="0" xfId="0" applyNumberFormat="1" applyFont="1"/>
    <xf numFmtId="16" fontId="79" fillId="6" borderId="3" xfId="0" applyNumberFormat="1" applyFont="1" applyFill="1" applyBorder="1" applyAlignment="1">
      <alignment horizontal="center"/>
    </xf>
    <xf numFmtId="164" fontId="79" fillId="6" borderId="3" xfId="0" applyNumberFormat="1" applyFont="1" applyFill="1" applyBorder="1"/>
    <xf numFmtId="0" fontId="79" fillId="6" borderId="3" xfId="0" applyFont="1" applyFill="1" applyBorder="1" applyAlignment="1">
      <alignment horizontal="center"/>
    </xf>
    <xf numFmtId="164" fontId="79" fillId="8" borderId="3" xfId="0" applyNumberFormat="1" applyFont="1" applyFill="1" applyBorder="1"/>
    <xf numFmtId="164" fontId="79" fillId="15" borderId="3" xfId="0" applyNumberFormat="1" applyFont="1" applyFill="1" applyBorder="1"/>
    <xf numFmtId="0" fontId="8" fillId="0" borderId="7" xfId="0" applyFont="1" applyBorder="1" applyAlignment="1">
      <alignment horizontal="center"/>
    </xf>
    <xf numFmtId="165" fontId="2" fillId="0" borderId="0" xfId="0" applyNumberFormat="1" applyFont="1"/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left"/>
    </xf>
    <xf numFmtId="165" fontId="2" fillId="0" borderId="14" xfId="0" applyNumberFormat="1" applyFont="1" applyBorder="1" applyAlignment="1">
      <alignment horizontal="left"/>
    </xf>
    <xf numFmtId="165" fontId="2" fillId="0" borderId="14" xfId="0" applyNumberFormat="1" applyFont="1" applyBorder="1"/>
    <xf numFmtId="165" fontId="24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59" fillId="0" borderId="0" xfId="0" applyNumberFormat="1" applyFont="1" applyAlignment="1">
      <alignment horizontal="center"/>
    </xf>
    <xf numFmtId="165" fontId="80" fillId="0" borderId="0" xfId="0" applyNumberFormat="1" applyFont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left"/>
    </xf>
    <xf numFmtId="0" fontId="2" fillId="0" borderId="21" xfId="0" applyFont="1" applyBorder="1"/>
    <xf numFmtId="16" fontId="2" fillId="0" borderId="21" xfId="0" applyNumberFormat="1" applyFont="1" applyBorder="1"/>
    <xf numFmtId="0" fontId="2" fillId="0" borderId="21" xfId="0" applyFont="1" applyBorder="1" applyAlignment="1">
      <alignment vertical="center"/>
    </xf>
    <xf numFmtId="16" fontId="2" fillId="0" borderId="21" xfId="0" quotePrefix="1" applyNumberFormat="1" applyFont="1" applyBorder="1"/>
    <xf numFmtId="0" fontId="59" fillId="0" borderId="21" xfId="0" applyFont="1" applyBorder="1"/>
    <xf numFmtId="0" fontId="2" fillId="0" borderId="41" xfId="0" applyFont="1" applyBorder="1"/>
    <xf numFmtId="0" fontId="35" fillId="16" borderId="0" xfId="0" applyFont="1" applyFill="1"/>
    <xf numFmtId="1" fontId="81" fillId="0" borderId="0" xfId="0" applyNumberFormat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7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165" fontId="14" fillId="6" borderId="0" xfId="0" applyNumberFormat="1" applyFont="1" applyFill="1" applyAlignment="1">
      <alignment horizontal="center"/>
    </xf>
    <xf numFmtId="0" fontId="14" fillId="6" borderId="0" xfId="0" applyFont="1" applyFill="1"/>
    <xf numFmtId="15" fontId="14" fillId="6" borderId="0" xfId="0" applyNumberFormat="1" applyFont="1" applyFill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16" fontId="8" fillId="0" borderId="21" xfId="0" applyNumberFormat="1" applyFont="1" applyBorder="1" applyAlignment="1">
      <alignment horizontal="left"/>
    </xf>
    <xf numFmtId="16" fontId="8" fillId="0" borderId="21" xfId="0" quotePrefix="1" applyNumberFormat="1" applyFont="1" applyBorder="1" applyAlignment="1">
      <alignment horizontal="left"/>
    </xf>
    <xf numFmtId="0" fontId="43" fillId="0" borderId="21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15" fontId="8" fillId="6" borderId="0" xfId="0" applyNumberFormat="1" applyFont="1" applyFill="1" applyAlignment="1">
      <alignment horizontal="center"/>
    </xf>
    <xf numFmtId="0" fontId="8" fillId="6" borderId="0" xfId="0" applyFont="1" applyFill="1"/>
    <xf numFmtId="165" fontId="8" fillId="16" borderId="0" xfId="0" applyNumberFormat="1" applyFont="1" applyFill="1" applyAlignment="1">
      <alignment horizontal="center"/>
    </xf>
    <xf numFmtId="0" fontId="8" fillId="16" borderId="0" xfId="0" applyFont="1" applyFill="1"/>
    <xf numFmtId="16" fontId="8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44" fontId="28" fillId="0" borderId="0" xfId="1" applyFont="1"/>
    <xf numFmtId="44" fontId="50" fillId="0" borderId="0" xfId="1" applyFont="1"/>
    <xf numFmtId="4" fontId="18" fillId="8" borderId="0" xfId="0" applyNumberFormat="1" applyFont="1" applyFill="1"/>
    <xf numFmtId="165" fontId="8" fillId="0" borderId="0" xfId="0" applyNumberFormat="1" applyFont="1" applyAlignment="1">
      <alignment horizontal="center" wrapText="1"/>
    </xf>
    <xf numFmtId="44" fontId="28" fillId="0" borderId="0" xfId="1" applyFont="1" applyAlignment="1">
      <alignment horizontal="center" vertical="center"/>
    </xf>
    <xf numFmtId="44" fontId="82" fillId="0" borderId="0" xfId="1" applyFont="1"/>
    <xf numFmtId="44" fontId="26" fillId="0" borderId="0" xfId="1" applyFont="1"/>
    <xf numFmtId="44" fontId="82" fillId="0" borderId="0" xfId="1" applyFont="1" applyAlignment="1">
      <alignment horizontal="center" vertical="center"/>
    </xf>
    <xf numFmtId="166" fontId="14" fillId="6" borderId="0" xfId="0" applyNumberFormat="1" applyFont="1" applyFill="1"/>
    <xf numFmtId="0" fontId="8" fillId="23" borderId="0" xfId="0" applyFont="1" applyFill="1"/>
    <xf numFmtId="0" fontId="35" fillId="23" borderId="0" xfId="0" applyFont="1" applyFill="1"/>
    <xf numFmtId="0" fontId="8" fillId="23" borderId="0" xfId="0" applyFont="1" applyFill="1" applyAlignment="1">
      <alignment horizontal="left"/>
    </xf>
    <xf numFmtId="165" fontId="8" fillId="23" borderId="0" xfId="0" applyNumberFormat="1" applyFont="1" applyFill="1" applyAlignment="1">
      <alignment horizontal="left"/>
    </xf>
    <xf numFmtId="14" fontId="8" fillId="20" borderId="14" xfId="0" applyNumberFormat="1" applyFont="1" applyFill="1" applyBorder="1" applyAlignment="1">
      <alignment horizontal="left"/>
    </xf>
    <xf numFmtId="0" fontId="2" fillId="20" borderId="0" xfId="0" applyFont="1" applyFill="1"/>
    <xf numFmtId="165" fontId="2" fillId="20" borderId="14" xfId="0" applyNumberFormat="1" applyFont="1" applyFill="1" applyBorder="1" applyAlignment="1">
      <alignment horizontal="left"/>
    </xf>
    <xf numFmtId="0" fontId="8" fillId="20" borderId="14" xfId="0" applyFont="1" applyFill="1" applyBorder="1"/>
    <xf numFmtId="16" fontId="2" fillId="20" borderId="0" xfId="0" applyNumberFormat="1" applyFont="1" applyFill="1" applyAlignment="1">
      <alignment horizontal="left"/>
    </xf>
    <xf numFmtId="165" fontId="2" fillId="20" borderId="14" xfId="0" applyNumberFormat="1" applyFont="1" applyFill="1" applyBorder="1"/>
    <xf numFmtId="0" fontId="2" fillId="20" borderId="0" xfId="0" applyFont="1" applyFill="1" applyAlignment="1">
      <alignment horizontal="left"/>
    </xf>
    <xf numFmtId="14" fontId="8" fillId="20" borderId="0" xfId="0" applyNumberFormat="1" applyFont="1" applyFill="1" applyAlignment="1">
      <alignment horizontal="left"/>
    </xf>
    <xf numFmtId="0" fontId="2" fillId="20" borderId="21" xfId="0" applyFont="1" applyFill="1" applyBorder="1"/>
    <xf numFmtId="165" fontId="2" fillId="20" borderId="0" xfId="0" applyNumberFormat="1" applyFont="1" applyFill="1" applyAlignment="1">
      <alignment horizontal="left"/>
    </xf>
    <xf numFmtId="16" fontId="2" fillId="20" borderId="21" xfId="0" applyNumberFormat="1" applyFont="1" applyFill="1" applyBorder="1"/>
    <xf numFmtId="165" fontId="14" fillId="6" borderId="0" xfId="0" applyNumberFormat="1" applyFont="1" applyFill="1"/>
    <xf numFmtId="44" fontId="35" fillId="6" borderId="0" xfId="1" applyFont="1" applyFill="1"/>
    <xf numFmtId="165" fontId="8" fillId="6" borderId="0" xfId="0" applyNumberFormat="1" applyFont="1" applyFill="1" applyAlignment="1">
      <alignment horizontal="center"/>
    </xf>
    <xf numFmtId="165" fontId="14" fillId="3" borderId="0" xfId="0" applyNumberFormat="1" applyFont="1" applyFill="1" applyAlignment="1">
      <alignment horizontal="center"/>
    </xf>
    <xf numFmtId="166" fontId="14" fillId="3" borderId="0" xfId="0" applyNumberFormat="1" applyFont="1" applyFill="1"/>
    <xf numFmtId="165" fontId="14" fillId="6" borderId="0" xfId="0" applyNumberFormat="1" applyFont="1" applyFill="1" applyAlignment="1">
      <alignment horizontal="center" vertical="center"/>
    </xf>
    <xf numFmtId="44" fontId="50" fillId="0" borderId="0" xfId="1" applyFont="1" applyAlignment="1">
      <alignment horizontal="center" vertical="center"/>
    </xf>
    <xf numFmtId="44" fontId="2" fillId="0" borderId="0" xfId="1" applyFont="1"/>
    <xf numFmtId="44" fontId="2" fillId="6" borderId="0" xfId="1" applyFont="1" applyFill="1"/>
    <xf numFmtId="44" fontId="2" fillId="23" borderId="0" xfId="1" applyFont="1" applyFill="1"/>
    <xf numFmtId="14" fontId="2" fillId="0" borderId="0" xfId="0" applyNumberFormat="1" applyFont="1"/>
    <xf numFmtId="0" fontId="28" fillId="0" borderId="0" xfId="0" applyFont="1"/>
    <xf numFmtId="44" fontId="50" fillId="6" borderId="0" xfId="1" applyFont="1" applyFill="1"/>
    <xf numFmtId="165" fontId="20" fillId="0" borderId="0" xfId="0" applyNumberFormat="1" applyFont="1" applyAlignment="1">
      <alignment horizontal="center"/>
    </xf>
    <xf numFmtId="165" fontId="26" fillId="6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65" fillId="0" borderId="22" xfId="0" applyNumberFormat="1" applyFont="1" applyBorder="1" applyAlignment="1">
      <alignment horizontal="center"/>
    </xf>
    <xf numFmtId="1" fontId="49" fillId="0" borderId="22" xfId="0" applyNumberFormat="1" applyFont="1" applyBorder="1" applyAlignment="1">
      <alignment horizontal="center"/>
    </xf>
    <xf numFmtId="1" fontId="58" fillId="0" borderId="22" xfId="0" applyNumberFormat="1" applyFont="1" applyBorder="1" applyAlignment="1">
      <alignment horizontal="center"/>
    </xf>
    <xf numFmtId="1" fontId="58" fillId="0" borderId="0" xfId="0" applyNumberFormat="1" applyFont="1" applyAlignment="1">
      <alignment horizontal="center"/>
    </xf>
    <xf numFmtId="1" fontId="3" fillId="0" borderId="22" xfId="0" applyNumberFormat="1" applyFont="1" applyBorder="1" applyAlignment="1">
      <alignment horizontal="center"/>
    </xf>
    <xf numFmtId="0" fontId="3" fillId="0" borderId="0" xfId="0" applyFont="1"/>
    <xf numFmtId="1" fontId="65" fillId="0" borderId="0" xfId="0" applyNumberFormat="1" applyFont="1" applyAlignment="1">
      <alignment horizontal="center"/>
    </xf>
    <xf numFmtId="165" fontId="20" fillId="0" borderId="7" xfId="0" applyNumberFormat="1" applyFont="1" applyBorder="1" applyAlignment="1">
      <alignment horizontal="center"/>
    </xf>
    <xf numFmtId="0" fontId="49" fillId="0" borderId="0" xfId="0" applyFont="1"/>
    <xf numFmtId="0" fontId="49" fillId="0" borderId="4" xfId="0" applyFont="1" applyBorder="1" applyAlignment="1">
      <alignment horizontal="center"/>
    </xf>
    <xf numFmtId="0" fontId="49" fillId="0" borderId="0" xfId="0" applyFont="1" applyAlignment="1">
      <alignment horizontal="center"/>
    </xf>
    <xf numFmtId="16" fontId="49" fillId="0" borderId="0" xfId="0" applyNumberFormat="1" applyFont="1" applyAlignment="1">
      <alignment horizontal="left"/>
    </xf>
    <xf numFmtId="0" fontId="49" fillId="0" borderId="21" xfId="0" applyFont="1" applyBorder="1"/>
    <xf numFmtId="16" fontId="49" fillId="0" borderId="21" xfId="0" applyNumberFormat="1" applyFont="1" applyBorder="1"/>
    <xf numFmtId="0" fontId="49" fillId="0" borderId="21" xfId="0" applyFont="1" applyBorder="1" applyAlignment="1">
      <alignment vertical="center"/>
    </xf>
    <xf numFmtId="16" fontId="49" fillId="0" borderId="21" xfId="0" quotePrefix="1" applyNumberFormat="1" applyFont="1" applyBorder="1"/>
    <xf numFmtId="0" fontId="58" fillId="0" borderId="21" xfId="0" applyFont="1" applyBorder="1"/>
    <xf numFmtId="0" fontId="49" fillId="0" borderId="41" xfId="0" applyFont="1" applyBorder="1"/>
    <xf numFmtId="165" fontId="8" fillId="0" borderId="0" xfId="0" applyNumberFormat="1" applyFont="1" applyAlignment="1">
      <alignment wrapText="1"/>
    </xf>
    <xf numFmtId="165" fontId="8" fillId="0" borderId="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1" fontId="83" fillId="0" borderId="0" xfId="0" applyNumberFormat="1" applyFont="1" applyBorder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5" fontId="20" fillId="0" borderId="0" xfId="0" applyNumberFormat="1" applyFont="1" applyAlignment="1">
      <alignment horizontal="center" vertical="center"/>
    </xf>
    <xf numFmtId="171" fontId="20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44" fontId="84" fillId="6" borderId="0" xfId="1" applyFont="1" applyFill="1"/>
    <xf numFmtId="0" fontId="8" fillId="0" borderId="0" xfId="0" applyFont="1" applyBorder="1" applyAlignment="1">
      <alignment horizontal="left"/>
    </xf>
    <xf numFmtId="165" fontId="14" fillId="6" borderId="0" xfId="0" applyNumberFormat="1" applyFont="1" applyFill="1" applyAlignment="1">
      <alignment horizontal="center" wrapText="1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/>
    <xf numFmtId="0" fontId="20" fillId="0" borderId="7" xfId="0" applyFont="1" applyBorder="1" applyAlignment="1"/>
    <xf numFmtId="165" fontId="18" fillId="0" borderId="0" xfId="0" applyNumberFormat="1" applyFont="1" applyAlignment="1"/>
    <xf numFmtId="165" fontId="8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horizontal="center"/>
    </xf>
    <xf numFmtId="165" fontId="45" fillId="0" borderId="0" xfId="0" applyNumberFormat="1" applyFont="1" applyAlignment="1">
      <alignment horizontal="center"/>
    </xf>
    <xf numFmtId="165" fontId="46" fillId="0" borderId="0" xfId="0" applyNumberFormat="1" applyFont="1" applyAlignment="1">
      <alignment horizontal="center"/>
    </xf>
    <xf numFmtId="165" fontId="39" fillId="6" borderId="0" xfId="0" applyNumberFormat="1" applyFont="1" applyFill="1" applyAlignment="1"/>
    <xf numFmtId="165" fontId="14" fillId="6" borderId="0" xfId="0" applyNumberFormat="1" applyFont="1" applyFill="1" applyAlignment="1"/>
    <xf numFmtId="165" fontId="8" fillId="0" borderId="0" xfId="0" applyNumberFormat="1" applyFont="1" applyFill="1"/>
    <xf numFmtId="165" fontId="14" fillId="0" borderId="0" xfId="0" applyNumberFormat="1" applyFont="1" applyAlignment="1"/>
    <xf numFmtId="165" fontId="26" fillId="0" borderId="0" xfId="0" applyNumberFormat="1" applyFont="1" applyAlignment="1">
      <alignment horizontal="center"/>
    </xf>
    <xf numFmtId="165" fontId="39" fillId="0" borderId="0" xfId="0" applyNumberFormat="1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65" fontId="14" fillId="0" borderId="0" xfId="0" applyNumberFormat="1" applyFont="1" applyFill="1"/>
    <xf numFmtId="16" fontId="84" fillId="0" borderId="0" xfId="0" applyNumberFormat="1" applyFont="1" applyFill="1"/>
    <xf numFmtId="165" fontId="14" fillId="0" borderId="0" xfId="0" applyNumberFormat="1" applyFont="1" applyFill="1" applyAlignment="1">
      <alignment horizontal="center" wrapText="1"/>
    </xf>
    <xf numFmtId="14" fontId="2" fillId="0" borderId="0" xfId="0" applyNumberFormat="1" applyFont="1" applyAlignment="1">
      <alignment horizontal="left"/>
    </xf>
    <xf numFmtId="14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  <xf numFmtId="0" fontId="2" fillId="0" borderId="14" xfId="0" applyFont="1" applyBorder="1" applyAlignment="1">
      <alignment horizontal="left"/>
    </xf>
    <xf numFmtId="165" fontId="2" fillId="0" borderId="14" xfId="0" applyNumberFormat="1" applyFont="1" applyBorder="1" applyAlignment="1">
      <alignment horizontal="center"/>
    </xf>
    <xf numFmtId="165" fontId="49" fillId="0" borderId="0" xfId="0" applyNumberFormat="1" applyFont="1"/>
    <xf numFmtId="165" fontId="85" fillId="0" borderId="0" xfId="0" applyNumberFormat="1" applyFont="1" applyAlignment="1">
      <alignment horizontal="left"/>
    </xf>
    <xf numFmtId="165" fontId="49" fillId="0" borderId="0" xfId="0" applyNumberFormat="1" applyFont="1" applyAlignment="1">
      <alignment horizontal="center" vertical="center"/>
    </xf>
    <xf numFmtId="44" fontId="58" fillId="0" borderId="0" xfId="1" applyFont="1"/>
    <xf numFmtId="0" fontId="8" fillId="0" borderId="21" xfId="0" applyFont="1" applyFill="1" applyBorder="1"/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center"/>
    </xf>
    <xf numFmtId="4" fontId="18" fillId="0" borderId="0" xfId="0" applyNumberFormat="1" applyFont="1" applyFill="1"/>
    <xf numFmtId="165" fontId="8" fillId="0" borderId="0" xfId="0" applyNumberFormat="1" applyFont="1" applyFill="1" applyAlignment="1">
      <alignment horizontal="center" wrapText="1"/>
    </xf>
    <xf numFmtId="165" fontId="49" fillId="0" borderId="0" xfId="0" applyNumberFormat="1" applyFont="1" applyFill="1"/>
    <xf numFmtId="165" fontId="20" fillId="0" borderId="0" xfId="0" applyNumberFormat="1" applyFont="1" applyFill="1" applyAlignment="1">
      <alignment horizontal="center" wrapText="1"/>
    </xf>
    <xf numFmtId="164" fontId="8" fillId="0" borderId="0" xfId="0" applyNumberFormat="1" applyFont="1" applyAlignment="1">
      <alignment horizontal="center"/>
    </xf>
    <xf numFmtId="165" fontId="20" fillId="6" borderId="0" xfId="0" applyNumberFormat="1" applyFont="1" applyFill="1" applyAlignment="1">
      <alignment horizontal="center" wrapText="1"/>
    </xf>
    <xf numFmtId="165" fontId="49" fillId="6" borderId="0" xfId="0" applyNumberFormat="1" applyFont="1" applyFill="1"/>
    <xf numFmtId="165" fontId="20" fillId="0" borderId="0" xfId="0" applyNumberFormat="1" applyFont="1"/>
    <xf numFmtId="165" fontId="86" fillId="0" borderId="0" xfId="0" applyNumberFormat="1" applyFont="1" applyAlignment="1">
      <alignment horizontal="left"/>
    </xf>
    <xf numFmtId="165" fontId="50" fillId="6" borderId="0" xfId="0" applyNumberFormat="1" applyFont="1" applyFill="1" applyAlignment="1">
      <alignment horizontal="center"/>
    </xf>
    <xf numFmtId="165" fontId="50" fillId="6" borderId="0" xfId="0" applyNumberFormat="1" applyFont="1" applyFill="1"/>
    <xf numFmtId="165" fontId="28" fillId="0" borderId="14" xfId="0" applyNumberFormat="1" applyFont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50" fillId="6" borderId="0" xfId="0" applyNumberFormat="1" applyFont="1" applyFill="1" applyAlignment="1">
      <alignment horizontal="center" wrapText="1"/>
    </xf>
    <xf numFmtId="165" fontId="20" fillId="6" borderId="0" xfId="0" applyNumberFormat="1" applyFont="1" applyFill="1" applyAlignment="1">
      <alignment horizontal="center"/>
    </xf>
    <xf numFmtId="0" fontId="87" fillId="0" borderId="0" xfId="0" applyFont="1"/>
    <xf numFmtId="165" fontId="20" fillId="0" borderId="0" xfId="0" applyNumberFormat="1" applyFont="1" applyAlignment="1">
      <alignment horizontal="center" wrapText="1"/>
    </xf>
    <xf numFmtId="0" fontId="2" fillId="0" borderId="14" xfId="0" applyFont="1" applyBorder="1"/>
    <xf numFmtId="14" fontId="2" fillId="0" borderId="14" xfId="0" applyNumberFormat="1" applyFont="1" applyBorder="1" applyAlignment="1">
      <alignment horizontal="left"/>
    </xf>
    <xf numFmtId="165" fontId="88" fillId="0" borderId="0" xfId="0" applyNumberFormat="1" applyFont="1" applyAlignment="1">
      <alignment horizontal="left" vertical="center"/>
    </xf>
    <xf numFmtId="44" fontId="8" fillId="0" borderId="0" xfId="1" applyFont="1" applyFill="1"/>
    <xf numFmtId="165" fontId="26" fillId="6" borderId="0" xfId="0" applyNumberFormat="1" applyFont="1" applyFill="1"/>
    <xf numFmtId="164" fontId="8" fillId="0" borderId="0" xfId="0" applyNumberFormat="1" applyFont="1" applyAlignment="1">
      <alignment horizontal="center"/>
    </xf>
    <xf numFmtId="165" fontId="20" fillId="6" borderId="0" xfId="0" applyNumberFormat="1" applyFont="1" applyFill="1"/>
    <xf numFmtId="44" fontId="89" fillId="6" borderId="0" xfId="1" applyFont="1" applyFill="1"/>
    <xf numFmtId="165" fontId="20" fillId="0" borderId="0" xfId="0" applyNumberFormat="1" applyFont="1" applyAlignment="1">
      <alignment vertical="center"/>
    </xf>
    <xf numFmtId="165" fontId="52" fillId="6" borderId="0" xfId="0" applyNumberFormat="1" applyFont="1" applyFill="1" applyAlignment="1">
      <alignment horizontal="center" wrapText="1"/>
    </xf>
    <xf numFmtId="0" fontId="8" fillId="0" borderId="0" xfId="0" applyFont="1" applyBorder="1" applyAlignment="1">
      <alignment horizontal="center"/>
    </xf>
    <xf numFmtId="44" fontId="28" fillId="0" borderId="0" xfId="1" applyFont="1" applyFill="1" applyAlignment="1">
      <alignment horizontal="center"/>
    </xf>
    <xf numFmtId="0" fontId="2" fillId="0" borderId="0" xfId="0" applyFont="1" applyFill="1"/>
    <xf numFmtId="44" fontId="59" fillId="0" borderId="0" xfId="1" applyFont="1"/>
    <xf numFmtId="0" fontId="12" fillId="0" borderId="21" xfId="0" applyFont="1" applyBorder="1" applyAlignment="1">
      <alignment wrapText="1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4" fontId="2" fillId="8" borderId="0" xfId="1" applyFont="1" applyFill="1"/>
    <xf numFmtId="165" fontId="8" fillId="8" borderId="0" xfId="0" applyNumberFormat="1" applyFont="1" applyFill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Fill="1" applyAlignment="1">
      <alignment horizontal="center"/>
    </xf>
    <xf numFmtId="44" fontId="28" fillId="0" borderId="0" xfId="1" applyFont="1" applyFill="1"/>
    <xf numFmtId="14" fontId="59" fillId="0" borderId="14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44" fontId="14" fillId="6" borderId="0" xfId="1" applyFont="1" applyFill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44" fontId="2" fillId="0" borderId="0" xfId="1" applyFont="1" applyFill="1"/>
    <xf numFmtId="165" fontId="52" fillId="0" borderId="0" xfId="0" applyNumberFormat="1" applyFont="1" applyAlignment="1">
      <alignment horizontal="center" wrapText="1"/>
    </xf>
    <xf numFmtId="44" fontId="49" fillId="0" borderId="0" xfId="1" applyFont="1" applyFill="1"/>
    <xf numFmtId="44" fontId="35" fillId="8" borderId="0" xfId="1" applyFont="1" applyFill="1"/>
    <xf numFmtId="0" fontId="6" fillId="6" borderId="0" xfId="0" applyFont="1" applyFill="1" applyAlignment="1">
      <alignment horizontal="center"/>
    </xf>
    <xf numFmtId="166" fontId="34" fillId="0" borderId="25" xfId="0" applyNumberFormat="1" applyFont="1" applyBorder="1" applyAlignment="1">
      <alignment horizontal="right"/>
    </xf>
    <xf numFmtId="166" fontId="34" fillId="0" borderId="26" xfId="0" applyNumberFormat="1" applyFont="1" applyBorder="1" applyAlignment="1">
      <alignment horizontal="right"/>
    </xf>
    <xf numFmtId="4" fontId="34" fillId="0" borderId="27" xfId="0" applyNumberFormat="1" applyFont="1" applyBorder="1" applyAlignment="1">
      <alignment horizontal="right" vertical="center"/>
    </xf>
    <xf numFmtId="4" fontId="34" fillId="0" borderId="28" xfId="0" applyNumberFormat="1" applyFont="1" applyBorder="1" applyAlignment="1">
      <alignment horizontal="right" vertical="center"/>
    </xf>
    <xf numFmtId="2" fontId="14" fillId="0" borderId="25" xfId="0" applyNumberFormat="1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/>
    </xf>
    <xf numFmtId="164" fontId="20" fillId="15" borderId="16" xfId="0" applyNumberFormat="1" applyFont="1" applyFill="1" applyBorder="1" applyAlignment="1">
      <alignment horizontal="center"/>
    </xf>
    <xf numFmtId="164" fontId="20" fillId="15" borderId="17" xfId="0" applyNumberFormat="1" applyFont="1" applyFill="1" applyBorder="1" applyAlignment="1">
      <alignment horizontal="center"/>
    </xf>
    <xf numFmtId="164" fontId="8" fillId="17" borderId="16" xfId="0" applyNumberFormat="1" applyFont="1" applyFill="1" applyBorder="1" applyAlignment="1">
      <alignment horizontal="center" wrapText="1"/>
    </xf>
    <xf numFmtId="164" fontId="8" fillId="17" borderId="17" xfId="0" applyNumberFormat="1" applyFont="1" applyFill="1" applyBorder="1" applyAlignment="1">
      <alignment horizontal="center" wrapText="1"/>
    </xf>
    <xf numFmtId="164" fontId="8" fillId="16" borderId="16" xfId="0" applyNumberFormat="1" applyFont="1" applyFill="1" applyBorder="1" applyAlignment="1">
      <alignment horizontal="center" wrapText="1"/>
    </xf>
    <xf numFmtId="164" fontId="8" fillId="16" borderId="17" xfId="0" applyNumberFormat="1" applyFont="1" applyFill="1" applyBorder="1" applyAlignment="1">
      <alignment horizontal="center" wrapText="1"/>
    </xf>
    <xf numFmtId="164" fontId="8" fillId="20" borderId="47" xfId="0" applyNumberFormat="1" applyFont="1" applyFill="1" applyBorder="1" applyAlignment="1">
      <alignment horizontal="center" wrapText="1"/>
    </xf>
    <xf numFmtId="164" fontId="8" fillId="20" borderId="48" xfId="0" applyNumberFormat="1" applyFont="1" applyFill="1" applyBorder="1" applyAlignment="1">
      <alignment horizontal="center" wrapText="1"/>
    </xf>
    <xf numFmtId="164" fontId="8" fillId="20" borderId="20" xfId="0" applyNumberFormat="1" applyFont="1" applyFill="1" applyBorder="1" applyAlignment="1">
      <alignment horizontal="center" wrapText="1"/>
    </xf>
    <xf numFmtId="164" fontId="8" fillId="20" borderId="43" xfId="0" applyNumberFormat="1" applyFont="1" applyFill="1" applyBorder="1" applyAlignment="1">
      <alignment horizontal="center" wrapText="1"/>
    </xf>
    <xf numFmtId="164" fontId="8" fillId="0" borderId="16" xfId="0" applyNumberFormat="1" applyFont="1" applyBorder="1" applyAlignment="1">
      <alignment horizontal="center" wrapText="1"/>
    </xf>
    <xf numFmtId="164" fontId="8" fillId="0" borderId="17" xfId="0" applyNumberFormat="1" applyFont="1" applyBorder="1" applyAlignment="1">
      <alignment horizontal="center" wrapText="1"/>
    </xf>
    <xf numFmtId="164" fontId="74" fillId="0" borderId="16" xfId="0" applyNumberFormat="1" applyFont="1" applyBorder="1" applyAlignment="1">
      <alignment horizontal="center"/>
    </xf>
    <xf numFmtId="164" fontId="74" fillId="0" borderId="17" xfId="0" applyNumberFormat="1" applyFont="1" applyBorder="1" applyAlignment="1">
      <alignment horizontal="center"/>
    </xf>
    <xf numFmtId="164" fontId="8" fillId="0" borderId="20" xfId="0" applyNumberFormat="1" applyFont="1" applyBorder="1" applyAlignment="1">
      <alignment horizontal="center" wrapText="1"/>
    </xf>
    <xf numFmtId="164" fontId="8" fillId="0" borderId="43" xfId="0" applyNumberFormat="1" applyFont="1" applyBorder="1" applyAlignment="1">
      <alignment horizontal="center" wrapText="1"/>
    </xf>
    <xf numFmtId="164" fontId="8" fillId="26" borderId="25" xfId="0" applyNumberFormat="1" applyFont="1" applyFill="1" applyBorder="1" applyAlignment="1">
      <alignment horizontal="center" vertical="center" wrapText="1"/>
    </xf>
    <xf numFmtId="164" fontId="8" fillId="26" borderId="31" xfId="0" applyNumberFormat="1" applyFont="1" applyFill="1" applyBorder="1" applyAlignment="1">
      <alignment horizontal="center" vertical="center" wrapText="1"/>
    </xf>
    <xf numFmtId="164" fontId="74" fillId="0" borderId="16" xfId="0" applyNumberFormat="1" applyFont="1" applyBorder="1" applyAlignment="1">
      <alignment horizontal="center" wrapText="1"/>
    </xf>
    <xf numFmtId="164" fontId="74" fillId="0" borderId="17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FFFF"/>
      <color rgb="FF00FF00"/>
      <color rgb="FFFF00FF"/>
      <color rgb="FF9966FF"/>
      <color rgb="FFFF99CC"/>
      <color rgb="FFFF6600"/>
      <color rgb="FFCC66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2314575</xdr:colOff>
      <xdr:row>3</xdr:row>
      <xdr:rowOff>142875</xdr:rowOff>
    </xdr:from>
    <xdr:to>
      <xdr:col>9</xdr:col>
      <xdr:colOff>2686050</xdr:colOff>
      <xdr:row>4</xdr:row>
      <xdr:rowOff>171450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2314575" y="1228725"/>
          <a:ext cx="371475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2333625</xdr:colOff>
      <xdr:row>31</xdr:row>
      <xdr:rowOff>76200</xdr:rowOff>
    </xdr:from>
    <xdr:to>
      <xdr:col>9</xdr:col>
      <xdr:colOff>2667000</xdr:colOff>
      <xdr:row>33</xdr:row>
      <xdr:rowOff>47625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2333625" y="7153275"/>
          <a:ext cx="33337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2190750</xdr:colOff>
      <xdr:row>33</xdr:row>
      <xdr:rowOff>114301</xdr:rowOff>
    </xdr:from>
    <xdr:to>
      <xdr:col>9</xdr:col>
      <xdr:colOff>2695575</xdr:colOff>
      <xdr:row>34</xdr:row>
      <xdr:rowOff>161926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2190750" y="7591426"/>
          <a:ext cx="504825" cy="247650"/>
        </a:xfrm>
        <a:prstGeom prst="leftBrace">
          <a:avLst>
            <a:gd name="adj1" fmla="val 8333"/>
            <a:gd name="adj2" fmla="val 54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B99"/>
  <sheetViews>
    <sheetView topLeftCell="J1" workbookViewId="0">
      <pane xSplit="5" ySplit="1" topLeftCell="GW2" activePane="bottomRight" state="frozen"/>
      <selection activeCell="J1" sqref="J1"/>
      <selection pane="topRight" activeCell="N1" sqref="N1"/>
      <selection pane="bottomLeft" activeCell="J2" sqref="J2"/>
      <selection pane="bottomRight" activeCell="HA18" sqref="HA1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3.285156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219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256" bestFit="1" customWidth="1"/>
    <col min="205" max="205" width="13" style="234" bestFit="1" customWidth="1"/>
    <col min="206" max="206" width="15.5703125" style="206" bestFit="1" customWidth="1"/>
    <col min="207" max="207" width="13.7109375" style="206" customWidth="1"/>
    <col min="208" max="208" width="11.42578125" style="196"/>
    <col min="209" max="209" width="11.42578125" style="219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31</v>
      </c>
      <c r="K1" s="885"/>
      <c r="L1" s="885"/>
      <c r="M1" s="885"/>
      <c r="N1" s="885"/>
      <c r="O1" s="885"/>
      <c r="P1" s="885"/>
      <c r="Q1" s="885"/>
      <c r="R1" s="885"/>
      <c r="S1" s="6"/>
      <c r="T1" s="6"/>
      <c r="U1" s="6"/>
      <c r="V1" s="7">
        <v>1</v>
      </c>
      <c r="X1" s="349" t="s">
        <v>1</v>
      </c>
      <c r="Y1" s="886"/>
      <c r="Z1" s="886"/>
      <c r="AA1" s="886"/>
      <c r="AB1" s="886"/>
      <c r="AC1" s="886"/>
      <c r="AD1" s="886"/>
      <c r="AE1" s="9" t="e">
        <f>#REF!+1</f>
        <v>#REF!</v>
      </c>
      <c r="AG1" s="869" t="e">
        <f>#REF!</f>
        <v>#REF!</v>
      </c>
      <c r="AH1" s="869"/>
      <c r="AI1" s="869"/>
      <c r="AJ1" s="869"/>
      <c r="AK1" s="869"/>
      <c r="AL1" s="869"/>
      <c r="AM1" s="869"/>
      <c r="AN1" s="9" t="e">
        <f>AE1+1</f>
        <v>#REF!</v>
      </c>
      <c r="AP1" s="869" t="e">
        <f>AG1</f>
        <v>#REF!</v>
      </c>
      <c r="AQ1" s="869"/>
      <c r="AR1" s="869"/>
      <c r="AS1" s="869"/>
      <c r="AT1" s="869"/>
      <c r="AU1" s="869"/>
      <c r="AV1" s="869"/>
      <c r="AW1" s="9" t="e">
        <f>AN1+1</f>
        <v>#REF!</v>
      </c>
      <c r="AY1" s="869" t="e">
        <f>AP1</f>
        <v>#REF!</v>
      </c>
      <c r="AZ1" s="869"/>
      <c r="BA1" s="869"/>
      <c r="BB1" s="869"/>
      <c r="BC1" s="869"/>
      <c r="BD1" s="869"/>
      <c r="BE1" s="869"/>
      <c r="BF1" s="9" t="e">
        <f>AW1+1</f>
        <v>#REF!</v>
      </c>
      <c r="BH1" s="869" t="e">
        <f>AY1</f>
        <v>#REF!</v>
      </c>
      <c r="BI1" s="869"/>
      <c r="BJ1" s="869"/>
      <c r="BK1" s="869"/>
      <c r="BL1" s="869"/>
      <c r="BM1" s="869"/>
      <c r="BN1" s="869"/>
      <c r="BO1" s="9" t="e">
        <f>BF1+1</f>
        <v>#REF!</v>
      </c>
      <c r="BQ1" s="869" t="e">
        <f>BH1</f>
        <v>#REF!</v>
      </c>
      <c r="BR1" s="869"/>
      <c r="BS1" s="869"/>
      <c r="BT1" s="869"/>
      <c r="BU1" s="869"/>
      <c r="BV1" s="869"/>
      <c r="BW1" s="869"/>
      <c r="BX1" s="9" t="e">
        <f>BO1+1</f>
        <v>#REF!</v>
      </c>
      <c r="BZ1" s="869" t="e">
        <f>BQ1</f>
        <v>#REF!</v>
      </c>
      <c r="CA1" s="869"/>
      <c r="CB1" s="869"/>
      <c r="CC1" s="869"/>
      <c r="CD1" s="869"/>
      <c r="CE1" s="869"/>
      <c r="CF1" s="869"/>
      <c r="CG1" s="9" t="e">
        <f>BX1+1</f>
        <v>#REF!</v>
      </c>
      <c r="CI1" s="869" t="e">
        <f>BZ1</f>
        <v>#REF!</v>
      </c>
      <c r="CJ1" s="869"/>
      <c r="CK1" s="869"/>
      <c r="CL1" s="869"/>
      <c r="CM1" s="869"/>
      <c r="CN1" s="869"/>
      <c r="CO1" s="869"/>
      <c r="CP1" s="9" t="e">
        <f>CG1+1</f>
        <v>#REF!</v>
      </c>
      <c r="CR1" s="869" t="e">
        <f>CI1</f>
        <v>#REF!</v>
      </c>
      <c r="CS1" s="869"/>
      <c r="CT1" s="869"/>
      <c r="CU1" s="869"/>
      <c r="CV1" s="869"/>
      <c r="CW1" s="869"/>
      <c r="CX1" s="869"/>
      <c r="CY1" s="9" t="e">
        <f>CP1+1</f>
        <v>#REF!</v>
      </c>
      <c r="DA1" s="869" t="e">
        <f>CR1</f>
        <v>#REF!</v>
      </c>
      <c r="DB1" s="869"/>
      <c r="DC1" s="869"/>
      <c r="DD1" s="869"/>
      <c r="DE1" s="869"/>
      <c r="DF1" s="869"/>
      <c r="DG1" s="869"/>
      <c r="DH1" s="9" t="e">
        <f>CY1+1</f>
        <v>#REF!</v>
      </c>
      <c r="DJ1" s="869" t="e">
        <f>DA1</f>
        <v>#REF!</v>
      </c>
      <c r="DK1" s="869"/>
      <c r="DL1" s="869"/>
      <c r="DM1" s="869"/>
      <c r="DN1" s="869"/>
      <c r="DO1" s="869"/>
      <c r="DP1" s="869"/>
      <c r="DQ1" s="9" t="e">
        <f>DH1+1</f>
        <v>#REF!</v>
      </c>
      <c r="DS1" s="869" t="e">
        <f>DJ1</f>
        <v>#REF!</v>
      </c>
      <c r="DT1" s="869"/>
      <c r="DU1" s="869"/>
      <c r="DV1" s="869"/>
      <c r="DW1" s="869"/>
      <c r="DX1" s="869"/>
      <c r="DY1" s="869"/>
      <c r="DZ1" s="9" t="e">
        <f>DQ1+1</f>
        <v>#REF!</v>
      </c>
      <c r="EB1" s="869" t="e">
        <f>DS1</f>
        <v>#REF!</v>
      </c>
      <c r="EC1" s="869"/>
      <c r="ED1" s="869"/>
      <c r="EE1" s="869"/>
      <c r="EF1" s="869"/>
      <c r="EG1" s="869"/>
      <c r="EH1" s="869"/>
      <c r="EI1" s="9" t="e">
        <f>DZ1+1</f>
        <v>#REF!</v>
      </c>
      <c r="EK1" s="869" t="e">
        <f>EB1</f>
        <v>#REF!</v>
      </c>
      <c r="EL1" s="869"/>
      <c r="EM1" s="869"/>
      <c r="EN1" s="869"/>
      <c r="EO1" s="869"/>
      <c r="EP1" s="869"/>
      <c r="EQ1" s="869"/>
      <c r="ER1" s="9" t="e">
        <f>EI1+1</f>
        <v>#REF!</v>
      </c>
      <c r="ET1" s="869" t="e">
        <f>EK1</f>
        <v>#REF!</v>
      </c>
      <c r="EU1" s="869"/>
      <c r="EV1" s="869"/>
      <c r="EW1" s="869"/>
      <c r="EX1" s="869"/>
      <c r="EY1" s="869"/>
      <c r="EZ1" s="869"/>
      <c r="FA1" s="9" t="e">
        <f>ER1+1</f>
        <v>#REF!</v>
      </c>
      <c r="FC1" s="869" t="e">
        <f>ET1</f>
        <v>#REF!</v>
      </c>
      <c r="FD1" s="869"/>
      <c r="FE1" s="869"/>
      <c r="FF1" s="869"/>
      <c r="FG1" s="869"/>
      <c r="FH1" s="869"/>
      <c r="FI1" s="869"/>
      <c r="FJ1" s="9" t="e">
        <f>FA1+1</f>
        <v>#REF!</v>
      </c>
      <c r="FL1" s="869" t="e">
        <f>FC1</f>
        <v>#REF!</v>
      </c>
      <c r="FM1" s="869"/>
      <c r="FN1" s="869"/>
      <c r="FO1" s="869"/>
      <c r="FP1" s="869"/>
      <c r="FQ1" s="869"/>
      <c r="FR1" s="869"/>
      <c r="FS1" s="9" t="e">
        <f>FJ1+1</f>
        <v>#REF!</v>
      </c>
      <c r="FU1" s="869" t="e">
        <f>FL1</f>
        <v>#REF!</v>
      </c>
      <c r="FV1" s="869"/>
      <c r="FW1" s="869"/>
      <c r="FX1" s="869"/>
      <c r="FY1" s="869"/>
      <c r="FZ1" s="869"/>
      <c r="GA1" s="869"/>
      <c r="GB1" s="9" t="e">
        <f>FS1+1</f>
        <v>#REF!</v>
      </c>
      <c r="GD1" s="869" t="e">
        <f>FU1</f>
        <v>#REF!</v>
      </c>
      <c r="GE1" s="869"/>
      <c r="GF1" s="869"/>
      <c r="GG1" s="869"/>
      <c r="GH1" s="869"/>
      <c r="GI1" s="869"/>
      <c r="GJ1" s="869"/>
      <c r="GK1" s="9" t="e">
        <f>GB1+1</f>
        <v>#REF!</v>
      </c>
      <c r="GM1" s="869" t="e">
        <f>GD1</f>
        <v>#REF!</v>
      </c>
      <c r="GN1" s="869"/>
      <c r="GO1" s="869"/>
      <c r="GP1" s="869"/>
      <c r="GQ1" s="869"/>
      <c r="GR1" s="869"/>
      <c r="GS1" s="869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386" t="s">
        <v>5</v>
      </c>
      <c r="HA1" s="15" t="s">
        <v>6</v>
      </c>
    </row>
    <row r="2" spans="1:209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5"/>
      <c r="GU2" s="346"/>
      <c r="GV2" s="347"/>
      <c r="GW2" s="348"/>
      <c r="GX2" s="31"/>
      <c r="GY2" s="31"/>
      <c r="GZ2" s="387"/>
      <c r="HA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350" t="s">
        <v>16</v>
      </c>
      <c r="L3" s="350"/>
      <c r="M3" s="334" t="s">
        <v>17</v>
      </c>
      <c r="N3" s="335" t="s">
        <v>18</v>
      </c>
      <c r="O3" s="43" t="s">
        <v>19</v>
      </c>
      <c r="P3" s="42" t="s">
        <v>20</v>
      </c>
      <c r="Q3" s="332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344"/>
      <c r="Y3" s="38" t="s">
        <v>16</v>
      </c>
      <c r="Z3" s="38"/>
      <c r="AA3" s="38" t="s">
        <v>18</v>
      </c>
      <c r="AB3" s="38" t="s">
        <v>11</v>
      </c>
      <c r="AC3" s="38" t="s">
        <v>26</v>
      </c>
      <c r="AD3" s="58" t="s">
        <v>27</v>
      </c>
      <c r="AE3" s="343" t="s">
        <v>14</v>
      </c>
      <c r="AG3" s="38" t="s">
        <v>8</v>
      </c>
      <c r="AH3" s="38" t="s">
        <v>16</v>
      </c>
      <c r="AI3" s="38"/>
      <c r="AJ3" s="38" t="s">
        <v>18</v>
      </c>
      <c r="AK3" s="38" t="s">
        <v>11</v>
      </c>
      <c r="AL3" s="38" t="s">
        <v>26</v>
      </c>
      <c r="AM3" s="58" t="s">
        <v>27</v>
      </c>
      <c r="AN3" s="343" t="s">
        <v>14</v>
      </c>
      <c r="AP3" s="38" t="s">
        <v>8</v>
      </c>
      <c r="AQ3" s="38" t="s">
        <v>16</v>
      </c>
      <c r="AR3" s="38"/>
      <c r="AS3" s="38" t="s">
        <v>18</v>
      </c>
      <c r="AT3" s="38" t="s">
        <v>11</v>
      </c>
      <c r="AU3" s="38" t="s">
        <v>26</v>
      </c>
      <c r="AV3" s="58" t="s">
        <v>27</v>
      </c>
      <c r="AW3" s="343" t="s">
        <v>14</v>
      </c>
      <c r="AY3" s="38" t="s">
        <v>8</v>
      </c>
      <c r="AZ3" s="38" t="s">
        <v>16</v>
      </c>
      <c r="BA3" s="38"/>
      <c r="BB3" s="38" t="s">
        <v>18</v>
      </c>
      <c r="BC3" s="38" t="s">
        <v>11</v>
      </c>
      <c r="BD3" s="38" t="s">
        <v>26</v>
      </c>
      <c r="BE3" s="58" t="s">
        <v>27</v>
      </c>
      <c r="BF3" s="343" t="s">
        <v>14</v>
      </c>
      <c r="BH3" s="38" t="s">
        <v>8</v>
      </c>
      <c r="BI3" s="38" t="s">
        <v>16</v>
      </c>
      <c r="BJ3" s="38"/>
      <c r="BK3" s="38" t="s">
        <v>18</v>
      </c>
      <c r="BL3" s="38" t="s">
        <v>11</v>
      </c>
      <c r="BM3" s="38" t="s">
        <v>26</v>
      </c>
      <c r="BN3" s="59" t="s">
        <v>27</v>
      </c>
      <c r="BO3" s="343" t="s">
        <v>14</v>
      </c>
      <c r="BQ3" s="38" t="s">
        <v>8</v>
      </c>
      <c r="BR3" s="38" t="s">
        <v>16</v>
      </c>
      <c r="BS3" s="38"/>
      <c r="BT3" s="38" t="s">
        <v>18</v>
      </c>
      <c r="BU3" s="38" t="s">
        <v>11</v>
      </c>
      <c r="BV3" s="38" t="s">
        <v>26</v>
      </c>
      <c r="BW3" s="59" t="s">
        <v>27</v>
      </c>
      <c r="BX3" s="343" t="s">
        <v>14</v>
      </c>
      <c r="BZ3" s="38" t="s">
        <v>8</v>
      </c>
      <c r="CA3" s="38" t="s">
        <v>16</v>
      </c>
      <c r="CB3" s="38"/>
      <c r="CC3" s="38" t="s">
        <v>18</v>
      </c>
      <c r="CD3" s="38" t="s">
        <v>11</v>
      </c>
      <c r="CE3" s="38" t="s">
        <v>26</v>
      </c>
      <c r="CF3" s="59" t="s">
        <v>27</v>
      </c>
      <c r="CG3" s="343" t="s">
        <v>14</v>
      </c>
      <c r="CI3" s="38" t="s">
        <v>8</v>
      </c>
      <c r="CJ3" s="38" t="s">
        <v>16</v>
      </c>
      <c r="CK3" s="38"/>
      <c r="CL3" s="38" t="s">
        <v>18</v>
      </c>
      <c r="CM3" s="38" t="s">
        <v>11</v>
      </c>
      <c r="CN3" s="38" t="s">
        <v>26</v>
      </c>
      <c r="CO3" s="58" t="s">
        <v>27</v>
      </c>
      <c r="CP3" s="343" t="s">
        <v>14</v>
      </c>
      <c r="CR3" s="38" t="s">
        <v>8</v>
      </c>
      <c r="CS3" s="38" t="s">
        <v>16</v>
      </c>
      <c r="CT3" s="38"/>
      <c r="CU3" s="38" t="s">
        <v>18</v>
      </c>
      <c r="CV3" s="38" t="s">
        <v>11</v>
      </c>
      <c r="CW3" s="38" t="s">
        <v>26</v>
      </c>
      <c r="CX3" s="59" t="s">
        <v>27</v>
      </c>
      <c r="CY3" s="343" t="s">
        <v>14</v>
      </c>
      <c r="DA3" s="38" t="s">
        <v>8</v>
      </c>
      <c r="DB3" s="38" t="s">
        <v>16</v>
      </c>
      <c r="DC3" s="38"/>
      <c r="DD3" s="38" t="s">
        <v>18</v>
      </c>
      <c r="DE3" s="38" t="s">
        <v>11</v>
      </c>
      <c r="DF3" s="38" t="s">
        <v>26</v>
      </c>
      <c r="DG3" s="59" t="s">
        <v>27</v>
      </c>
      <c r="DH3" s="343" t="s">
        <v>14</v>
      </c>
      <c r="DJ3" s="38" t="s">
        <v>8</v>
      </c>
      <c r="DK3" s="38" t="s">
        <v>16</v>
      </c>
      <c r="DL3" s="38"/>
      <c r="DM3" s="38" t="s">
        <v>18</v>
      </c>
      <c r="DN3" s="38" t="s">
        <v>11</v>
      </c>
      <c r="DO3" s="38" t="s">
        <v>26</v>
      </c>
      <c r="DP3" s="59" t="s">
        <v>27</v>
      </c>
      <c r="DQ3" s="343" t="s">
        <v>14</v>
      </c>
      <c r="DS3" s="38" t="s">
        <v>8</v>
      </c>
      <c r="DT3" s="38" t="s">
        <v>16</v>
      </c>
      <c r="DU3" s="38"/>
      <c r="DV3" s="38" t="s">
        <v>18</v>
      </c>
      <c r="DW3" s="38" t="s">
        <v>11</v>
      </c>
      <c r="DX3" s="38" t="s">
        <v>26</v>
      </c>
      <c r="DY3" s="59" t="s">
        <v>27</v>
      </c>
      <c r="DZ3" s="343" t="s">
        <v>14</v>
      </c>
      <c r="EB3" s="38" t="s">
        <v>8</v>
      </c>
      <c r="EC3" s="38" t="s">
        <v>16</v>
      </c>
      <c r="ED3" s="38"/>
      <c r="EE3" s="38" t="s">
        <v>18</v>
      </c>
      <c r="EF3" s="38" t="s">
        <v>11</v>
      </c>
      <c r="EG3" s="38" t="s">
        <v>26</v>
      </c>
      <c r="EH3" s="59" t="s">
        <v>27</v>
      </c>
      <c r="EI3" s="343" t="s">
        <v>14</v>
      </c>
      <c r="EK3" s="38" t="s">
        <v>8</v>
      </c>
      <c r="EL3" s="38" t="s">
        <v>16</v>
      </c>
      <c r="EM3" s="38"/>
      <c r="EN3" s="38" t="s">
        <v>18</v>
      </c>
      <c r="EO3" s="38" t="s">
        <v>11</v>
      </c>
      <c r="EP3" s="38" t="s">
        <v>26</v>
      </c>
      <c r="EQ3" s="59" t="s">
        <v>27</v>
      </c>
      <c r="ER3" s="343" t="s">
        <v>14</v>
      </c>
      <c r="ET3" s="38" t="s">
        <v>8</v>
      </c>
      <c r="EU3" s="38" t="s">
        <v>16</v>
      </c>
      <c r="EV3" s="38"/>
      <c r="EW3" s="38" t="s">
        <v>18</v>
      </c>
      <c r="EX3" s="38" t="s">
        <v>11</v>
      </c>
      <c r="EY3" s="38" t="s">
        <v>26</v>
      </c>
      <c r="EZ3" s="59" t="s">
        <v>27</v>
      </c>
      <c r="FA3" s="343" t="s">
        <v>14</v>
      </c>
      <c r="FC3" s="38" t="s">
        <v>8</v>
      </c>
      <c r="FD3" s="38" t="s">
        <v>16</v>
      </c>
      <c r="FE3" s="38"/>
      <c r="FF3" s="38" t="s">
        <v>18</v>
      </c>
      <c r="FG3" s="38" t="s">
        <v>11</v>
      </c>
      <c r="FH3" s="38" t="s">
        <v>26</v>
      </c>
      <c r="FI3" s="59" t="s">
        <v>27</v>
      </c>
      <c r="FJ3" s="343" t="s">
        <v>14</v>
      </c>
      <c r="FL3" s="38" t="s">
        <v>8</v>
      </c>
      <c r="FM3" s="38" t="s">
        <v>16</v>
      </c>
      <c r="FN3" s="38"/>
      <c r="FO3" s="38" t="s">
        <v>18</v>
      </c>
      <c r="FP3" s="38" t="s">
        <v>11</v>
      </c>
      <c r="FQ3" s="38" t="s">
        <v>26</v>
      </c>
      <c r="FR3" s="59" t="s">
        <v>27</v>
      </c>
      <c r="FS3" s="343" t="s">
        <v>14</v>
      </c>
      <c r="FU3" s="38" t="s">
        <v>8</v>
      </c>
      <c r="FV3" s="38" t="s">
        <v>16</v>
      </c>
      <c r="FW3" s="38"/>
      <c r="FX3" s="38" t="s">
        <v>18</v>
      </c>
      <c r="FY3" s="38" t="s">
        <v>11</v>
      </c>
      <c r="FZ3" s="38" t="s">
        <v>26</v>
      </c>
      <c r="GA3" s="59" t="s">
        <v>27</v>
      </c>
      <c r="GB3" s="343" t="s">
        <v>14</v>
      </c>
      <c r="GD3" s="38" t="s">
        <v>8</v>
      </c>
      <c r="GE3" s="38" t="s">
        <v>16</v>
      </c>
      <c r="GF3" s="38"/>
      <c r="GG3" s="38" t="s">
        <v>18</v>
      </c>
      <c r="GH3" s="38" t="s">
        <v>11</v>
      </c>
      <c r="GI3" s="38" t="s">
        <v>26</v>
      </c>
      <c r="GJ3" s="59" t="s">
        <v>27</v>
      </c>
      <c r="GK3" s="343" t="s">
        <v>14</v>
      </c>
      <c r="GM3" s="38" t="s">
        <v>8</v>
      </c>
      <c r="GN3" s="38" t="s">
        <v>16</v>
      </c>
      <c r="GO3" s="38"/>
      <c r="GP3" s="38" t="s">
        <v>18</v>
      </c>
      <c r="GQ3" s="38" t="s">
        <v>11</v>
      </c>
      <c r="GR3" s="38" t="s">
        <v>26</v>
      </c>
      <c r="GS3" s="59" t="s">
        <v>27</v>
      </c>
      <c r="GT3" s="343" t="s">
        <v>14</v>
      </c>
      <c r="GU3" s="49"/>
      <c r="GV3" s="50"/>
      <c r="GW3" s="51"/>
      <c r="GX3" s="52"/>
      <c r="GY3" s="53"/>
      <c r="GZ3" s="388"/>
      <c r="HA3" s="55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33</v>
      </c>
      <c r="K4" s="69" t="s">
        <v>34</v>
      </c>
      <c r="L4" s="69">
        <v>210</v>
      </c>
      <c r="M4" s="77">
        <v>19110</v>
      </c>
      <c r="N4" s="71">
        <v>42738</v>
      </c>
      <c r="O4" s="56" t="s">
        <v>71</v>
      </c>
      <c r="P4" s="351">
        <v>23770</v>
      </c>
      <c r="Q4" s="60">
        <f>P4-M4</f>
        <v>4660</v>
      </c>
      <c r="R4" s="333">
        <v>33.5</v>
      </c>
      <c r="S4" s="57"/>
      <c r="T4" s="57"/>
      <c r="U4" s="39">
        <f>R4*P4</f>
        <v>796295</v>
      </c>
      <c r="V4" s="61" t="s">
        <v>72</v>
      </c>
      <c r="W4" s="62">
        <v>42759</v>
      </c>
      <c r="X4" s="63">
        <v>15042.3</v>
      </c>
      <c r="Y4" s="38"/>
      <c r="Z4" s="38"/>
      <c r="AA4" s="38"/>
      <c r="AB4" s="38"/>
      <c r="AC4" s="38"/>
      <c r="AD4" s="58"/>
      <c r="AE4" s="59"/>
      <c r="AG4" s="38"/>
      <c r="AH4" s="38"/>
      <c r="AI4" s="38"/>
      <c r="AJ4" s="38"/>
      <c r="AK4" s="38"/>
      <c r="AL4" s="38"/>
      <c r="AM4" s="58"/>
      <c r="AN4" s="59"/>
      <c r="AP4" s="38"/>
      <c r="AQ4" s="38"/>
      <c r="AR4" s="38"/>
      <c r="AS4" s="38"/>
      <c r="AT4" s="38"/>
      <c r="AU4" s="38"/>
      <c r="AV4" s="58"/>
      <c r="AW4" s="59"/>
      <c r="AY4" s="38"/>
      <c r="AZ4" s="38"/>
      <c r="BA4" s="38"/>
      <c r="BB4" s="38"/>
      <c r="BC4" s="38"/>
      <c r="BD4" s="38"/>
      <c r="BE4" s="58"/>
      <c r="BF4" s="59"/>
      <c r="BH4" s="38"/>
      <c r="BI4" s="38"/>
      <c r="BJ4" s="38"/>
      <c r="BK4" s="38"/>
      <c r="BL4" s="38"/>
      <c r="BM4" s="38"/>
      <c r="BN4" s="59"/>
      <c r="BO4" s="59"/>
      <c r="BQ4" s="38"/>
      <c r="BR4" s="38"/>
      <c r="BS4" s="38"/>
      <c r="BT4" s="38"/>
      <c r="BU4" s="38"/>
      <c r="BV4" s="38"/>
      <c r="BW4" s="59"/>
      <c r="BX4" s="59"/>
      <c r="BZ4" s="38"/>
      <c r="CA4" s="38"/>
      <c r="CB4" s="38"/>
      <c r="CC4" s="38"/>
      <c r="CD4" s="38"/>
      <c r="CE4" s="38"/>
      <c r="CF4" s="59"/>
      <c r="CG4" s="59"/>
      <c r="CI4" s="38"/>
      <c r="CJ4" s="38"/>
      <c r="CK4" s="38"/>
      <c r="CL4" s="38"/>
      <c r="CM4" s="38"/>
      <c r="CN4" s="38"/>
      <c r="CO4" s="58"/>
      <c r="CP4" s="59"/>
      <c r="CR4" s="38"/>
      <c r="CS4" s="38"/>
      <c r="CT4" s="38"/>
      <c r="CU4" s="38"/>
      <c r="CV4" s="38"/>
      <c r="CW4" s="38"/>
      <c r="CX4" s="59"/>
      <c r="CY4" s="59"/>
      <c r="DA4" s="38"/>
      <c r="DB4" s="38"/>
      <c r="DC4" s="38"/>
      <c r="DD4" s="38"/>
      <c r="DE4" s="38"/>
      <c r="DF4" s="38"/>
      <c r="DG4" s="59"/>
      <c r="DH4" s="59"/>
      <c r="DJ4" s="38"/>
      <c r="DK4" s="38"/>
      <c r="DL4" s="38"/>
      <c r="DM4" s="38"/>
      <c r="DN4" s="38"/>
      <c r="DO4" s="38"/>
      <c r="DP4" s="59"/>
      <c r="DQ4" s="59"/>
      <c r="DS4" s="38"/>
      <c r="DT4" s="38"/>
      <c r="DU4" s="38"/>
      <c r="DV4" s="38"/>
      <c r="DW4" s="38"/>
      <c r="DX4" s="38"/>
      <c r="DY4" s="59"/>
      <c r="DZ4" s="59"/>
      <c r="EB4" s="38"/>
      <c r="EC4" s="38"/>
      <c r="ED4" s="38"/>
      <c r="EE4" s="38"/>
      <c r="EF4" s="38"/>
      <c r="EG4" s="38"/>
      <c r="EH4" s="59"/>
      <c r="EI4" s="59"/>
      <c r="EK4" s="38"/>
      <c r="EL4" s="38"/>
      <c r="EM4" s="38"/>
      <c r="EN4" s="38"/>
      <c r="EO4" s="38"/>
      <c r="EP4" s="38"/>
      <c r="EQ4" s="59"/>
      <c r="ER4" s="59"/>
      <c r="ET4" s="38"/>
      <c r="EU4" s="38"/>
      <c r="EV4" s="38"/>
      <c r="EW4" s="38"/>
      <c r="EX4" s="38"/>
      <c r="EY4" s="38"/>
      <c r="EZ4" s="59"/>
      <c r="FA4" s="59"/>
      <c r="FC4" s="38"/>
      <c r="FD4" s="38"/>
      <c r="FE4" s="38"/>
      <c r="FF4" s="38"/>
      <c r="FG4" s="38"/>
      <c r="FH4" s="38"/>
      <c r="FI4" s="59"/>
      <c r="FJ4" s="59"/>
      <c r="FL4" s="38"/>
      <c r="FM4" s="38"/>
      <c r="FN4" s="38"/>
      <c r="FO4" s="38"/>
      <c r="FP4" s="38"/>
      <c r="FQ4" s="38"/>
      <c r="FR4" s="59"/>
      <c r="FS4" s="59"/>
      <c r="FU4" s="38"/>
      <c r="FV4" s="38"/>
      <c r="FW4" s="38"/>
      <c r="FX4" s="38"/>
      <c r="FY4" s="38"/>
      <c r="FZ4" s="38"/>
      <c r="GA4" s="59"/>
      <c r="GB4" s="59"/>
      <c r="GD4" s="38"/>
      <c r="GE4" s="38"/>
      <c r="GF4" s="38"/>
      <c r="GG4" s="38"/>
      <c r="GH4" s="38"/>
      <c r="GI4" s="38"/>
      <c r="GJ4" s="59"/>
      <c r="GK4" s="59"/>
      <c r="GM4" s="38"/>
      <c r="GN4" s="38"/>
      <c r="GO4" s="38"/>
      <c r="GP4" s="38"/>
      <c r="GQ4" s="38"/>
      <c r="GR4" s="38"/>
      <c r="GS4" s="59"/>
      <c r="GT4" s="59"/>
      <c r="GU4" s="257">
        <v>42759</v>
      </c>
      <c r="GV4" s="226"/>
      <c r="GW4" s="258"/>
      <c r="GX4" s="31"/>
      <c r="GY4" s="31"/>
      <c r="GZ4" s="387" t="s">
        <v>158</v>
      </c>
      <c r="HA4" s="33">
        <v>5104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69" t="s">
        <v>33</v>
      </c>
      <c r="K5" s="69" t="s">
        <v>34</v>
      </c>
      <c r="L5" s="69">
        <v>210</v>
      </c>
      <c r="M5" s="77">
        <v>19750</v>
      </c>
      <c r="N5" s="71">
        <v>42739</v>
      </c>
      <c r="O5" s="56" t="s">
        <v>74</v>
      </c>
      <c r="P5" s="27">
        <v>24685</v>
      </c>
      <c r="Q5" s="60">
        <f>P5-M5</f>
        <v>4935</v>
      </c>
      <c r="R5" s="29">
        <v>33.5</v>
      </c>
      <c r="S5" s="57"/>
      <c r="T5" s="57"/>
      <c r="U5" s="39">
        <f>R5*P5</f>
        <v>826947.5</v>
      </c>
      <c r="V5" s="336" t="s">
        <v>72</v>
      </c>
      <c r="W5" s="166">
        <v>42761</v>
      </c>
      <c r="X5" s="86">
        <v>15042.3</v>
      </c>
      <c r="Y5" s="20"/>
      <c r="Z5" s="20"/>
      <c r="AA5" s="20"/>
      <c r="AB5" s="20"/>
      <c r="AC5" s="20"/>
      <c r="AD5" s="337"/>
      <c r="AE5" s="22"/>
      <c r="AF5" s="17"/>
      <c r="AG5" s="20"/>
      <c r="AH5" s="20"/>
      <c r="AI5" s="20"/>
      <c r="AJ5" s="20"/>
      <c r="AK5" s="20"/>
      <c r="AL5" s="20"/>
      <c r="AM5" s="337"/>
      <c r="AN5" s="22"/>
      <c r="AO5" s="17"/>
      <c r="AP5" s="20"/>
      <c r="AQ5" s="20"/>
      <c r="AR5" s="20"/>
      <c r="AS5" s="20"/>
      <c r="AT5" s="20"/>
      <c r="AU5" s="20"/>
      <c r="AV5" s="337"/>
      <c r="AW5" s="22"/>
      <c r="AX5" s="17"/>
      <c r="AY5" s="20"/>
      <c r="AZ5" s="20"/>
      <c r="BA5" s="20"/>
      <c r="BB5" s="20"/>
      <c r="BC5" s="20"/>
      <c r="BD5" s="20"/>
      <c r="BE5" s="337"/>
      <c r="BF5" s="22"/>
      <c r="BG5" s="17"/>
      <c r="BH5" s="20"/>
      <c r="BI5" s="20"/>
      <c r="BJ5" s="20"/>
      <c r="BK5" s="20"/>
      <c r="BL5" s="20"/>
      <c r="BM5" s="20"/>
      <c r="BN5" s="22"/>
      <c r="BO5" s="22"/>
      <c r="BP5" s="17"/>
      <c r="BQ5" s="20"/>
      <c r="BR5" s="20"/>
      <c r="BS5" s="20"/>
      <c r="BT5" s="20"/>
      <c r="BU5" s="20"/>
      <c r="BV5" s="20"/>
      <c r="BW5" s="22"/>
      <c r="BX5" s="22"/>
      <c r="BY5" s="17"/>
      <c r="BZ5" s="20"/>
      <c r="CA5" s="20"/>
      <c r="CB5" s="20"/>
      <c r="CC5" s="20"/>
      <c r="CD5" s="20"/>
      <c r="CE5" s="20"/>
      <c r="CF5" s="22"/>
      <c r="CG5" s="22"/>
      <c r="CH5" s="17"/>
      <c r="CI5" s="20"/>
      <c r="CJ5" s="20"/>
      <c r="CK5" s="20"/>
      <c r="CL5" s="20"/>
      <c r="CM5" s="20"/>
      <c r="CN5" s="20"/>
      <c r="CO5" s="337"/>
      <c r="CP5" s="22"/>
      <c r="CQ5" s="17"/>
      <c r="CR5" s="20"/>
      <c r="CS5" s="20"/>
      <c r="CT5" s="20"/>
      <c r="CU5" s="20"/>
      <c r="CV5" s="20"/>
      <c r="CW5" s="20"/>
      <c r="CX5" s="22"/>
      <c r="CY5" s="22"/>
      <c r="CZ5" s="17"/>
      <c r="DA5" s="20"/>
      <c r="DB5" s="20"/>
      <c r="DC5" s="20"/>
      <c r="DD5" s="20"/>
      <c r="DE5" s="20"/>
      <c r="DF5" s="20"/>
      <c r="DG5" s="22"/>
      <c r="DH5" s="22"/>
      <c r="DI5" s="17"/>
      <c r="DJ5" s="20"/>
      <c r="DK5" s="20"/>
      <c r="DL5" s="20"/>
      <c r="DM5" s="20"/>
      <c r="DN5" s="20"/>
      <c r="DO5" s="20"/>
      <c r="DP5" s="22"/>
      <c r="DQ5" s="22"/>
      <c r="DR5" s="17"/>
      <c r="DS5" s="20"/>
      <c r="DT5" s="20"/>
      <c r="DU5" s="20"/>
      <c r="DV5" s="20"/>
      <c r="DW5" s="20"/>
      <c r="DX5" s="20"/>
      <c r="DY5" s="22"/>
      <c r="DZ5" s="22"/>
      <c r="EA5" s="17"/>
      <c r="EB5" s="20"/>
      <c r="EC5" s="20"/>
      <c r="ED5" s="20"/>
      <c r="EE5" s="20"/>
      <c r="EF5" s="20"/>
      <c r="EG5" s="20"/>
      <c r="EH5" s="22"/>
      <c r="EI5" s="22"/>
      <c r="EJ5" s="17"/>
      <c r="EK5" s="20"/>
      <c r="EL5" s="20"/>
      <c r="EM5" s="20"/>
      <c r="EN5" s="20"/>
      <c r="EO5" s="20"/>
      <c r="EP5" s="20"/>
      <c r="EQ5" s="22"/>
      <c r="ER5" s="22"/>
      <c r="ES5" s="17"/>
      <c r="ET5" s="20"/>
      <c r="EU5" s="20"/>
      <c r="EV5" s="20"/>
      <c r="EW5" s="20"/>
      <c r="EX5" s="20"/>
      <c r="EY5" s="20"/>
      <c r="EZ5" s="22"/>
      <c r="FA5" s="22"/>
      <c r="FB5" s="17"/>
      <c r="FC5" s="20"/>
      <c r="FD5" s="20"/>
      <c r="FE5" s="20"/>
      <c r="FF5" s="20"/>
      <c r="FG5" s="20"/>
      <c r="FH5" s="20"/>
      <c r="FI5" s="22"/>
      <c r="FJ5" s="22"/>
      <c r="FK5" s="17"/>
      <c r="FL5" s="20"/>
      <c r="FM5" s="20"/>
      <c r="FN5" s="20"/>
      <c r="FO5" s="20"/>
      <c r="FP5" s="20"/>
      <c r="FQ5" s="20"/>
      <c r="FR5" s="22"/>
      <c r="FS5" s="22"/>
      <c r="FT5" s="17"/>
      <c r="FU5" s="20"/>
      <c r="FV5" s="20"/>
      <c r="FW5" s="20"/>
      <c r="FX5" s="20"/>
      <c r="FY5" s="20"/>
      <c r="FZ5" s="20"/>
      <c r="GA5" s="22"/>
      <c r="GB5" s="22"/>
      <c r="GC5" s="17"/>
      <c r="GD5" s="20"/>
      <c r="GE5" s="20"/>
      <c r="GF5" s="20"/>
      <c r="GG5" s="20"/>
      <c r="GH5" s="20"/>
      <c r="GI5" s="20"/>
      <c r="GJ5" s="22"/>
      <c r="GK5" s="22"/>
      <c r="GL5" s="17"/>
      <c r="GM5" s="20"/>
      <c r="GN5" s="20"/>
      <c r="GO5" s="20"/>
      <c r="GP5" s="20"/>
      <c r="GQ5" s="20"/>
      <c r="GR5" s="20"/>
      <c r="GS5" s="22"/>
      <c r="GT5" s="22"/>
      <c r="GU5" s="338">
        <v>42761</v>
      </c>
      <c r="GV5" s="64"/>
      <c r="GW5" s="65">
        <v>22176</v>
      </c>
      <c r="GX5" s="66" t="s">
        <v>48</v>
      </c>
      <c r="GY5" s="66"/>
      <c r="GZ5" s="389" t="s">
        <v>158</v>
      </c>
      <c r="HA5" s="67">
        <v>5104</v>
      </c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68" t="s">
        <v>33</v>
      </c>
      <c r="K6" s="69" t="s">
        <v>35</v>
      </c>
      <c r="L6" s="69">
        <v>130</v>
      </c>
      <c r="M6" s="70">
        <v>11880</v>
      </c>
      <c r="N6" s="71">
        <v>42740</v>
      </c>
      <c r="O6" s="56" t="s">
        <v>73</v>
      </c>
      <c r="P6" s="72">
        <v>14830</v>
      </c>
      <c r="Q6" s="60">
        <f>P6-M6</f>
        <v>2950</v>
      </c>
      <c r="R6" s="64">
        <v>33</v>
      </c>
      <c r="S6" s="57"/>
      <c r="T6" s="57"/>
      <c r="U6" s="39">
        <f t="shared" ref="U6:U69" si="0">R6*P6</f>
        <v>489390</v>
      </c>
      <c r="V6" s="82" t="s">
        <v>72</v>
      </c>
      <c r="W6" s="339">
        <v>42760</v>
      </c>
      <c r="X6" s="340">
        <v>9311.9</v>
      </c>
      <c r="Y6" s="20"/>
      <c r="Z6" s="20"/>
      <c r="AA6" s="20"/>
      <c r="AB6" s="20"/>
      <c r="AC6" s="20"/>
      <c r="AD6" s="337"/>
      <c r="AE6" s="22"/>
      <c r="AF6" s="17"/>
      <c r="AG6" s="20"/>
      <c r="AH6" s="20"/>
      <c r="AI6" s="20"/>
      <c r="AJ6" s="20"/>
      <c r="AK6" s="20"/>
      <c r="AL6" s="20"/>
      <c r="AM6" s="337"/>
      <c r="AN6" s="22"/>
      <c r="AO6" s="17"/>
      <c r="AP6" s="20"/>
      <c r="AQ6" s="20"/>
      <c r="AR6" s="20"/>
      <c r="AS6" s="20"/>
      <c r="AT6" s="20"/>
      <c r="AU6" s="20"/>
      <c r="AV6" s="337"/>
      <c r="AW6" s="22"/>
      <c r="AX6" s="17"/>
      <c r="AY6" s="20"/>
      <c r="AZ6" s="20"/>
      <c r="BA6" s="20"/>
      <c r="BB6" s="20"/>
      <c r="BC6" s="20"/>
      <c r="BD6" s="20"/>
      <c r="BE6" s="337"/>
      <c r="BF6" s="22"/>
      <c r="BG6" s="17"/>
      <c r="BH6" s="20"/>
      <c r="BI6" s="20"/>
      <c r="BJ6" s="20"/>
      <c r="BK6" s="20"/>
      <c r="BL6" s="20"/>
      <c r="BM6" s="20"/>
      <c r="BN6" s="22"/>
      <c r="BO6" s="22"/>
      <c r="BP6" s="17"/>
      <c r="BQ6" s="20"/>
      <c r="BR6" s="20"/>
      <c r="BS6" s="20"/>
      <c r="BT6" s="20"/>
      <c r="BU6" s="20"/>
      <c r="BV6" s="20"/>
      <c r="BW6" s="22"/>
      <c r="BX6" s="22"/>
      <c r="BY6" s="17"/>
      <c r="BZ6" s="20"/>
      <c r="CA6" s="20"/>
      <c r="CB6" s="20"/>
      <c r="CC6" s="20"/>
      <c r="CD6" s="20"/>
      <c r="CE6" s="20"/>
      <c r="CF6" s="22"/>
      <c r="CG6" s="22"/>
      <c r="CH6" s="17"/>
      <c r="CI6" s="20"/>
      <c r="CJ6" s="20"/>
      <c r="CK6" s="20"/>
      <c r="CL6" s="20"/>
      <c r="CM6" s="20"/>
      <c r="CN6" s="20"/>
      <c r="CO6" s="337"/>
      <c r="CP6" s="22"/>
      <c r="CQ6" s="17"/>
      <c r="CR6" s="20"/>
      <c r="CS6" s="20"/>
      <c r="CT6" s="20"/>
      <c r="CU6" s="20"/>
      <c r="CV6" s="20"/>
      <c r="CW6" s="20"/>
      <c r="CX6" s="22"/>
      <c r="CY6" s="22"/>
      <c r="CZ6" s="17"/>
      <c r="DA6" s="20"/>
      <c r="DB6" s="20"/>
      <c r="DC6" s="20"/>
      <c r="DD6" s="20"/>
      <c r="DE6" s="20"/>
      <c r="DF6" s="20"/>
      <c r="DG6" s="22"/>
      <c r="DH6" s="22"/>
      <c r="DI6" s="17"/>
      <c r="DJ6" s="20"/>
      <c r="DK6" s="20"/>
      <c r="DL6" s="20"/>
      <c r="DM6" s="20"/>
      <c r="DN6" s="20"/>
      <c r="DO6" s="20"/>
      <c r="DP6" s="22"/>
      <c r="DQ6" s="22"/>
      <c r="DR6" s="17"/>
      <c r="DS6" s="20"/>
      <c r="DT6" s="20"/>
      <c r="DU6" s="20"/>
      <c r="DV6" s="20"/>
      <c r="DW6" s="20"/>
      <c r="DX6" s="20"/>
      <c r="DY6" s="22"/>
      <c r="DZ6" s="22"/>
      <c r="EA6" s="17"/>
      <c r="EB6" s="20"/>
      <c r="EC6" s="20"/>
      <c r="ED6" s="20"/>
      <c r="EE6" s="20"/>
      <c r="EF6" s="20"/>
      <c r="EG6" s="20"/>
      <c r="EH6" s="22"/>
      <c r="EI6" s="22"/>
      <c r="EJ6" s="17"/>
      <c r="EK6" s="20"/>
      <c r="EL6" s="20"/>
      <c r="EM6" s="20"/>
      <c r="EN6" s="20"/>
      <c r="EO6" s="20"/>
      <c r="EP6" s="20"/>
      <c r="EQ6" s="22"/>
      <c r="ER6" s="22"/>
      <c r="ES6" s="17"/>
      <c r="ET6" s="20"/>
      <c r="EU6" s="20"/>
      <c r="EV6" s="20"/>
      <c r="EW6" s="20"/>
      <c r="EX6" s="20"/>
      <c r="EY6" s="20"/>
      <c r="EZ6" s="22"/>
      <c r="FA6" s="22"/>
      <c r="FB6" s="17"/>
      <c r="FC6" s="20"/>
      <c r="FD6" s="20"/>
      <c r="FE6" s="20"/>
      <c r="FF6" s="20"/>
      <c r="FG6" s="20"/>
      <c r="FH6" s="20"/>
      <c r="FI6" s="22"/>
      <c r="FJ6" s="22"/>
      <c r="FK6" s="17"/>
      <c r="FL6" s="20"/>
      <c r="FM6" s="20"/>
      <c r="FN6" s="20"/>
      <c r="FO6" s="20"/>
      <c r="FP6" s="20"/>
      <c r="FQ6" s="20"/>
      <c r="FR6" s="22"/>
      <c r="FS6" s="22"/>
      <c r="FT6" s="17"/>
      <c r="FU6" s="20"/>
      <c r="FV6" s="20"/>
      <c r="FW6" s="20"/>
      <c r="FX6" s="20"/>
      <c r="FY6" s="20"/>
      <c r="FZ6" s="20"/>
      <c r="GA6" s="22"/>
      <c r="GB6" s="22"/>
      <c r="GC6" s="17"/>
      <c r="GD6" s="20"/>
      <c r="GE6" s="20"/>
      <c r="GF6" s="20"/>
      <c r="GG6" s="20"/>
      <c r="GH6" s="20"/>
      <c r="GI6" s="20"/>
      <c r="GJ6" s="22"/>
      <c r="GK6" s="22"/>
      <c r="GL6" s="17"/>
      <c r="GM6" s="20"/>
      <c r="GN6" s="20"/>
      <c r="GO6" s="20"/>
      <c r="GP6" s="20"/>
      <c r="GQ6" s="20"/>
      <c r="GR6" s="20"/>
      <c r="GS6" s="22"/>
      <c r="GT6" s="22"/>
      <c r="GU6" s="341">
        <v>42760</v>
      </c>
      <c r="GV6" s="73"/>
      <c r="GW6" s="65">
        <v>17584</v>
      </c>
      <c r="GX6" s="74" t="s">
        <v>49</v>
      </c>
      <c r="GY6" s="74"/>
      <c r="GZ6" s="167" t="s">
        <v>158</v>
      </c>
      <c r="HA6" s="75">
        <v>2784</v>
      </c>
    </row>
    <row r="7" spans="1:209" x14ac:dyDescent="0.25">
      <c r="B7" s="34"/>
      <c r="C7" s="34"/>
      <c r="D7" s="35"/>
      <c r="E7" s="36"/>
      <c r="F7" s="37"/>
      <c r="G7" s="38"/>
      <c r="H7" s="39"/>
      <c r="I7" s="40"/>
      <c r="J7" s="76" t="s">
        <v>36</v>
      </c>
      <c r="K7" s="69" t="s">
        <v>37</v>
      </c>
      <c r="L7" s="69">
        <v>200</v>
      </c>
      <c r="M7" s="77">
        <v>19350</v>
      </c>
      <c r="N7" s="71">
        <v>42740</v>
      </c>
      <c r="O7" s="56" t="s">
        <v>75</v>
      </c>
      <c r="P7" s="78">
        <v>24090</v>
      </c>
      <c r="Q7" s="60">
        <f>P7-M7</f>
        <v>4740</v>
      </c>
      <c r="R7" s="79">
        <v>33</v>
      </c>
      <c r="S7" s="80"/>
      <c r="T7" s="81"/>
      <c r="U7" s="39">
        <f t="shared" si="0"/>
        <v>794970</v>
      </c>
      <c r="V7" s="82" t="s">
        <v>72</v>
      </c>
      <c r="W7" s="339">
        <v>42762</v>
      </c>
      <c r="X7" s="340">
        <v>14326</v>
      </c>
      <c r="Y7" s="20"/>
      <c r="Z7" s="20"/>
      <c r="AA7" s="20"/>
      <c r="AB7" s="20"/>
      <c r="AC7" s="20"/>
      <c r="AD7" s="337"/>
      <c r="AE7" s="22"/>
      <c r="AF7" s="17"/>
      <c r="AG7" s="20"/>
      <c r="AH7" s="20"/>
      <c r="AI7" s="20"/>
      <c r="AJ7" s="20"/>
      <c r="AK7" s="20"/>
      <c r="AL7" s="20"/>
      <c r="AM7" s="337"/>
      <c r="AN7" s="22"/>
      <c r="AO7" s="17"/>
      <c r="AP7" s="20"/>
      <c r="AQ7" s="20"/>
      <c r="AR7" s="20"/>
      <c r="AS7" s="20"/>
      <c r="AT7" s="20"/>
      <c r="AU7" s="20"/>
      <c r="AV7" s="337"/>
      <c r="AW7" s="22"/>
      <c r="AX7" s="17"/>
      <c r="AY7" s="20"/>
      <c r="AZ7" s="20"/>
      <c r="BA7" s="20"/>
      <c r="BB7" s="20"/>
      <c r="BC7" s="20"/>
      <c r="BD7" s="20"/>
      <c r="BE7" s="337"/>
      <c r="BF7" s="22"/>
      <c r="BG7" s="17"/>
      <c r="BH7" s="20"/>
      <c r="BI7" s="20"/>
      <c r="BJ7" s="20"/>
      <c r="BK7" s="20"/>
      <c r="BL7" s="20"/>
      <c r="BM7" s="20"/>
      <c r="BN7" s="22"/>
      <c r="BO7" s="22"/>
      <c r="BP7" s="17"/>
      <c r="BQ7" s="20"/>
      <c r="BR7" s="20"/>
      <c r="BS7" s="20"/>
      <c r="BT7" s="20"/>
      <c r="BU7" s="20"/>
      <c r="BV7" s="20"/>
      <c r="BW7" s="22"/>
      <c r="BX7" s="22"/>
      <c r="BY7" s="17"/>
      <c r="BZ7" s="20"/>
      <c r="CA7" s="20"/>
      <c r="CB7" s="20"/>
      <c r="CC7" s="20"/>
      <c r="CD7" s="20"/>
      <c r="CE7" s="20"/>
      <c r="CF7" s="22"/>
      <c r="CG7" s="22"/>
      <c r="CH7" s="17"/>
      <c r="CI7" s="20"/>
      <c r="CJ7" s="20"/>
      <c r="CK7" s="20"/>
      <c r="CL7" s="20"/>
      <c r="CM7" s="20"/>
      <c r="CN7" s="20"/>
      <c r="CO7" s="337"/>
      <c r="CP7" s="22"/>
      <c r="CQ7" s="17"/>
      <c r="CR7" s="20"/>
      <c r="CS7" s="20"/>
      <c r="CT7" s="20"/>
      <c r="CU7" s="20"/>
      <c r="CV7" s="20"/>
      <c r="CW7" s="20"/>
      <c r="CX7" s="22"/>
      <c r="CY7" s="22"/>
      <c r="CZ7" s="17"/>
      <c r="DA7" s="20"/>
      <c r="DB7" s="20"/>
      <c r="DC7" s="20"/>
      <c r="DD7" s="20"/>
      <c r="DE7" s="20"/>
      <c r="DF7" s="20"/>
      <c r="DG7" s="22"/>
      <c r="DH7" s="22"/>
      <c r="DI7" s="17"/>
      <c r="DJ7" s="20"/>
      <c r="DK7" s="20"/>
      <c r="DL7" s="20"/>
      <c r="DM7" s="20"/>
      <c r="DN7" s="20"/>
      <c r="DO7" s="20"/>
      <c r="DP7" s="22"/>
      <c r="DQ7" s="22"/>
      <c r="DR7" s="17"/>
      <c r="DS7" s="20"/>
      <c r="DT7" s="20"/>
      <c r="DU7" s="20"/>
      <c r="DV7" s="20"/>
      <c r="DW7" s="20"/>
      <c r="DX7" s="20"/>
      <c r="DY7" s="22"/>
      <c r="DZ7" s="22"/>
      <c r="EA7" s="17"/>
      <c r="EB7" s="20"/>
      <c r="EC7" s="20"/>
      <c r="ED7" s="20"/>
      <c r="EE7" s="20"/>
      <c r="EF7" s="20"/>
      <c r="EG7" s="20"/>
      <c r="EH7" s="22"/>
      <c r="EI7" s="22"/>
      <c r="EJ7" s="17"/>
      <c r="EK7" s="20"/>
      <c r="EL7" s="20"/>
      <c r="EM7" s="20"/>
      <c r="EN7" s="20"/>
      <c r="EO7" s="20"/>
      <c r="EP7" s="20"/>
      <c r="EQ7" s="22"/>
      <c r="ER7" s="22"/>
      <c r="ES7" s="17"/>
      <c r="ET7" s="20"/>
      <c r="EU7" s="20"/>
      <c r="EV7" s="20"/>
      <c r="EW7" s="20"/>
      <c r="EX7" s="20"/>
      <c r="EY7" s="20"/>
      <c r="EZ7" s="22"/>
      <c r="FA7" s="22"/>
      <c r="FB7" s="17"/>
      <c r="FC7" s="20"/>
      <c r="FD7" s="20"/>
      <c r="FE7" s="20"/>
      <c r="FF7" s="20"/>
      <c r="FG7" s="20"/>
      <c r="FH7" s="20"/>
      <c r="FI7" s="22"/>
      <c r="FJ7" s="22"/>
      <c r="FK7" s="17"/>
      <c r="FL7" s="20"/>
      <c r="FM7" s="20"/>
      <c r="FN7" s="20"/>
      <c r="FO7" s="20"/>
      <c r="FP7" s="20"/>
      <c r="FQ7" s="20"/>
      <c r="FR7" s="22"/>
      <c r="FS7" s="22"/>
      <c r="FT7" s="17"/>
      <c r="FU7" s="20"/>
      <c r="FV7" s="20"/>
      <c r="FW7" s="20"/>
      <c r="FX7" s="20"/>
      <c r="FY7" s="20"/>
      <c r="FZ7" s="20"/>
      <c r="GA7" s="22"/>
      <c r="GB7" s="22"/>
      <c r="GC7" s="17"/>
      <c r="GD7" s="20"/>
      <c r="GE7" s="20"/>
      <c r="GF7" s="20"/>
      <c r="GG7" s="20"/>
      <c r="GH7" s="20"/>
      <c r="GI7" s="20"/>
      <c r="GJ7" s="22"/>
      <c r="GK7" s="22"/>
      <c r="GL7" s="17"/>
      <c r="GM7" s="20"/>
      <c r="GN7" s="20"/>
      <c r="GO7" s="20"/>
      <c r="GP7" s="20"/>
      <c r="GQ7" s="20"/>
      <c r="GR7" s="20"/>
      <c r="GS7" s="22"/>
      <c r="GT7" s="22"/>
      <c r="GU7" s="342">
        <v>42762</v>
      </c>
      <c r="GV7" s="73"/>
      <c r="GW7" s="84"/>
      <c r="GX7" s="74"/>
      <c r="GY7" s="74"/>
      <c r="GZ7" s="167" t="s">
        <v>158</v>
      </c>
      <c r="HA7" s="86">
        <v>5104</v>
      </c>
    </row>
    <row r="8" spans="1:209" x14ac:dyDescent="0.25">
      <c r="C8" s="87"/>
      <c r="D8" s="35"/>
      <c r="E8" s="36"/>
      <c r="F8" s="37"/>
      <c r="G8" s="38"/>
      <c r="H8" s="39"/>
      <c r="I8" s="40"/>
      <c r="J8" s="88" t="s">
        <v>38</v>
      </c>
      <c r="K8" s="69" t="s">
        <v>37</v>
      </c>
      <c r="L8" s="69">
        <v>200</v>
      </c>
      <c r="M8" s="77">
        <v>18060</v>
      </c>
      <c r="N8" s="71">
        <v>42741</v>
      </c>
      <c r="O8" s="56" t="s">
        <v>83</v>
      </c>
      <c r="P8" s="78">
        <v>22620</v>
      </c>
      <c r="Q8" s="60">
        <f>P8-M8</f>
        <v>4560</v>
      </c>
      <c r="R8" s="79">
        <v>33</v>
      </c>
      <c r="S8" s="64"/>
      <c r="T8" s="89"/>
      <c r="U8" s="39">
        <f t="shared" si="0"/>
        <v>746460</v>
      </c>
      <c r="V8" s="90" t="s">
        <v>72</v>
      </c>
      <c r="W8" s="83">
        <v>42765</v>
      </c>
      <c r="X8" s="91">
        <v>14326</v>
      </c>
      <c r="Y8" s="17"/>
      <c r="Z8" s="20"/>
      <c r="AA8" s="92"/>
      <c r="AB8" s="93"/>
      <c r="AC8" s="92"/>
      <c r="AD8" s="94"/>
      <c r="AE8" s="95"/>
      <c r="AF8" s="17"/>
      <c r="AG8" s="17"/>
      <c r="AH8" s="17"/>
      <c r="AI8" s="20"/>
      <c r="AJ8" s="92"/>
      <c r="AK8" s="93"/>
      <c r="AL8" s="92"/>
      <c r="AM8" s="94"/>
      <c r="AN8" s="95"/>
      <c r="AO8" s="17"/>
      <c r="AP8" s="17"/>
      <c r="AQ8" s="17"/>
      <c r="AR8" s="20"/>
      <c r="AS8" s="92"/>
      <c r="AT8" s="93"/>
      <c r="AU8" s="92"/>
      <c r="AV8" s="94"/>
      <c r="AW8" s="95"/>
      <c r="AX8" s="17"/>
      <c r="AY8" s="17"/>
      <c r="AZ8" s="17"/>
      <c r="BA8" s="20"/>
      <c r="BB8" s="92"/>
      <c r="BC8" s="93"/>
      <c r="BD8" s="92"/>
      <c r="BE8" s="94"/>
      <c r="BF8" s="95"/>
      <c r="BG8" s="17"/>
      <c r="BH8" s="17"/>
      <c r="BI8" s="17"/>
      <c r="BJ8" s="20"/>
      <c r="BK8" s="92"/>
      <c r="BL8" s="93"/>
      <c r="BM8" s="92"/>
      <c r="BN8" s="94"/>
      <c r="BO8" s="95"/>
      <c r="BP8" s="17"/>
      <c r="BQ8" s="17"/>
      <c r="BR8" s="17"/>
      <c r="BS8" s="20"/>
      <c r="BT8" s="92"/>
      <c r="BU8" s="93"/>
      <c r="BV8" s="92"/>
      <c r="BW8" s="94"/>
      <c r="BX8" s="95"/>
      <c r="BY8" s="17"/>
      <c r="BZ8" s="17"/>
      <c r="CA8" s="17"/>
      <c r="CB8" s="20"/>
      <c r="CC8" s="92"/>
      <c r="CD8" s="93"/>
      <c r="CE8" s="92"/>
      <c r="CF8" s="94"/>
      <c r="CG8" s="95"/>
      <c r="CH8" s="17"/>
      <c r="CI8" s="17"/>
      <c r="CJ8" s="17"/>
      <c r="CK8" s="20"/>
      <c r="CL8" s="92"/>
      <c r="CM8" s="93"/>
      <c r="CN8" s="92"/>
      <c r="CO8" s="94"/>
      <c r="CP8" s="95"/>
      <c r="CQ8" s="17"/>
      <c r="CR8" s="17"/>
      <c r="CS8" s="17"/>
      <c r="CT8" s="20"/>
      <c r="CU8" s="92"/>
      <c r="CV8" s="93"/>
      <c r="CW8" s="96"/>
      <c r="CX8" s="94"/>
      <c r="CY8" s="95"/>
      <c r="CZ8" s="17"/>
      <c r="DA8" s="17"/>
      <c r="DB8" s="17"/>
      <c r="DC8" s="20"/>
      <c r="DD8" s="92"/>
      <c r="DE8" s="93"/>
      <c r="DF8" s="92"/>
      <c r="DG8" s="94"/>
      <c r="DH8" s="95"/>
      <c r="DI8" s="17"/>
      <c r="DJ8" s="17"/>
      <c r="DK8" s="17"/>
      <c r="DL8" s="20"/>
      <c r="DM8" s="92"/>
      <c r="DN8" s="93"/>
      <c r="DO8" s="92"/>
      <c r="DP8" s="94"/>
      <c r="DQ8" s="95"/>
      <c r="DR8" s="17"/>
      <c r="DS8" s="17"/>
      <c r="DT8" s="17"/>
      <c r="DU8" s="20"/>
      <c r="DV8" s="92"/>
      <c r="DW8" s="93"/>
      <c r="DX8" s="92"/>
      <c r="DY8" s="94"/>
      <c r="DZ8" s="95"/>
      <c r="EA8" s="17"/>
      <c r="EB8" s="17"/>
      <c r="EC8" s="17"/>
      <c r="ED8" s="20"/>
      <c r="EE8" s="92"/>
      <c r="EF8" s="93"/>
      <c r="EG8" s="92"/>
      <c r="EH8" s="94"/>
      <c r="EI8" s="95"/>
      <c r="EJ8" s="17"/>
      <c r="EK8" s="17"/>
      <c r="EL8" s="17"/>
      <c r="EM8" s="20"/>
      <c r="EN8" s="92"/>
      <c r="EO8" s="93"/>
      <c r="EP8" s="92"/>
      <c r="EQ8" s="94"/>
      <c r="ER8" s="95"/>
      <c r="ES8" s="17"/>
      <c r="ET8" s="17"/>
      <c r="EU8" s="17"/>
      <c r="EV8" s="20"/>
      <c r="EW8" s="92"/>
      <c r="EX8" s="93"/>
      <c r="EY8" s="92"/>
      <c r="EZ8" s="94"/>
      <c r="FA8" s="95"/>
      <c r="FB8" s="17"/>
      <c r="FC8" s="17"/>
      <c r="FD8" s="17"/>
      <c r="FE8" s="20"/>
      <c r="FF8" s="92"/>
      <c r="FG8" s="93"/>
      <c r="FH8" s="92"/>
      <c r="FI8" s="94"/>
      <c r="FJ8" s="95"/>
      <c r="FK8" s="17"/>
      <c r="FL8" s="17"/>
      <c r="FM8" s="17"/>
      <c r="FN8" s="20"/>
      <c r="FO8" s="92"/>
      <c r="FP8" s="93"/>
      <c r="FQ8" s="92"/>
      <c r="FR8" s="94"/>
      <c r="FS8" s="95"/>
      <c r="FT8" s="17"/>
      <c r="FU8" s="17"/>
      <c r="FV8" s="17"/>
      <c r="FW8" s="20"/>
      <c r="FX8" s="92"/>
      <c r="FY8" s="93"/>
      <c r="FZ8" s="92"/>
      <c r="GA8" s="94"/>
      <c r="GB8" s="95"/>
      <c r="GC8" s="17"/>
      <c r="GD8" s="17"/>
      <c r="GE8" s="17"/>
      <c r="GF8" s="20"/>
      <c r="GG8" s="92"/>
      <c r="GH8" s="93"/>
      <c r="GI8" s="92"/>
      <c r="GJ8" s="94"/>
      <c r="GK8" s="95"/>
      <c r="GL8" s="17"/>
      <c r="GM8" s="17"/>
      <c r="GN8" s="17"/>
      <c r="GO8" s="20"/>
      <c r="GP8" s="92"/>
      <c r="GQ8" s="93"/>
      <c r="GR8" s="92"/>
      <c r="GS8" s="94"/>
      <c r="GT8" s="95"/>
      <c r="GU8" s="97">
        <v>42765</v>
      </c>
      <c r="GV8" s="98"/>
      <c r="GW8" s="65">
        <v>22176</v>
      </c>
      <c r="GX8" s="74" t="s">
        <v>51</v>
      </c>
      <c r="GY8" s="74"/>
      <c r="GZ8" s="167" t="s">
        <v>158</v>
      </c>
      <c r="HA8" s="86">
        <v>5104</v>
      </c>
    </row>
    <row r="9" spans="1:209" x14ac:dyDescent="0.25">
      <c r="C9" s="87"/>
      <c r="D9" s="35"/>
      <c r="E9" s="36"/>
      <c r="F9" s="37"/>
      <c r="G9" s="38"/>
      <c r="H9" s="39"/>
      <c r="I9" s="40"/>
      <c r="J9" s="68" t="s">
        <v>33</v>
      </c>
      <c r="K9" s="69" t="s">
        <v>35</v>
      </c>
      <c r="L9" s="69">
        <v>130</v>
      </c>
      <c r="M9" s="70">
        <v>11790</v>
      </c>
      <c r="N9" s="71">
        <v>42741</v>
      </c>
      <c r="O9" s="56" t="s">
        <v>84</v>
      </c>
      <c r="P9" s="72">
        <v>14750</v>
      </c>
      <c r="Q9" s="60">
        <f t="shared" ref="Q9:Q62" si="1">P9-M9</f>
        <v>2960</v>
      </c>
      <c r="R9" s="64">
        <v>33</v>
      </c>
      <c r="S9" s="64"/>
      <c r="T9" s="99"/>
      <c r="U9" s="39">
        <f t="shared" si="0"/>
        <v>486750</v>
      </c>
      <c r="V9" s="90" t="s">
        <v>72</v>
      </c>
      <c r="W9" s="83">
        <v>42765</v>
      </c>
      <c r="X9" s="91">
        <v>9311.9</v>
      </c>
      <c r="Y9" s="17"/>
      <c r="Z9" s="20"/>
      <c r="AA9" s="92"/>
      <c r="AB9" s="93"/>
      <c r="AC9" s="92"/>
      <c r="AD9" s="94"/>
      <c r="AE9" s="95"/>
      <c r="AF9" s="17"/>
      <c r="AG9" s="17"/>
      <c r="AH9" s="17"/>
      <c r="AI9" s="20"/>
      <c r="AJ9" s="92"/>
      <c r="AK9" s="93"/>
      <c r="AL9" s="92"/>
      <c r="AM9" s="94"/>
      <c r="AN9" s="95"/>
      <c r="AO9" s="17"/>
      <c r="AP9" s="17"/>
      <c r="AQ9" s="17"/>
      <c r="AR9" s="20"/>
      <c r="AS9" s="92"/>
      <c r="AT9" s="93"/>
      <c r="AU9" s="92"/>
      <c r="AV9" s="94"/>
      <c r="AW9" s="95"/>
      <c r="AX9" s="17"/>
      <c r="AY9" s="17"/>
      <c r="AZ9" s="17"/>
      <c r="BA9" s="20"/>
      <c r="BB9" s="92"/>
      <c r="BC9" s="93"/>
      <c r="BD9" s="92"/>
      <c r="BE9" s="94"/>
      <c r="BF9" s="95"/>
      <c r="BG9" s="17"/>
      <c r="BH9" s="17"/>
      <c r="BI9" s="17"/>
      <c r="BJ9" s="20"/>
      <c r="BK9" s="92"/>
      <c r="BL9" s="93"/>
      <c r="BM9" s="92"/>
      <c r="BN9" s="94"/>
      <c r="BO9" s="95"/>
      <c r="BP9" s="17"/>
      <c r="BQ9" s="17"/>
      <c r="BR9" s="17"/>
      <c r="BS9" s="20"/>
      <c r="BT9" s="92"/>
      <c r="BU9" s="93"/>
      <c r="BV9" s="92"/>
      <c r="BW9" s="94"/>
      <c r="BX9" s="95"/>
      <c r="BY9" s="17"/>
      <c r="BZ9" s="17"/>
      <c r="CA9" s="17"/>
      <c r="CB9" s="20"/>
      <c r="CC9" s="92"/>
      <c r="CD9" s="93"/>
      <c r="CE9" s="92"/>
      <c r="CF9" s="94"/>
      <c r="CG9" s="95"/>
      <c r="CH9" s="17"/>
      <c r="CI9" s="17"/>
      <c r="CJ9" s="17"/>
      <c r="CK9" s="20"/>
      <c r="CL9" s="92"/>
      <c r="CM9" s="93"/>
      <c r="CN9" s="92"/>
      <c r="CO9" s="94"/>
      <c r="CP9" s="95"/>
      <c r="CQ9" s="17"/>
      <c r="CR9" s="17"/>
      <c r="CS9" s="17"/>
      <c r="CT9" s="20"/>
      <c r="CU9" s="92"/>
      <c r="CV9" s="93"/>
      <c r="CW9" s="96"/>
      <c r="CX9" s="94"/>
      <c r="CY9" s="95"/>
      <c r="CZ9" s="17"/>
      <c r="DA9" s="17"/>
      <c r="DB9" s="17"/>
      <c r="DC9" s="20"/>
      <c r="DD9" s="92"/>
      <c r="DE9" s="93"/>
      <c r="DF9" s="92"/>
      <c r="DG9" s="94"/>
      <c r="DH9" s="95"/>
      <c r="DI9" s="17"/>
      <c r="DJ9" s="17"/>
      <c r="DK9" s="17"/>
      <c r="DL9" s="20"/>
      <c r="DM9" s="92"/>
      <c r="DN9" s="93"/>
      <c r="DO9" s="92"/>
      <c r="DP9" s="94"/>
      <c r="DQ9" s="95"/>
      <c r="DR9" s="17"/>
      <c r="DS9" s="17"/>
      <c r="DT9" s="17"/>
      <c r="DU9" s="20"/>
      <c r="DV9" s="92"/>
      <c r="DW9" s="93"/>
      <c r="DX9" s="92"/>
      <c r="DY9" s="94"/>
      <c r="DZ9" s="95"/>
      <c r="EA9" s="17"/>
      <c r="EB9" s="17"/>
      <c r="EC9" s="17"/>
      <c r="ED9" s="20"/>
      <c r="EE9" s="92"/>
      <c r="EF9" s="93"/>
      <c r="EG9" s="92"/>
      <c r="EH9" s="94"/>
      <c r="EI9" s="95"/>
      <c r="EJ9" s="17"/>
      <c r="EK9" s="17"/>
      <c r="EL9" s="17"/>
      <c r="EM9" s="20"/>
      <c r="EN9" s="92"/>
      <c r="EO9" s="93"/>
      <c r="EP9" s="92"/>
      <c r="EQ9" s="94"/>
      <c r="ER9" s="95"/>
      <c r="ES9" s="17"/>
      <c r="ET9" s="17"/>
      <c r="EU9" s="17"/>
      <c r="EV9" s="20"/>
      <c r="EW9" s="92"/>
      <c r="EX9" s="93"/>
      <c r="EY9" s="92"/>
      <c r="EZ9" s="94"/>
      <c r="FA9" s="95"/>
      <c r="FB9" s="17"/>
      <c r="FC9" s="17"/>
      <c r="FD9" s="17"/>
      <c r="FE9" s="20"/>
      <c r="FF9" s="92"/>
      <c r="FG9" s="93"/>
      <c r="FH9" s="92"/>
      <c r="FI9" s="94"/>
      <c r="FJ9" s="95"/>
      <c r="FK9" s="17"/>
      <c r="FL9" s="17"/>
      <c r="FM9" s="17"/>
      <c r="FN9" s="20"/>
      <c r="FO9" s="92"/>
      <c r="FP9" s="93"/>
      <c r="FQ9" s="92"/>
      <c r="FR9" s="94"/>
      <c r="FS9" s="95"/>
      <c r="FT9" s="17"/>
      <c r="FU9" s="17"/>
      <c r="FV9" s="17"/>
      <c r="FW9" s="20"/>
      <c r="FX9" s="92"/>
      <c r="FY9" s="93"/>
      <c r="FZ9" s="92"/>
      <c r="GA9" s="94"/>
      <c r="GB9" s="95"/>
      <c r="GC9" s="17"/>
      <c r="GD9" s="17"/>
      <c r="GE9" s="17"/>
      <c r="GF9" s="20"/>
      <c r="GG9" s="92"/>
      <c r="GH9" s="93"/>
      <c r="GI9" s="92"/>
      <c r="GJ9" s="94"/>
      <c r="GK9" s="95"/>
      <c r="GL9" s="17"/>
      <c r="GM9" s="17"/>
      <c r="GN9" s="17"/>
      <c r="GO9" s="20"/>
      <c r="GP9" s="92"/>
      <c r="GQ9" s="93"/>
      <c r="GR9" s="92"/>
      <c r="GS9" s="94"/>
      <c r="GT9" s="95"/>
      <c r="GU9" s="97">
        <v>42765</v>
      </c>
      <c r="GV9" s="98"/>
      <c r="GW9" s="65">
        <v>17584</v>
      </c>
      <c r="GX9" s="74" t="s">
        <v>50</v>
      </c>
      <c r="GY9" s="74"/>
      <c r="GZ9" s="167" t="s">
        <v>158</v>
      </c>
      <c r="HA9" s="86">
        <v>2784</v>
      </c>
    </row>
    <row r="10" spans="1:209" x14ac:dyDescent="0.25">
      <c r="C10" s="87"/>
      <c r="D10" s="35"/>
      <c r="E10" s="36"/>
      <c r="F10" s="37"/>
      <c r="G10" s="38"/>
      <c r="H10" s="39"/>
      <c r="I10" s="40"/>
      <c r="J10" s="68" t="s">
        <v>38</v>
      </c>
      <c r="K10" s="100" t="s">
        <v>39</v>
      </c>
      <c r="L10" s="100">
        <v>219</v>
      </c>
      <c r="M10" s="101">
        <v>19410</v>
      </c>
      <c r="N10" s="102">
        <v>42743</v>
      </c>
      <c r="O10" s="103" t="s">
        <v>82</v>
      </c>
      <c r="P10" s="104">
        <v>24130</v>
      </c>
      <c r="Q10" s="60">
        <f t="shared" si="1"/>
        <v>4720</v>
      </c>
      <c r="R10" s="29">
        <v>33</v>
      </c>
      <c r="S10" s="105"/>
      <c r="T10" s="106"/>
      <c r="U10" s="39">
        <f t="shared" si="0"/>
        <v>796290</v>
      </c>
      <c r="V10" s="107" t="s">
        <v>72</v>
      </c>
      <c r="W10" s="108">
        <v>42765</v>
      </c>
      <c r="X10" s="109">
        <v>15686.97</v>
      </c>
      <c r="Y10" s="17"/>
      <c r="Z10" s="20"/>
      <c r="AA10" s="92"/>
      <c r="AB10" s="93"/>
      <c r="AC10" s="92"/>
      <c r="AD10" s="94"/>
      <c r="AE10" s="95"/>
      <c r="AF10" s="17"/>
      <c r="AG10" s="17"/>
      <c r="AH10" s="17"/>
      <c r="AI10" s="20"/>
      <c r="AJ10" s="92"/>
      <c r="AK10" s="93"/>
      <c r="AL10" s="92"/>
      <c r="AM10" s="94"/>
      <c r="AN10" s="95"/>
      <c r="AO10" s="17"/>
      <c r="AP10" s="17"/>
      <c r="AQ10" s="17"/>
      <c r="AR10" s="20"/>
      <c r="AS10" s="92"/>
      <c r="AT10" s="93"/>
      <c r="AU10" s="92"/>
      <c r="AV10" s="94"/>
      <c r="AW10" s="95"/>
      <c r="AX10" s="17"/>
      <c r="AY10" s="17"/>
      <c r="AZ10" s="17"/>
      <c r="BA10" s="20"/>
      <c r="BB10" s="92"/>
      <c r="BC10" s="93"/>
      <c r="BD10" s="92"/>
      <c r="BE10" s="94"/>
      <c r="BF10" s="95"/>
      <c r="BG10" s="17"/>
      <c r="BH10" s="17"/>
      <c r="BI10" s="17"/>
      <c r="BJ10" s="20"/>
      <c r="BK10" s="92"/>
      <c r="BL10" s="93"/>
      <c r="BM10" s="92"/>
      <c r="BN10" s="94"/>
      <c r="BO10" s="95"/>
      <c r="BP10" s="17"/>
      <c r="BQ10" s="17"/>
      <c r="BR10" s="17"/>
      <c r="BS10" s="20"/>
      <c r="BT10" s="92"/>
      <c r="BU10" s="93"/>
      <c r="BV10" s="92"/>
      <c r="BW10" s="94"/>
      <c r="BX10" s="95"/>
      <c r="BY10" s="17"/>
      <c r="BZ10" s="17"/>
      <c r="CA10" s="17"/>
      <c r="CB10" s="20"/>
      <c r="CC10" s="92"/>
      <c r="CD10" s="93"/>
      <c r="CE10" s="92"/>
      <c r="CF10" s="94"/>
      <c r="CG10" s="95"/>
      <c r="CH10" s="17"/>
      <c r="CI10" s="17"/>
      <c r="CJ10" s="17"/>
      <c r="CK10" s="20"/>
      <c r="CL10" s="92"/>
      <c r="CM10" s="93"/>
      <c r="CN10" s="92"/>
      <c r="CO10" s="94"/>
      <c r="CP10" s="95"/>
      <c r="CQ10" s="17"/>
      <c r="CR10" s="17"/>
      <c r="CS10" s="17"/>
      <c r="CT10" s="20"/>
      <c r="CU10" s="92"/>
      <c r="CV10" s="93"/>
      <c r="CW10" s="96"/>
      <c r="CX10" s="94"/>
      <c r="CY10" s="95"/>
      <c r="CZ10" s="17"/>
      <c r="DA10" s="17"/>
      <c r="DB10" s="17"/>
      <c r="DC10" s="20"/>
      <c r="DD10" s="92"/>
      <c r="DE10" s="93"/>
      <c r="DF10" s="92"/>
      <c r="DG10" s="94"/>
      <c r="DH10" s="95"/>
      <c r="DI10" s="17"/>
      <c r="DJ10" s="17"/>
      <c r="DK10" s="17"/>
      <c r="DL10" s="20"/>
      <c r="DM10" s="92"/>
      <c r="DN10" s="93"/>
      <c r="DO10" s="92"/>
      <c r="DP10" s="94"/>
      <c r="DQ10" s="95"/>
      <c r="DR10" s="17"/>
      <c r="DS10" s="17"/>
      <c r="DT10" s="17"/>
      <c r="DU10" s="20"/>
      <c r="DV10" s="92"/>
      <c r="DW10" s="93"/>
      <c r="DX10" s="92"/>
      <c r="DY10" s="94"/>
      <c r="DZ10" s="95"/>
      <c r="EA10" s="17"/>
      <c r="EB10" s="17"/>
      <c r="EC10" s="17"/>
      <c r="ED10" s="20"/>
      <c r="EE10" s="92"/>
      <c r="EF10" s="93"/>
      <c r="EG10" s="92"/>
      <c r="EH10" s="94"/>
      <c r="EI10" s="95"/>
      <c r="EJ10" s="17"/>
      <c r="EK10" s="17"/>
      <c r="EL10" s="17"/>
      <c r="EM10" s="20"/>
      <c r="EN10" s="92"/>
      <c r="EO10" s="93"/>
      <c r="EP10" s="92"/>
      <c r="EQ10" s="94"/>
      <c r="ER10" s="95"/>
      <c r="ES10" s="17"/>
      <c r="ET10" s="17"/>
      <c r="EU10" s="17"/>
      <c r="EV10" s="20"/>
      <c r="EW10" s="92"/>
      <c r="EX10" s="93"/>
      <c r="EY10" s="92"/>
      <c r="EZ10" s="94"/>
      <c r="FA10" s="95"/>
      <c r="FB10" s="17"/>
      <c r="FC10" s="17"/>
      <c r="FD10" s="17"/>
      <c r="FE10" s="20"/>
      <c r="FF10" s="92"/>
      <c r="FG10" s="93"/>
      <c r="FH10" s="92"/>
      <c r="FI10" s="94"/>
      <c r="FJ10" s="95"/>
      <c r="FK10" s="17"/>
      <c r="FL10" s="17"/>
      <c r="FM10" s="17"/>
      <c r="FN10" s="20"/>
      <c r="FO10" s="92"/>
      <c r="FP10" s="93"/>
      <c r="FQ10" s="92"/>
      <c r="FR10" s="94"/>
      <c r="FS10" s="95"/>
      <c r="FT10" s="17"/>
      <c r="FU10" s="17"/>
      <c r="FV10" s="17"/>
      <c r="FW10" s="20"/>
      <c r="FX10" s="92"/>
      <c r="FY10" s="93"/>
      <c r="FZ10" s="92"/>
      <c r="GA10" s="94"/>
      <c r="GB10" s="95"/>
      <c r="GC10" s="17"/>
      <c r="GD10" s="17"/>
      <c r="GE10" s="17"/>
      <c r="GF10" s="20"/>
      <c r="GG10" s="92"/>
      <c r="GH10" s="93"/>
      <c r="GI10" s="92"/>
      <c r="GJ10" s="94"/>
      <c r="GK10" s="95"/>
      <c r="GL10" s="17"/>
      <c r="GM10" s="17"/>
      <c r="GN10" s="17"/>
      <c r="GO10" s="20"/>
      <c r="GP10" s="92"/>
      <c r="GQ10" s="93"/>
      <c r="GR10" s="92"/>
      <c r="GS10" s="94"/>
      <c r="GT10" s="95"/>
      <c r="GU10" s="97">
        <v>42765</v>
      </c>
      <c r="GV10" s="98"/>
      <c r="GW10" s="65"/>
      <c r="GX10" s="74"/>
      <c r="GY10" s="74"/>
      <c r="GZ10" s="167" t="s">
        <v>158</v>
      </c>
      <c r="HA10" s="86">
        <v>5104</v>
      </c>
    </row>
    <row r="11" spans="1:209" x14ac:dyDescent="0.25">
      <c r="C11" s="87"/>
      <c r="D11" s="35"/>
      <c r="E11" s="36"/>
      <c r="F11" s="37"/>
      <c r="G11" s="38"/>
      <c r="H11" s="39"/>
      <c r="I11" s="40"/>
      <c r="J11" s="68" t="s">
        <v>38</v>
      </c>
      <c r="K11" s="69" t="s">
        <v>40</v>
      </c>
      <c r="L11" s="69">
        <v>220</v>
      </c>
      <c r="M11" s="110">
        <v>18710</v>
      </c>
      <c r="N11" s="71">
        <v>42744</v>
      </c>
      <c r="O11" s="56" t="s">
        <v>86</v>
      </c>
      <c r="P11" s="72">
        <v>23360</v>
      </c>
      <c r="Q11" s="60">
        <f t="shared" si="1"/>
        <v>4650</v>
      </c>
      <c r="R11" s="64">
        <v>32.5</v>
      </c>
      <c r="S11" s="64"/>
      <c r="T11" s="111"/>
      <c r="U11" s="39">
        <f t="shared" si="0"/>
        <v>759200</v>
      </c>
      <c r="V11" s="90" t="s">
        <v>72</v>
      </c>
      <c r="W11" s="112">
        <v>42766</v>
      </c>
      <c r="X11" s="109">
        <v>15758.6</v>
      </c>
      <c r="Y11" s="17"/>
      <c r="Z11" s="20"/>
      <c r="AA11" s="92"/>
      <c r="AB11" s="93"/>
      <c r="AC11" s="92"/>
      <c r="AD11" s="94"/>
      <c r="AE11" s="95"/>
      <c r="AF11" s="17"/>
      <c r="AG11" s="17"/>
      <c r="AH11" s="17"/>
      <c r="AI11" s="20"/>
      <c r="AJ11" s="92"/>
      <c r="AK11" s="93"/>
      <c r="AL11" s="92"/>
      <c r="AM11" s="94"/>
      <c r="AN11" s="95"/>
      <c r="AO11" s="17"/>
      <c r="AP11" s="17"/>
      <c r="AQ11" s="17"/>
      <c r="AR11" s="20"/>
      <c r="AS11" s="92"/>
      <c r="AT11" s="93"/>
      <c r="AU11" s="92"/>
      <c r="AV11" s="94"/>
      <c r="AW11" s="95"/>
      <c r="AX11" s="17"/>
      <c r="AY11" s="17"/>
      <c r="AZ11" s="17"/>
      <c r="BA11" s="20"/>
      <c r="BB11" s="92"/>
      <c r="BC11" s="93"/>
      <c r="BD11" s="92"/>
      <c r="BE11" s="94"/>
      <c r="BF11" s="95"/>
      <c r="BG11" s="17"/>
      <c r="BH11" s="17"/>
      <c r="BI11" s="17"/>
      <c r="BJ11" s="20"/>
      <c r="BK11" s="92"/>
      <c r="BL11" s="93"/>
      <c r="BM11" s="92"/>
      <c r="BN11" s="94"/>
      <c r="BO11" s="95"/>
      <c r="BP11" s="17"/>
      <c r="BQ11" s="17"/>
      <c r="BR11" s="17"/>
      <c r="BS11" s="20"/>
      <c r="BT11" s="92"/>
      <c r="BU11" s="93"/>
      <c r="BV11" s="92"/>
      <c r="BW11" s="94"/>
      <c r="BX11" s="95"/>
      <c r="BY11" s="17"/>
      <c r="BZ11" s="17"/>
      <c r="CA11" s="17"/>
      <c r="CB11" s="20"/>
      <c r="CC11" s="92"/>
      <c r="CD11" s="93"/>
      <c r="CE11" s="92"/>
      <c r="CF11" s="94"/>
      <c r="CG11" s="95"/>
      <c r="CH11" s="17"/>
      <c r="CI11" s="17"/>
      <c r="CJ11" s="17"/>
      <c r="CK11" s="20"/>
      <c r="CL11" s="92"/>
      <c r="CM11" s="93"/>
      <c r="CN11" s="92"/>
      <c r="CO11" s="94"/>
      <c r="CP11" s="95"/>
      <c r="CQ11" s="17"/>
      <c r="CR11" s="17"/>
      <c r="CS11" s="17"/>
      <c r="CT11" s="20"/>
      <c r="CU11" s="92"/>
      <c r="CV11" s="93"/>
      <c r="CW11" s="96"/>
      <c r="CX11" s="94"/>
      <c r="CY11" s="95"/>
      <c r="CZ11" s="17"/>
      <c r="DA11" s="17"/>
      <c r="DB11" s="17"/>
      <c r="DC11" s="20"/>
      <c r="DD11" s="92"/>
      <c r="DE11" s="93"/>
      <c r="DF11" s="92"/>
      <c r="DG11" s="94"/>
      <c r="DH11" s="95"/>
      <c r="DI11" s="17"/>
      <c r="DJ11" s="17"/>
      <c r="DK11" s="17"/>
      <c r="DL11" s="20"/>
      <c r="DM11" s="92"/>
      <c r="DN11" s="93"/>
      <c r="DO11" s="92"/>
      <c r="DP11" s="94"/>
      <c r="DQ11" s="95"/>
      <c r="DR11" s="17"/>
      <c r="DS11" s="17"/>
      <c r="DT11" s="17"/>
      <c r="DU11" s="20"/>
      <c r="DV11" s="92"/>
      <c r="DW11" s="93"/>
      <c r="DX11" s="92"/>
      <c r="DY11" s="94"/>
      <c r="DZ11" s="95"/>
      <c r="EA11" s="17"/>
      <c r="EB11" s="17"/>
      <c r="EC11" s="17"/>
      <c r="ED11" s="20"/>
      <c r="EE11" s="92"/>
      <c r="EF11" s="93"/>
      <c r="EG11" s="92"/>
      <c r="EH11" s="94"/>
      <c r="EI11" s="95"/>
      <c r="EJ11" s="17"/>
      <c r="EK11" s="17"/>
      <c r="EL11" s="17"/>
      <c r="EM11" s="20"/>
      <c r="EN11" s="92"/>
      <c r="EO11" s="93"/>
      <c r="EP11" s="92"/>
      <c r="EQ11" s="94"/>
      <c r="ER11" s="95"/>
      <c r="ES11" s="17"/>
      <c r="ET11" s="17"/>
      <c r="EU11" s="17"/>
      <c r="EV11" s="20"/>
      <c r="EW11" s="92"/>
      <c r="EX11" s="93"/>
      <c r="EY11" s="92"/>
      <c r="EZ11" s="94"/>
      <c r="FA11" s="95"/>
      <c r="FB11" s="17"/>
      <c r="FC11" s="17"/>
      <c r="FD11" s="17"/>
      <c r="FE11" s="20"/>
      <c r="FF11" s="92"/>
      <c r="FG11" s="93"/>
      <c r="FH11" s="92"/>
      <c r="FI11" s="94"/>
      <c r="FJ11" s="95"/>
      <c r="FK11" s="17"/>
      <c r="FL11" s="17"/>
      <c r="FM11" s="17"/>
      <c r="FN11" s="20"/>
      <c r="FO11" s="92"/>
      <c r="FP11" s="93"/>
      <c r="FQ11" s="92"/>
      <c r="FR11" s="94"/>
      <c r="FS11" s="95"/>
      <c r="FT11" s="17"/>
      <c r="FU11" s="17"/>
      <c r="FV11" s="17"/>
      <c r="FW11" s="20"/>
      <c r="FX11" s="92"/>
      <c r="FY11" s="93"/>
      <c r="FZ11" s="92"/>
      <c r="GA11" s="94"/>
      <c r="GB11" s="95"/>
      <c r="GC11" s="17"/>
      <c r="GD11" s="17"/>
      <c r="GE11" s="17"/>
      <c r="GF11" s="20"/>
      <c r="GG11" s="92"/>
      <c r="GH11" s="93"/>
      <c r="GI11" s="92"/>
      <c r="GJ11" s="94"/>
      <c r="GK11" s="95"/>
      <c r="GL11" s="17"/>
      <c r="GM11" s="17"/>
      <c r="GN11" s="17"/>
      <c r="GO11" s="20"/>
      <c r="GP11" s="92"/>
      <c r="GQ11" s="93"/>
      <c r="GR11" s="92"/>
      <c r="GS11" s="94"/>
      <c r="GT11" s="95"/>
      <c r="GU11" s="97">
        <v>42766</v>
      </c>
      <c r="GV11" s="98"/>
      <c r="GW11" s="65">
        <v>22176</v>
      </c>
      <c r="GX11" s="74" t="s">
        <v>52</v>
      </c>
      <c r="GY11" s="74"/>
      <c r="GZ11" s="390" t="s">
        <v>158</v>
      </c>
      <c r="HA11" s="86">
        <v>5104</v>
      </c>
    </row>
    <row r="12" spans="1:209" x14ac:dyDescent="0.25">
      <c r="C12" s="87"/>
      <c r="D12" s="35"/>
      <c r="E12" s="36"/>
      <c r="F12" s="37"/>
      <c r="G12" s="38"/>
      <c r="H12" s="39"/>
      <c r="I12" s="40"/>
      <c r="J12" s="68" t="s">
        <v>33</v>
      </c>
      <c r="K12" s="69" t="s">
        <v>41</v>
      </c>
      <c r="L12" s="69">
        <v>250</v>
      </c>
      <c r="M12" s="110">
        <v>22830</v>
      </c>
      <c r="N12" s="71">
        <v>42745</v>
      </c>
      <c r="O12" s="380" t="s">
        <v>107</v>
      </c>
      <c r="P12" s="72">
        <v>28340</v>
      </c>
      <c r="Q12" s="113">
        <f t="shared" si="1"/>
        <v>5510</v>
      </c>
      <c r="R12" s="64">
        <v>32.5</v>
      </c>
      <c r="S12" s="64"/>
      <c r="T12" s="64"/>
      <c r="U12" s="39">
        <f t="shared" si="0"/>
        <v>921050</v>
      </c>
      <c r="V12" s="352" t="s">
        <v>72</v>
      </c>
      <c r="W12" s="353">
        <v>42767</v>
      </c>
      <c r="X12" s="354">
        <v>17907.349999999999</v>
      </c>
      <c r="Y12" s="355"/>
      <c r="Z12" s="356"/>
      <c r="AA12" s="357"/>
      <c r="AB12" s="358"/>
      <c r="AC12" s="357"/>
      <c r="AD12" s="359"/>
      <c r="AE12" s="360"/>
      <c r="AF12" s="355"/>
      <c r="AG12" s="355"/>
      <c r="AH12" s="355"/>
      <c r="AI12" s="356"/>
      <c r="AJ12" s="357"/>
      <c r="AK12" s="358"/>
      <c r="AL12" s="357"/>
      <c r="AM12" s="359"/>
      <c r="AN12" s="360"/>
      <c r="AO12" s="355"/>
      <c r="AP12" s="355"/>
      <c r="AQ12" s="355"/>
      <c r="AR12" s="356"/>
      <c r="AS12" s="357"/>
      <c r="AT12" s="358"/>
      <c r="AU12" s="357"/>
      <c r="AV12" s="359"/>
      <c r="AW12" s="360"/>
      <c r="AX12" s="355"/>
      <c r="AY12" s="355"/>
      <c r="AZ12" s="355"/>
      <c r="BA12" s="356"/>
      <c r="BB12" s="357"/>
      <c r="BC12" s="358"/>
      <c r="BD12" s="357"/>
      <c r="BE12" s="359"/>
      <c r="BF12" s="360"/>
      <c r="BG12" s="355"/>
      <c r="BH12" s="355"/>
      <c r="BI12" s="355"/>
      <c r="BJ12" s="356"/>
      <c r="BK12" s="357"/>
      <c r="BL12" s="358"/>
      <c r="BM12" s="357"/>
      <c r="BN12" s="359"/>
      <c r="BO12" s="360"/>
      <c r="BP12" s="355"/>
      <c r="BQ12" s="355"/>
      <c r="BR12" s="355"/>
      <c r="BS12" s="356"/>
      <c r="BT12" s="357"/>
      <c r="BU12" s="358"/>
      <c r="BV12" s="357"/>
      <c r="BW12" s="359"/>
      <c r="BX12" s="360"/>
      <c r="BY12" s="355"/>
      <c r="BZ12" s="355"/>
      <c r="CA12" s="355"/>
      <c r="CB12" s="356"/>
      <c r="CC12" s="357"/>
      <c r="CD12" s="358"/>
      <c r="CE12" s="357"/>
      <c r="CF12" s="359"/>
      <c r="CG12" s="360"/>
      <c r="CH12" s="355"/>
      <c r="CI12" s="355"/>
      <c r="CJ12" s="355"/>
      <c r="CK12" s="356"/>
      <c r="CL12" s="357"/>
      <c r="CM12" s="358"/>
      <c r="CN12" s="357"/>
      <c r="CO12" s="359"/>
      <c r="CP12" s="360"/>
      <c r="CQ12" s="355"/>
      <c r="CR12" s="355"/>
      <c r="CS12" s="355"/>
      <c r="CT12" s="356"/>
      <c r="CU12" s="357"/>
      <c r="CV12" s="358"/>
      <c r="CW12" s="361"/>
      <c r="CX12" s="359"/>
      <c r="CY12" s="360"/>
      <c r="CZ12" s="355"/>
      <c r="DA12" s="355"/>
      <c r="DB12" s="355"/>
      <c r="DC12" s="356"/>
      <c r="DD12" s="357"/>
      <c r="DE12" s="358"/>
      <c r="DF12" s="357"/>
      <c r="DG12" s="359"/>
      <c r="DH12" s="360"/>
      <c r="DI12" s="355"/>
      <c r="DJ12" s="355"/>
      <c r="DK12" s="355"/>
      <c r="DL12" s="356"/>
      <c r="DM12" s="357"/>
      <c r="DN12" s="358"/>
      <c r="DO12" s="357"/>
      <c r="DP12" s="359"/>
      <c r="DQ12" s="360"/>
      <c r="DR12" s="355"/>
      <c r="DS12" s="355"/>
      <c r="DT12" s="355"/>
      <c r="DU12" s="356"/>
      <c r="DV12" s="357"/>
      <c r="DW12" s="358"/>
      <c r="DX12" s="357"/>
      <c r="DY12" s="359"/>
      <c r="DZ12" s="360"/>
      <c r="EA12" s="355"/>
      <c r="EB12" s="355"/>
      <c r="EC12" s="355"/>
      <c r="ED12" s="356"/>
      <c r="EE12" s="357"/>
      <c r="EF12" s="358"/>
      <c r="EG12" s="357"/>
      <c r="EH12" s="359"/>
      <c r="EI12" s="360"/>
      <c r="EJ12" s="355"/>
      <c r="EK12" s="355"/>
      <c r="EL12" s="355"/>
      <c r="EM12" s="356"/>
      <c r="EN12" s="357"/>
      <c r="EO12" s="358"/>
      <c r="EP12" s="357"/>
      <c r="EQ12" s="359"/>
      <c r="ER12" s="360"/>
      <c r="ES12" s="355"/>
      <c r="ET12" s="355"/>
      <c r="EU12" s="355"/>
      <c r="EV12" s="356"/>
      <c r="EW12" s="357"/>
      <c r="EX12" s="358"/>
      <c r="EY12" s="357"/>
      <c r="EZ12" s="359"/>
      <c r="FA12" s="360"/>
      <c r="FB12" s="355"/>
      <c r="FC12" s="355"/>
      <c r="FD12" s="355"/>
      <c r="FE12" s="356"/>
      <c r="FF12" s="357"/>
      <c r="FG12" s="358"/>
      <c r="FH12" s="357"/>
      <c r="FI12" s="359"/>
      <c r="FJ12" s="360"/>
      <c r="FK12" s="355"/>
      <c r="FL12" s="355"/>
      <c r="FM12" s="355"/>
      <c r="FN12" s="356"/>
      <c r="FO12" s="357"/>
      <c r="FP12" s="358"/>
      <c r="FQ12" s="357"/>
      <c r="FR12" s="359"/>
      <c r="FS12" s="360"/>
      <c r="FT12" s="355"/>
      <c r="FU12" s="355"/>
      <c r="FV12" s="355"/>
      <c r="FW12" s="356"/>
      <c r="FX12" s="357"/>
      <c r="FY12" s="358"/>
      <c r="FZ12" s="357"/>
      <c r="GA12" s="359"/>
      <c r="GB12" s="360"/>
      <c r="GC12" s="355"/>
      <c r="GD12" s="355"/>
      <c r="GE12" s="355"/>
      <c r="GF12" s="356"/>
      <c r="GG12" s="357"/>
      <c r="GH12" s="358"/>
      <c r="GI12" s="357"/>
      <c r="GJ12" s="359"/>
      <c r="GK12" s="360"/>
      <c r="GL12" s="355"/>
      <c r="GM12" s="355"/>
      <c r="GN12" s="355"/>
      <c r="GO12" s="356"/>
      <c r="GP12" s="357"/>
      <c r="GQ12" s="358"/>
      <c r="GR12" s="357"/>
      <c r="GS12" s="359"/>
      <c r="GT12" s="360"/>
      <c r="GU12" s="362">
        <v>42767</v>
      </c>
      <c r="GV12" s="114"/>
      <c r="GW12" s="65"/>
      <c r="GX12" s="74"/>
      <c r="GY12" s="74"/>
      <c r="GZ12" s="167" t="s">
        <v>158</v>
      </c>
      <c r="HA12" s="86">
        <v>5104</v>
      </c>
    </row>
    <row r="13" spans="1:209" x14ac:dyDescent="0.25">
      <c r="C13" s="87"/>
      <c r="D13" s="35"/>
      <c r="E13" s="36"/>
      <c r="F13" s="37"/>
      <c r="G13" s="38"/>
      <c r="H13" s="39"/>
      <c r="I13" s="40"/>
      <c r="J13" s="68" t="s">
        <v>42</v>
      </c>
      <c r="K13" s="69" t="s">
        <v>41</v>
      </c>
      <c r="L13" s="69">
        <v>250</v>
      </c>
      <c r="M13" s="110">
        <v>21030</v>
      </c>
      <c r="N13" s="71">
        <v>42746</v>
      </c>
      <c r="O13" s="380" t="s">
        <v>115</v>
      </c>
      <c r="P13" s="72">
        <v>26465</v>
      </c>
      <c r="Q13" s="113">
        <f t="shared" si="1"/>
        <v>5435</v>
      </c>
      <c r="R13" s="64">
        <v>32.5</v>
      </c>
      <c r="S13" s="64"/>
      <c r="T13" s="64"/>
      <c r="U13" s="39">
        <f t="shared" si="0"/>
        <v>860112.5</v>
      </c>
      <c r="V13" s="352" t="s">
        <v>72</v>
      </c>
      <c r="W13" s="353">
        <v>42769</v>
      </c>
      <c r="X13" s="354">
        <v>17907.5</v>
      </c>
      <c r="Y13" s="355"/>
      <c r="Z13" s="356"/>
      <c r="AA13" s="357"/>
      <c r="AB13" s="358"/>
      <c r="AC13" s="357"/>
      <c r="AD13" s="359"/>
      <c r="AE13" s="360"/>
      <c r="AF13" s="355"/>
      <c r="AG13" s="355"/>
      <c r="AH13" s="355"/>
      <c r="AI13" s="356"/>
      <c r="AJ13" s="357"/>
      <c r="AK13" s="358"/>
      <c r="AL13" s="357"/>
      <c r="AM13" s="359"/>
      <c r="AN13" s="360"/>
      <c r="AO13" s="355"/>
      <c r="AP13" s="355"/>
      <c r="AQ13" s="355"/>
      <c r="AR13" s="356"/>
      <c r="AS13" s="357"/>
      <c r="AT13" s="358"/>
      <c r="AU13" s="357"/>
      <c r="AV13" s="359"/>
      <c r="AW13" s="360"/>
      <c r="AX13" s="355"/>
      <c r="AY13" s="355"/>
      <c r="AZ13" s="355"/>
      <c r="BA13" s="356"/>
      <c r="BB13" s="357"/>
      <c r="BC13" s="358"/>
      <c r="BD13" s="357"/>
      <c r="BE13" s="359"/>
      <c r="BF13" s="360"/>
      <c r="BG13" s="355"/>
      <c r="BH13" s="355"/>
      <c r="BI13" s="355"/>
      <c r="BJ13" s="356"/>
      <c r="BK13" s="357"/>
      <c r="BL13" s="358"/>
      <c r="BM13" s="357"/>
      <c r="BN13" s="359"/>
      <c r="BO13" s="360"/>
      <c r="BP13" s="355"/>
      <c r="BQ13" s="355"/>
      <c r="BR13" s="355"/>
      <c r="BS13" s="356"/>
      <c r="BT13" s="357"/>
      <c r="BU13" s="358"/>
      <c r="BV13" s="357"/>
      <c r="BW13" s="359"/>
      <c r="BX13" s="360"/>
      <c r="BY13" s="355"/>
      <c r="BZ13" s="355"/>
      <c r="CA13" s="355"/>
      <c r="CB13" s="356"/>
      <c r="CC13" s="357"/>
      <c r="CD13" s="358"/>
      <c r="CE13" s="357"/>
      <c r="CF13" s="359"/>
      <c r="CG13" s="360"/>
      <c r="CH13" s="355"/>
      <c r="CI13" s="355"/>
      <c r="CJ13" s="355"/>
      <c r="CK13" s="356"/>
      <c r="CL13" s="357"/>
      <c r="CM13" s="358"/>
      <c r="CN13" s="357"/>
      <c r="CO13" s="359"/>
      <c r="CP13" s="360"/>
      <c r="CQ13" s="355"/>
      <c r="CR13" s="355"/>
      <c r="CS13" s="355"/>
      <c r="CT13" s="356"/>
      <c r="CU13" s="357"/>
      <c r="CV13" s="358"/>
      <c r="CW13" s="361"/>
      <c r="CX13" s="359"/>
      <c r="CY13" s="360"/>
      <c r="CZ13" s="355"/>
      <c r="DA13" s="355"/>
      <c r="DB13" s="355"/>
      <c r="DC13" s="356"/>
      <c r="DD13" s="357"/>
      <c r="DE13" s="358"/>
      <c r="DF13" s="357"/>
      <c r="DG13" s="359"/>
      <c r="DH13" s="360"/>
      <c r="DI13" s="355"/>
      <c r="DJ13" s="355"/>
      <c r="DK13" s="355"/>
      <c r="DL13" s="356"/>
      <c r="DM13" s="357"/>
      <c r="DN13" s="358"/>
      <c r="DO13" s="357"/>
      <c r="DP13" s="359"/>
      <c r="DQ13" s="360"/>
      <c r="DR13" s="355"/>
      <c r="DS13" s="355"/>
      <c r="DT13" s="355"/>
      <c r="DU13" s="356"/>
      <c r="DV13" s="357"/>
      <c r="DW13" s="358"/>
      <c r="DX13" s="357"/>
      <c r="DY13" s="359"/>
      <c r="DZ13" s="360"/>
      <c r="EA13" s="355"/>
      <c r="EB13" s="355"/>
      <c r="EC13" s="355"/>
      <c r="ED13" s="356"/>
      <c r="EE13" s="357"/>
      <c r="EF13" s="358"/>
      <c r="EG13" s="357"/>
      <c r="EH13" s="359"/>
      <c r="EI13" s="360"/>
      <c r="EJ13" s="355"/>
      <c r="EK13" s="355"/>
      <c r="EL13" s="355"/>
      <c r="EM13" s="356"/>
      <c r="EN13" s="357"/>
      <c r="EO13" s="358"/>
      <c r="EP13" s="357"/>
      <c r="EQ13" s="359"/>
      <c r="ER13" s="360"/>
      <c r="ES13" s="355"/>
      <c r="ET13" s="355"/>
      <c r="EU13" s="355"/>
      <c r="EV13" s="356"/>
      <c r="EW13" s="357"/>
      <c r="EX13" s="358"/>
      <c r="EY13" s="357"/>
      <c r="EZ13" s="359"/>
      <c r="FA13" s="360"/>
      <c r="FB13" s="355"/>
      <c r="FC13" s="355"/>
      <c r="FD13" s="355"/>
      <c r="FE13" s="356"/>
      <c r="FF13" s="357"/>
      <c r="FG13" s="358"/>
      <c r="FH13" s="357"/>
      <c r="FI13" s="359"/>
      <c r="FJ13" s="360"/>
      <c r="FK13" s="355"/>
      <c r="FL13" s="355"/>
      <c r="FM13" s="355"/>
      <c r="FN13" s="356"/>
      <c r="FO13" s="357"/>
      <c r="FP13" s="358"/>
      <c r="FQ13" s="357"/>
      <c r="FR13" s="359"/>
      <c r="FS13" s="360"/>
      <c r="FT13" s="355"/>
      <c r="FU13" s="355"/>
      <c r="FV13" s="355"/>
      <c r="FW13" s="356"/>
      <c r="FX13" s="357"/>
      <c r="FY13" s="358"/>
      <c r="FZ13" s="357"/>
      <c r="GA13" s="359"/>
      <c r="GB13" s="360"/>
      <c r="GC13" s="355"/>
      <c r="GD13" s="355"/>
      <c r="GE13" s="355"/>
      <c r="GF13" s="356"/>
      <c r="GG13" s="357"/>
      <c r="GH13" s="358"/>
      <c r="GI13" s="357"/>
      <c r="GJ13" s="359"/>
      <c r="GK13" s="360"/>
      <c r="GL13" s="355"/>
      <c r="GM13" s="355"/>
      <c r="GN13" s="355"/>
      <c r="GO13" s="356"/>
      <c r="GP13" s="357"/>
      <c r="GQ13" s="358"/>
      <c r="GR13" s="357"/>
      <c r="GS13" s="359"/>
      <c r="GT13" s="360"/>
      <c r="GU13" s="362">
        <v>42769</v>
      </c>
      <c r="GV13" s="98"/>
      <c r="GW13" s="65">
        <v>22176</v>
      </c>
      <c r="GX13" s="74" t="s">
        <v>53</v>
      </c>
      <c r="GY13" s="74"/>
      <c r="GZ13" s="167" t="s">
        <v>158</v>
      </c>
      <c r="HA13" s="86">
        <v>5104</v>
      </c>
    </row>
    <row r="14" spans="1:209" x14ac:dyDescent="0.25">
      <c r="C14" s="87"/>
      <c r="D14" s="35"/>
      <c r="E14" s="36"/>
      <c r="F14" s="37"/>
      <c r="G14" s="38"/>
      <c r="H14" s="39"/>
      <c r="I14" s="40"/>
      <c r="J14" s="68" t="s">
        <v>68</v>
      </c>
      <c r="K14" s="69" t="s">
        <v>117</v>
      </c>
      <c r="L14" s="69">
        <v>231</v>
      </c>
      <c r="M14" s="70">
        <v>17790</v>
      </c>
      <c r="N14" s="71">
        <v>42747</v>
      </c>
      <c r="O14" s="380" t="s">
        <v>116</v>
      </c>
      <c r="P14" s="72">
        <v>25885</v>
      </c>
      <c r="Q14" s="113">
        <f t="shared" si="1"/>
        <v>8095</v>
      </c>
      <c r="R14" s="64">
        <v>32.5</v>
      </c>
      <c r="S14" s="64"/>
      <c r="T14" s="64"/>
      <c r="U14" s="39">
        <f t="shared" si="0"/>
        <v>841262.5</v>
      </c>
      <c r="V14" s="363" t="s">
        <v>72</v>
      </c>
      <c r="W14" s="353">
        <v>42773</v>
      </c>
      <c r="X14" s="364">
        <v>16546.53</v>
      </c>
      <c r="Y14" s="355"/>
      <c r="Z14" s="356"/>
      <c r="AA14" s="357"/>
      <c r="AB14" s="358"/>
      <c r="AC14" s="357"/>
      <c r="AD14" s="359"/>
      <c r="AE14" s="360"/>
      <c r="AF14" s="355"/>
      <c r="AG14" s="355"/>
      <c r="AH14" s="355"/>
      <c r="AI14" s="356"/>
      <c r="AJ14" s="357"/>
      <c r="AK14" s="358"/>
      <c r="AL14" s="357"/>
      <c r="AM14" s="359"/>
      <c r="AN14" s="360"/>
      <c r="AO14" s="355"/>
      <c r="AP14" s="355"/>
      <c r="AQ14" s="355"/>
      <c r="AR14" s="356"/>
      <c r="AS14" s="357"/>
      <c r="AT14" s="358"/>
      <c r="AU14" s="357"/>
      <c r="AV14" s="359"/>
      <c r="AW14" s="360"/>
      <c r="AX14" s="355"/>
      <c r="AY14" s="355"/>
      <c r="AZ14" s="355"/>
      <c r="BA14" s="356"/>
      <c r="BB14" s="357"/>
      <c r="BC14" s="358"/>
      <c r="BD14" s="357"/>
      <c r="BE14" s="359"/>
      <c r="BF14" s="360"/>
      <c r="BG14" s="355"/>
      <c r="BH14" s="355"/>
      <c r="BI14" s="355"/>
      <c r="BJ14" s="356"/>
      <c r="BK14" s="357"/>
      <c r="BL14" s="358"/>
      <c r="BM14" s="357"/>
      <c r="BN14" s="359"/>
      <c r="BO14" s="360"/>
      <c r="BP14" s="355"/>
      <c r="BQ14" s="355"/>
      <c r="BR14" s="355"/>
      <c r="BS14" s="356"/>
      <c r="BT14" s="357"/>
      <c r="BU14" s="358"/>
      <c r="BV14" s="357"/>
      <c r="BW14" s="359"/>
      <c r="BX14" s="360"/>
      <c r="BY14" s="355"/>
      <c r="BZ14" s="355"/>
      <c r="CA14" s="355"/>
      <c r="CB14" s="356"/>
      <c r="CC14" s="357"/>
      <c r="CD14" s="358"/>
      <c r="CE14" s="357"/>
      <c r="CF14" s="359"/>
      <c r="CG14" s="360"/>
      <c r="CH14" s="355"/>
      <c r="CI14" s="355"/>
      <c r="CJ14" s="355"/>
      <c r="CK14" s="356"/>
      <c r="CL14" s="357"/>
      <c r="CM14" s="358"/>
      <c r="CN14" s="357"/>
      <c r="CO14" s="359"/>
      <c r="CP14" s="360"/>
      <c r="CQ14" s="355"/>
      <c r="CR14" s="355"/>
      <c r="CS14" s="355"/>
      <c r="CT14" s="356"/>
      <c r="CU14" s="357"/>
      <c r="CV14" s="358"/>
      <c r="CW14" s="361"/>
      <c r="CX14" s="359"/>
      <c r="CY14" s="360"/>
      <c r="CZ14" s="355"/>
      <c r="DA14" s="355"/>
      <c r="DB14" s="355"/>
      <c r="DC14" s="356"/>
      <c r="DD14" s="357"/>
      <c r="DE14" s="358"/>
      <c r="DF14" s="357"/>
      <c r="DG14" s="359"/>
      <c r="DH14" s="360"/>
      <c r="DI14" s="355"/>
      <c r="DJ14" s="355"/>
      <c r="DK14" s="355"/>
      <c r="DL14" s="356"/>
      <c r="DM14" s="357"/>
      <c r="DN14" s="358"/>
      <c r="DO14" s="357"/>
      <c r="DP14" s="359"/>
      <c r="DQ14" s="360"/>
      <c r="DR14" s="355"/>
      <c r="DS14" s="355"/>
      <c r="DT14" s="355"/>
      <c r="DU14" s="356"/>
      <c r="DV14" s="357"/>
      <c r="DW14" s="358"/>
      <c r="DX14" s="357"/>
      <c r="DY14" s="359"/>
      <c r="DZ14" s="360"/>
      <c r="EA14" s="355"/>
      <c r="EB14" s="355"/>
      <c r="EC14" s="355"/>
      <c r="ED14" s="356"/>
      <c r="EE14" s="357"/>
      <c r="EF14" s="358"/>
      <c r="EG14" s="357"/>
      <c r="EH14" s="359"/>
      <c r="EI14" s="360"/>
      <c r="EJ14" s="355"/>
      <c r="EK14" s="355"/>
      <c r="EL14" s="355"/>
      <c r="EM14" s="356"/>
      <c r="EN14" s="357"/>
      <c r="EO14" s="358"/>
      <c r="EP14" s="357"/>
      <c r="EQ14" s="359"/>
      <c r="ER14" s="360"/>
      <c r="ES14" s="355"/>
      <c r="ET14" s="355"/>
      <c r="EU14" s="355"/>
      <c r="EV14" s="356"/>
      <c r="EW14" s="357"/>
      <c r="EX14" s="358"/>
      <c r="EY14" s="357"/>
      <c r="EZ14" s="359"/>
      <c r="FA14" s="360"/>
      <c r="FB14" s="355"/>
      <c r="FC14" s="355"/>
      <c r="FD14" s="355"/>
      <c r="FE14" s="356"/>
      <c r="FF14" s="357"/>
      <c r="FG14" s="358"/>
      <c r="FH14" s="357"/>
      <c r="FI14" s="359"/>
      <c r="FJ14" s="360"/>
      <c r="FK14" s="355"/>
      <c r="FL14" s="355"/>
      <c r="FM14" s="355"/>
      <c r="FN14" s="356"/>
      <c r="FO14" s="357"/>
      <c r="FP14" s="358"/>
      <c r="FQ14" s="357"/>
      <c r="FR14" s="359"/>
      <c r="FS14" s="360"/>
      <c r="FT14" s="355"/>
      <c r="FU14" s="355"/>
      <c r="FV14" s="355"/>
      <c r="FW14" s="356"/>
      <c r="FX14" s="357"/>
      <c r="FY14" s="358"/>
      <c r="FZ14" s="357"/>
      <c r="GA14" s="359"/>
      <c r="GB14" s="360"/>
      <c r="GC14" s="355"/>
      <c r="GD14" s="355"/>
      <c r="GE14" s="355"/>
      <c r="GF14" s="356"/>
      <c r="GG14" s="357"/>
      <c r="GH14" s="358"/>
      <c r="GI14" s="357"/>
      <c r="GJ14" s="359"/>
      <c r="GK14" s="360"/>
      <c r="GL14" s="355"/>
      <c r="GM14" s="355"/>
      <c r="GN14" s="355"/>
      <c r="GO14" s="356"/>
      <c r="GP14" s="357"/>
      <c r="GQ14" s="358"/>
      <c r="GR14" s="357"/>
      <c r="GS14" s="359"/>
      <c r="GT14" s="360"/>
      <c r="GU14" s="362">
        <v>42773</v>
      </c>
      <c r="GV14" s="98"/>
      <c r="GW14" s="65"/>
      <c r="GX14" s="74"/>
      <c r="GY14" s="74"/>
      <c r="GZ14" s="167" t="s">
        <v>158</v>
      </c>
      <c r="HA14" s="86">
        <v>5104</v>
      </c>
    </row>
    <row r="15" spans="1:209" x14ac:dyDescent="0.25">
      <c r="C15" s="87"/>
      <c r="D15" s="35"/>
      <c r="E15" s="36"/>
      <c r="F15" s="37"/>
      <c r="G15" s="38"/>
      <c r="H15" s="39"/>
      <c r="I15" s="40"/>
      <c r="J15" s="68" t="s">
        <v>109</v>
      </c>
      <c r="K15" s="69" t="s">
        <v>46</v>
      </c>
      <c r="L15" s="69">
        <v>100</v>
      </c>
      <c r="M15" s="70">
        <v>11630</v>
      </c>
      <c r="N15" s="71">
        <v>42747</v>
      </c>
      <c r="O15" s="380" t="s">
        <v>108</v>
      </c>
      <c r="P15" s="72">
        <v>10980</v>
      </c>
      <c r="Q15" s="113">
        <f t="shared" si="1"/>
        <v>-650</v>
      </c>
      <c r="R15" s="64">
        <v>32.5</v>
      </c>
      <c r="S15" s="64"/>
      <c r="T15" s="64"/>
      <c r="U15" s="39">
        <f t="shared" si="0"/>
        <v>356850</v>
      </c>
      <c r="V15" s="363" t="s">
        <v>72</v>
      </c>
      <c r="W15" s="353">
        <v>42768</v>
      </c>
      <c r="X15" s="364">
        <v>7163</v>
      </c>
      <c r="Y15" s="355"/>
      <c r="Z15" s="356"/>
      <c r="AA15" s="357"/>
      <c r="AB15" s="358"/>
      <c r="AC15" s="357"/>
      <c r="AD15" s="359"/>
      <c r="AE15" s="360"/>
      <c r="AF15" s="355"/>
      <c r="AG15" s="355"/>
      <c r="AH15" s="355"/>
      <c r="AI15" s="356"/>
      <c r="AJ15" s="357"/>
      <c r="AK15" s="358"/>
      <c r="AL15" s="357"/>
      <c r="AM15" s="359"/>
      <c r="AN15" s="360"/>
      <c r="AO15" s="355"/>
      <c r="AP15" s="355"/>
      <c r="AQ15" s="355"/>
      <c r="AR15" s="356"/>
      <c r="AS15" s="357"/>
      <c r="AT15" s="358"/>
      <c r="AU15" s="357"/>
      <c r="AV15" s="359"/>
      <c r="AW15" s="360"/>
      <c r="AX15" s="355"/>
      <c r="AY15" s="355"/>
      <c r="AZ15" s="355"/>
      <c r="BA15" s="356"/>
      <c r="BB15" s="357"/>
      <c r="BC15" s="358"/>
      <c r="BD15" s="357"/>
      <c r="BE15" s="359"/>
      <c r="BF15" s="360"/>
      <c r="BG15" s="355"/>
      <c r="BH15" s="355"/>
      <c r="BI15" s="355"/>
      <c r="BJ15" s="356"/>
      <c r="BK15" s="357"/>
      <c r="BL15" s="358"/>
      <c r="BM15" s="357"/>
      <c r="BN15" s="359"/>
      <c r="BO15" s="360"/>
      <c r="BP15" s="355"/>
      <c r="BQ15" s="355"/>
      <c r="BR15" s="355"/>
      <c r="BS15" s="356"/>
      <c r="BT15" s="357"/>
      <c r="BU15" s="358"/>
      <c r="BV15" s="357"/>
      <c r="BW15" s="359"/>
      <c r="BX15" s="360"/>
      <c r="BY15" s="355"/>
      <c r="BZ15" s="355"/>
      <c r="CA15" s="355"/>
      <c r="CB15" s="356"/>
      <c r="CC15" s="357"/>
      <c r="CD15" s="358"/>
      <c r="CE15" s="357"/>
      <c r="CF15" s="359"/>
      <c r="CG15" s="360"/>
      <c r="CH15" s="355"/>
      <c r="CI15" s="355"/>
      <c r="CJ15" s="355"/>
      <c r="CK15" s="356"/>
      <c r="CL15" s="357"/>
      <c r="CM15" s="358"/>
      <c r="CN15" s="357"/>
      <c r="CO15" s="359"/>
      <c r="CP15" s="360"/>
      <c r="CQ15" s="355"/>
      <c r="CR15" s="355"/>
      <c r="CS15" s="355"/>
      <c r="CT15" s="356"/>
      <c r="CU15" s="357"/>
      <c r="CV15" s="358"/>
      <c r="CW15" s="361"/>
      <c r="CX15" s="359"/>
      <c r="CY15" s="360"/>
      <c r="CZ15" s="355"/>
      <c r="DA15" s="355"/>
      <c r="DB15" s="355"/>
      <c r="DC15" s="356"/>
      <c r="DD15" s="357"/>
      <c r="DE15" s="358"/>
      <c r="DF15" s="357"/>
      <c r="DG15" s="359"/>
      <c r="DH15" s="360"/>
      <c r="DI15" s="355"/>
      <c r="DJ15" s="355"/>
      <c r="DK15" s="355"/>
      <c r="DL15" s="356"/>
      <c r="DM15" s="357"/>
      <c r="DN15" s="358"/>
      <c r="DO15" s="357"/>
      <c r="DP15" s="359"/>
      <c r="DQ15" s="360"/>
      <c r="DR15" s="355"/>
      <c r="DS15" s="355"/>
      <c r="DT15" s="355"/>
      <c r="DU15" s="356"/>
      <c r="DV15" s="357"/>
      <c r="DW15" s="358"/>
      <c r="DX15" s="357"/>
      <c r="DY15" s="359"/>
      <c r="DZ15" s="360"/>
      <c r="EA15" s="355"/>
      <c r="EB15" s="355"/>
      <c r="EC15" s="355"/>
      <c r="ED15" s="356"/>
      <c r="EE15" s="357"/>
      <c r="EF15" s="358"/>
      <c r="EG15" s="357"/>
      <c r="EH15" s="359"/>
      <c r="EI15" s="360"/>
      <c r="EJ15" s="355"/>
      <c r="EK15" s="355"/>
      <c r="EL15" s="355"/>
      <c r="EM15" s="356"/>
      <c r="EN15" s="357"/>
      <c r="EO15" s="358"/>
      <c r="EP15" s="357"/>
      <c r="EQ15" s="359"/>
      <c r="ER15" s="360"/>
      <c r="ES15" s="355"/>
      <c r="ET15" s="355"/>
      <c r="EU15" s="355"/>
      <c r="EV15" s="356"/>
      <c r="EW15" s="357"/>
      <c r="EX15" s="358"/>
      <c r="EY15" s="357"/>
      <c r="EZ15" s="359"/>
      <c r="FA15" s="360"/>
      <c r="FB15" s="355"/>
      <c r="FC15" s="355"/>
      <c r="FD15" s="355"/>
      <c r="FE15" s="356"/>
      <c r="FF15" s="357"/>
      <c r="FG15" s="358"/>
      <c r="FH15" s="357"/>
      <c r="FI15" s="359"/>
      <c r="FJ15" s="360"/>
      <c r="FK15" s="355"/>
      <c r="FL15" s="355"/>
      <c r="FM15" s="355"/>
      <c r="FN15" s="356"/>
      <c r="FO15" s="357"/>
      <c r="FP15" s="358"/>
      <c r="FQ15" s="357"/>
      <c r="FR15" s="359"/>
      <c r="FS15" s="360"/>
      <c r="FT15" s="355"/>
      <c r="FU15" s="355"/>
      <c r="FV15" s="355"/>
      <c r="FW15" s="356"/>
      <c r="FX15" s="357"/>
      <c r="FY15" s="358"/>
      <c r="FZ15" s="357"/>
      <c r="GA15" s="359"/>
      <c r="GB15" s="360"/>
      <c r="GC15" s="355"/>
      <c r="GD15" s="355"/>
      <c r="GE15" s="355"/>
      <c r="GF15" s="356"/>
      <c r="GG15" s="357"/>
      <c r="GH15" s="358"/>
      <c r="GI15" s="357"/>
      <c r="GJ15" s="359"/>
      <c r="GK15" s="360"/>
      <c r="GL15" s="355"/>
      <c r="GM15" s="355"/>
      <c r="GN15" s="355"/>
      <c r="GO15" s="356"/>
      <c r="GP15" s="357"/>
      <c r="GQ15" s="358"/>
      <c r="GR15" s="357"/>
      <c r="GS15" s="359"/>
      <c r="GT15" s="360"/>
      <c r="GU15" s="362">
        <v>42768</v>
      </c>
      <c r="GV15" s="98"/>
      <c r="GW15" s="84">
        <v>17584</v>
      </c>
      <c r="GX15" s="74" t="s">
        <v>54</v>
      </c>
      <c r="GY15" s="74"/>
      <c r="GZ15" s="390" t="s">
        <v>158</v>
      </c>
      <c r="HA15" s="86">
        <v>2784</v>
      </c>
    </row>
    <row r="16" spans="1:209" ht="33.75" customHeight="1" x14ac:dyDescent="0.25">
      <c r="C16" s="87"/>
      <c r="D16" s="35"/>
      <c r="E16" s="36"/>
      <c r="F16" s="37"/>
      <c r="G16" s="38"/>
      <c r="H16" s="39"/>
      <c r="I16" s="40"/>
      <c r="J16" s="68" t="s">
        <v>123</v>
      </c>
      <c r="K16" s="69" t="s">
        <v>124</v>
      </c>
      <c r="L16" s="69">
        <v>228</v>
      </c>
      <c r="M16" s="70">
        <v>19030</v>
      </c>
      <c r="N16" s="71">
        <v>42748</v>
      </c>
      <c r="O16" s="380" t="s">
        <v>122</v>
      </c>
      <c r="P16" s="72">
        <v>26730</v>
      </c>
      <c r="Q16" s="113">
        <f t="shared" si="1"/>
        <v>7700</v>
      </c>
      <c r="R16" s="64">
        <v>32.5</v>
      </c>
      <c r="S16" s="889" t="s">
        <v>125</v>
      </c>
      <c r="T16" s="890"/>
      <c r="U16" s="39">
        <f t="shared" si="0"/>
        <v>868725</v>
      </c>
      <c r="V16" s="363" t="s">
        <v>72</v>
      </c>
      <c r="W16" s="353">
        <v>42773</v>
      </c>
      <c r="X16" s="364">
        <v>16331.64</v>
      </c>
      <c r="Y16" s="355"/>
      <c r="Z16" s="356"/>
      <c r="AA16" s="357"/>
      <c r="AB16" s="358"/>
      <c r="AC16" s="357"/>
      <c r="AD16" s="359"/>
      <c r="AE16" s="360"/>
      <c r="AF16" s="355"/>
      <c r="AG16" s="355"/>
      <c r="AH16" s="355"/>
      <c r="AI16" s="356"/>
      <c r="AJ16" s="357"/>
      <c r="AK16" s="358"/>
      <c r="AL16" s="357"/>
      <c r="AM16" s="359"/>
      <c r="AN16" s="360"/>
      <c r="AO16" s="355"/>
      <c r="AP16" s="355"/>
      <c r="AQ16" s="355"/>
      <c r="AR16" s="356"/>
      <c r="AS16" s="357"/>
      <c r="AT16" s="358"/>
      <c r="AU16" s="357"/>
      <c r="AV16" s="359"/>
      <c r="AW16" s="360"/>
      <c r="AX16" s="355"/>
      <c r="AY16" s="355"/>
      <c r="AZ16" s="355"/>
      <c r="BA16" s="356"/>
      <c r="BB16" s="357"/>
      <c r="BC16" s="358"/>
      <c r="BD16" s="357"/>
      <c r="BE16" s="359"/>
      <c r="BF16" s="360"/>
      <c r="BG16" s="355"/>
      <c r="BH16" s="355"/>
      <c r="BI16" s="355"/>
      <c r="BJ16" s="356"/>
      <c r="BK16" s="357"/>
      <c r="BL16" s="358"/>
      <c r="BM16" s="357"/>
      <c r="BN16" s="359"/>
      <c r="BO16" s="360"/>
      <c r="BP16" s="355"/>
      <c r="BQ16" s="355"/>
      <c r="BR16" s="355"/>
      <c r="BS16" s="356"/>
      <c r="BT16" s="357"/>
      <c r="BU16" s="358"/>
      <c r="BV16" s="357"/>
      <c r="BW16" s="359"/>
      <c r="BX16" s="360"/>
      <c r="BY16" s="355"/>
      <c r="BZ16" s="355"/>
      <c r="CA16" s="355"/>
      <c r="CB16" s="356"/>
      <c r="CC16" s="357"/>
      <c r="CD16" s="358"/>
      <c r="CE16" s="357"/>
      <c r="CF16" s="359"/>
      <c r="CG16" s="360"/>
      <c r="CH16" s="355"/>
      <c r="CI16" s="355"/>
      <c r="CJ16" s="355"/>
      <c r="CK16" s="356"/>
      <c r="CL16" s="357"/>
      <c r="CM16" s="358"/>
      <c r="CN16" s="357"/>
      <c r="CO16" s="359"/>
      <c r="CP16" s="360"/>
      <c r="CQ16" s="355"/>
      <c r="CR16" s="355"/>
      <c r="CS16" s="355"/>
      <c r="CT16" s="356"/>
      <c r="CU16" s="357"/>
      <c r="CV16" s="358"/>
      <c r="CW16" s="361"/>
      <c r="CX16" s="359"/>
      <c r="CY16" s="360"/>
      <c r="CZ16" s="355"/>
      <c r="DA16" s="355"/>
      <c r="DB16" s="355"/>
      <c r="DC16" s="356"/>
      <c r="DD16" s="357"/>
      <c r="DE16" s="358"/>
      <c r="DF16" s="357"/>
      <c r="DG16" s="359"/>
      <c r="DH16" s="360"/>
      <c r="DI16" s="355"/>
      <c r="DJ16" s="355"/>
      <c r="DK16" s="355"/>
      <c r="DL16" s="356"/>
      <c r="DM16" s="357"/>
      <c r="DN16" s="358"/>
      <c r="DO16" s="357"/>
      <c r="DP16" s="359"/>
      <c r="DQ16" s="360"/>
      <c r="DR16" s="355"/>
      <c r="DS16" s="355"/>
      <c r="DT16" s="355"/>
      <c r="DU16" s="356"/>
      <c r="DV16" s="357"/>
      <c r="DW16" s="358"/>
      <c r="DX16" s="357"/>
      <c r="DY16" s="359"/>
      <c r="DZ16" s="360"/>
      <c r="EA16" s="355"/>
      <c r="EB16" s="355"/>
      <c r="EC16" s="355"/>
      <c r="ED16" s="356"/>
      <c r="EE16" s="357"/>
      <c r="EF16" s="358"/>
      <c r="EG16" s="357"/>
      <c r="EH16" s="359"/>
      <c r="EI16" s="360"/>
      <c r="EJ16" s="355"/>
      <c r="EK16" s="355"/>
      <c r="EL16" s="355"/>
      <c r="EM16" s="356"/>
      <c r="EN16" s="357"/>
      <c r="EO16" s="358"/>
      <c r="EP16" s="357"/>
      <c r="EQ16" s="359"/>
      <c r="ER16" s="360"/>
      <c r="ES16" s="355"/>
      <c r="ET16" s="355"/>
      <c r="EU16" s="355"/>
      <c r="EV16" s="356"/>
      <c r="EW16" s="357"/>
      <c r="EX16" s="358"/>
      <c r="EY16" s="357"/>
      <c r="EZ16" s="359"/>
      <c r="FA16" s="360"/>
      <c r="FB16" s="355"/>
      <c r="FC16" s="355"/>
      <c r="FD16" s="355"/>
      <c r="FE16" s="356"/>
      <c r="FF16" s="357"/>
      <c r="FG16" s="358"/>
      <c r="FH16" s="357"/>
      <c r="FI16" s="359"/>
      <c r="FJ16" s="360"/>
      <c r="FK16" s="355"/>
      <c r="FL16" s="355"/>
      <c r="FM16" s="355"/>
      <c r="FN16" s="356"/>
      <c r="FO16" s="357"/>
      <c r="FP16" s="358"/>
      <c r="FQ16" s="357"/>
      <c r="FR16" s="359"/>
      <c r="FS16" s="360"/>
      <c r="FT16" s="355"/>
      <c r="FU16" s="355"/>
      <c r="FV16" s="355"/>
      <c r="FW16" s="356"/>
      <c r="FX16" s="357"/>
      <c r="FY16" s="358"/>
      <c r="FZ16" s="357"/>
      <c r="GA16" s="359"/>
      <c r="GB16" s="360"/>
      <c r="GC16" s="355"/>
      <c r="GD16" s="355"/>
      <c r="GE16" s="355"/>
      <c r="GF16" s="356"/>
      <c r="GG16" s="357"/>
      <c r="GH16" s="358"/>
      <c r="GI16" s="357"/>
      <c r="GJ16" s="359"/>
      <c r="GK16" s="360"/>
      <c r="GL16" s="355"/>
      <c r="GM16" s="355"/>
      <c r="GN16" s="355"/>
      <c r="GO16" s="356"/>
      <c r="GP16" s="357"/>
      <c r="GQ16" s="358"/>
      <c r="GR16" s="357"/>
      <c r="GS16" s="359"/>
      <c r="GT16" s="360"/>
      <c r="GU16" s="362">
        <v>42773</v>
      </c>
      <c r="GV16" s="98"/>
      <c r="GW16" s="65">
        <v>22176</v>
      </c>
      <c r="GX16" s="74" t="s">
        <v>56</v>
      </c>
      <c r="GY16" s="74"/>
      <c r="GZ16" s="390" t="s">
        <v>158</v>
      </c>
      <c r="HA16" s="86">
        <v>5104</v>
      </c>
    </row>
    <row r="17" spans="1:210" x14ac:dyDescent="0.25">
      <c r="C17" s="87"/>
      <c r="D17" s="35"/>
      <c r="E17" s="36"/>
      <c r="F17" s="37"/>
      <c r="G17" s="38"/>
      <c r="H17" s="39"/>
      <c r="I17" s="40"/>
      <c r="J17" s="68" t="s">
        <v>47</v>
      </c>
      <c r="K17" s="116" t="s">
        <v>46</v>
      </c>
      <c r="L17" s="116">
        <v>100</v>
      </c>
      <c r="M17" s="70">
        <v>12140</v>
      </c>
      <c r="N17" s="71">
        <v>42748</v>
      </c>
      <c r="O17" s="380" t="s">
        <v>110</v>
      </c>
      <c r="P17" s="72">
        <v>11875</v>
      </c>
      <c r="Q17" s="113">
        <f t="shared" si="1"/>
        <v>-265</v>
      </c>
      <c r="R17" s="64">
        <v>32.5</v>
      </c>
      <c r="S17" s="64"/>
      <c r="T17" s="64"/>
      <c r="U17" s="39">
        <f t="shared" si="0"/>
        <v>385937.5</v>
      </c>
      <c r="V17" s="363" t="s">
        <v>72</v>
      </c>
      <c r="W17" s="353">
        <v>42768</v>
      </c>
      <c r="X17" s="364">
        <v>7134</v>
      </c>
      <c r="Y17" s="355"/>
      <c r="Z17" s="356"/>
      <c r="AA17" s="357"/>
      <c r="AB17" s="358"/>
      <c r="AC17" s="357"/>
      <c r="AD17" s="359"/>
      <c r="AE17" s="360"/>
      <c r="AF17" s="355"/>
      <c r="AG17" s="355"/>
      <c r="AH17" s="355"/>
      <c r="AI17" s="356"/>
      <c r="AJ17" s="357"/>
      <c r="AK17" s="358"/>
      <c r="AL17" s="357"/>
      <c r="AM17" s="359"/>
      <c r="AN17" s="360"/>
      <c r="AO17" s="355"/>
      <c r="AP17" s="355"/>
      <c r="AQ17" s="355"/>
      <c r="AR17" s="356"/>
      <c r="AS17" s="357"/>
      <c r="AT17" s="358"/>
      <c r="AU17" s="357"/>
      <c r="AV17" s="359"/>
      <c r="AW17" s="360"/>
      <c r="AX17" s="355"/>
      <c r="AY17" s="355"/>
      <c r="AZ17" s="355"/>
      <c r="BA17" s="356"/>
      <c r="BB17" s="357"/>
      <c r="BC17" s="358"/>
      <c r="BD17" s="357"/>
      <c r="BE17" s="359"/>
      <c r="BF17" s="360"/>
      <c r="BG17" s="355"/>
      <c r="BH17" s="355"/>
      <c r="BI17" s="355"/>
      <c r="BJ17" s="356"/>
      <c r="BK17" s="357"/>
      <c r="BL17" s="358"/>
      <c r="BM17" s="357"/>
      <c r="BN17" s="359"/>
      <c r="BO17" s="360"/>
      <c r="BP17" s="355"/>
      <c r="BQ17" s="355"/>
      <c r="BR17" s="355"/>
      <c r="BS17" s="356"/>
      <c r="BT17" s="357"/>
      <c r="BU17" s="358"/>
      <c r="BV17" s="357"/>
      <c r="BW17" s="359"/>
      <c r="BX17" s="360"/>
      <c r="BY17" s="355"/>
      <c r="BZ17" s="355"/>
      <c r="CA17" s="355"/>
      <c r="CB17" s="356"/>
      <c r="CC17" s="357"/>
      <c r="CD17" s="358"/>
      <c r="CE17" s="357"/>
      <c r="CF17" s="359"/>
      <c r="CG17" s="360"/>
      <c r="CH17" s="355"/>
      <c r="CI17" s="355"/>
      <c r="CJ17" s="355"/>
      <c r="CK17" s="356"/>
      <c r="CL17" s="357"/>
      <c r="CM17" s="358"/>
      <c r="CN17" s="357"/>
      <c r="CO17" s="359"/>
      <c r="CP17" s="360"/>
      <c r="CQ17" s="355"/>
      <c r="CR17" s="355"/>
      <c r="CS17" s="355"/>
      <c r="CT17" s="356"/>
      <c r="CU17" s="357"/>
      <c r="CV17" s="358"/>
      <c r="CW17" s="361"/>
      <c r="CX17" s="359"/>
      <c r="CY17" s="360"/>
      <c r="CZ17" s="355"/>
      <c r="DA17" s="355"/>
      <c r="DB17" s="355"/>
      <c r="DC17" s="356"/>
      <c r="DD17" s="357"/>
      <c r="DE17" s="358"/>
      <c r="DF17" s="357"/>
      <c r="DG17" s="359"/>
      <c r="DH17" s="360"/>
      <c r="DI17" s="355"/>
      <c r="DJ17" s="355"/>
      <c r="DK17" s="355"/>
      <c r="DL17" s="356"/>
      <c r="DM17" s="357"/>
      <c r="DN17" s="358"/>
      <c r="DO17" s="357"/>
      <c r="DP17" s="359"/>
      <c r="DQ17" s="360"/>
      <c r="DR17" s="355"/>
      <c r="DS17" s="355"/>
      <c r="DT17" s="355"/>
      <c r="DU17" s="356"/>
      <c r="DV17" s="357"/>
      <c r="DW17" s="358"/>
      <c r="DX17" s="357"/>
      <c r="DY17" s="359"/>
      <c r="DZ17" s="360"/>
      <c r="EA17" s="355"/>
      <c r="EB17" s="355"/>
      <c r="EC17" s="355"/>
      <c r="ED17" s="356"/>
      <c r="EE17" s="357"/>
      <c r="EF17" s="358"/>
      <c r="EG17" s="357"/>
      <c r="EH17" s="359"/>
      <c r="EI17" s="360"/>
      <c r="EJ17" s="355"/>
      <c r="EK17" s="355"/>
      <c r="EL17" s="355"/>
      <c r="EM17" s="356"/>
      <c r="EN17" s="357"/>
      <c r="EO17" s="358"/>
      <c r="EP17" s="357"/>
      <c r="EQ17" s="359"/>
      <c r="ER17" s="360"/>
      <c r="ES17" s="355"/>
      <c r="ET17" s="355"/>
      <c r="EU17" s="355"/>
      <c r="EV17" s="356"/>
      <c r="EW17" s="357"/>
      <c r="EX17" s="358"/>
      <c r="EY17" s="357"/>
      <c r="EZ17" s="359"/>
      <c r="FA17" s="360"/>
      <c r="FB17" s="355"/>
      <c r="FC17" s="355"/>
      <c r="FD17" s="355"/>
      <c r="FE17" s="356"/>
      <c r="FF17" s="357"/>
      <c r="FG17" s="358"/>
      <c r="FH17" s="357"/>
      <c r="FI17" s="359"/>
      <c r="FJ17" s="360"/>
      <c r="FK17" s="355"/>
      <c r="FL17" s="355"/>
      <c r="FM17" s="355"/>
      <c r="FN17" s="356"/>
      <c r="FO17" s="357"/>
      <c r="FP17" s="358"/>
      <c r="FQ17" s="357"/>
      <c r="FR17" s="359"/>
      <c r="FS17" s="360"/>
      <c r="FT17" s="355"/>
      <c r="FU17" s="355"/>
      <c r="FV17" s="355"/>
      <c r="FW17" s="356"/>
      <c r="FX17" s="357"/>
      <c r="FY17" s="358"/>
      <c r="FZ17" s="357"/>
      <c r="GA17" s="359"/>
      <c r="GB17" s="360"/>
      <c r="GC17" s="355"/>
      <c r="GD17" s="355"/>
      <c r="GE17" s="355"/>
      <c r="GF17" s="356"/>
      <c r="GG17" s="357"/>
      <c r="GH17" s="358"/>
      <c r="GI17" s="357"/>
      <c r="GJ17" s="359"/>
      <c r="GK17" s="360"/>
      <c r="GL17" s="355"/>
      <c r="GM17" s="355"/>
      <c r="GN17" s="355"/>
      <c r="GO17" s="356"/>
      <c r="GP17" s="357"/>
      <c r="GQ17" s="358"/>
      <c r="GR17" s="357"/>
      <c r="GS17" s="359"/>
      <c r="GT17" s="360"/>
      <c r="GU17" s="362">
        <v>42768</v>
      </c>
      <c r="GV17" s="98"/>
      <c r="GW17" s="65">
        <v>17584</v>
      </c>
      <c r="GX17" s="74" t="s">
        <v>55</v>
      </c>
      <c r="GY17" s="74"/>
      <c r="GZ17" s="390" t="s">
        <v>158</v>
      </c>
      <c r="HA17" s="86">
        <v>2784</v>
      </c>
    </row>
    <row r="18" spans="1:210" x14ac:dyDescent="0.25">
      <c r="C18" s="87"/>
      <c r="D18" s="35"/>
      <c r="E18" s="36"/>
      <c r="F18" s="37"/>
      <c r="G18" s="38"/>
      <c r="H18" s="39"/>
      <c r="I18" s="40"/>
      <c r="J18" s="68" t="s">
        <v>57</v>
      </c>
      <c r="K18" s="69" t="s">
        <v>46</v>
      </c>
      <c r="L18" s="69">
        <v>130</v>
      </c>
      <c r="M18" s="70">
        <v>12950</v>
      </c>
      <c r="N18" s="71">
        <v>42750</v>
      </c>
      <c r="O18" s="380" t="s">
        <v>128</v>
      </c>
      <c r="P18" s="72">
        <v>10455</v>
      </c>
      <c r="Q18" s="113">
        <f t="shared" si="1"/>
        <v>-2495</v>
      </c>
      <c r="R18" s="64">
        <v>32</v>
      </c>
      <c r="S18" s="64"/>
      <c r="T18" s="64"/>
      <c r="U18" s="39">
        <f t="shared" si="0"/>
        <v>334560</v>
      </c>
      <c r="V18" s="363" t="s">
        <v>72</v>
      </c>
      <c r="W18" s="353">
        <v>42775</v>
      </c>
      <c r="X18" s="364">
        <v>7163</v>
      </c>
      <c r="Y18" s="355"/>
      <c r="Z18" s="356"/>
      <c r="AA18" s="357"/>
      <c r="AB18" s="358"/>
      <c r="AC18" s="357"/>
      <c r="AD18" s="359"/>
      <c r="AE18" s="360"/>
      <c r="AF18" s="355"/>
      <c r="AG18" s="355"/>
      <c r="AH18" s="355"/>
      <c r="AI18" s="356"/>
      <c r="AJ18" s="357"/>
      <c r="AK18" s="358"/>
      <c r="AL18" s="357"/>
      <c r="AM18" s="359"/>
      <c r="AN18" s="360"/>
      <c r="AO18" s="355"/>
      <c r="AP18" s="355"/>
      <c r="AQ18" s="355"/>
      <c r="AR18" s="356"/>
      <c r="AS18" s="357"/>
      <c r="AT18" s="358"/>
      <c r="AU18" s="357"/>
      <c r="AV18" s="359"/>
      <c r="AW18" s="360"/>
      <c r="AX18" s="355"/>
      <c r="AY18" s="355"/>
      <c r="AZ18" s="355"/>
      <c r="BA18" s="356"/>
      <c r="BB18" s="357"/>
      <c r="BC18" s="358"/>
      <c r="BD18" s="357"/>
      <c r="BE18" s="359"/>
      <c r="BF18" s="360"/>
      <c r="BG18" s="355"/>
      <c r="BH18" s="355"/>
      <c r="BI18" s="355"/>
      <c r="BJ18" s="356"/>
      <c r="BK18" s="357"/>
      <c r="BL18" s="358"/>
      <c r="BM18" s="357"/>
      <c r="BN18" s="359"/>
      <c r="BO18" s="360"/>
      <c r="BP18" s="355"/>
      <c r="BQ18" s="355"/>
      <c r="BR18" s="355"/>
      <c r="BS18" s="356"/>
      <c r="BT18" s="357"/>
      <c r="BU18" s="358"/>
      <c r="BV18" s="357"/>
      <c r="BW18" s="359"/>
      <c r="BX18" s="360"/>
      <c r="BY18" s="355"/>
      <c r="BZ18" s="355"/>
      <c r="CA18" s="355"/>
      <c r="CB18" s="356"/>
      <c r="CC18" s="357"/>
      <c r="CD18" s="358"/>
      <c r="CE18" s="357"/>
      <c r="CF18" s="359"/>
      <c r="CG18" s="360"/>
      <c r="CH18" s="355"/>
      <c r="CI18" s="355"/>
      <c r="CJ18" s="355"/>
      <c r="CK18" s="356"/>
      <c r="CL18" s="357"/>
      <c r="CM18" s="358"/>
      <c r="CN18" s="357"/>
      <c r="CO18" s="359"/>
      <c r="CP18" s="360"/>
      <c r="CQ18" s="355"/>
      <c r="CR18" s="355"/>
      <c r="CS18" s="355"/>
      <c r="CT18" s="356"/>
      <c r="CU18" s="357"/>
      <c r="CV18" s="358"/>
      <c r="CW18" s="361"/>
      <c r="CX18" s="359"/>
      <c r="CY18" s="360"/>
      <c r="CZ18" s="355"/>
      <c r="DA18" s="355"/>
      <c r="DB18" s="355"/>
      <c r="DC18" s="356"/>
      <c r="DD18" s="357"/>
      <c r="DE18" s="358"/>
      <c r="DF18" s="357"/>
      <c r="DG18" s="359"/>
      <c r="DH18" s="360"/>
      <c r="DI18" s="355"/>
      <c r="DJ18" s="355"/>
      <c r="DK18" s="355"/>
      <c r="DL18" s="356"/>
      <c r="DM18" s="357"/>
      <c r="DN18" s="358"/>
      <c r="DO18" s="357"/>
      <c r="DP18" s="359"/>
      <c r="DQ18" s="360"/>
      <c r="DR18" s="355"/>
      <c r="DS18" s="355"/>
      <c r="DT18" s="355"/>
      <c r="DU18" s="356"/>
      <c r="DV18" s="357"/>
      <c r="DW18" s="358"/>
      <c r="DX18" s="357"/>
      <c r="DY18" s="359"/>
      <c r="DZ18" s="360"/>
      <c r="EA18" s="355"/>
      <c r="EB18" s="355"/>
      <c r="EC18" s="355"/>
      <c r="ED18" s="356"/>
      <c r="EE18" s="357"/>
      <c r="EF18" s="358"/>
      <c r="EG18" s="357"/>
      <c r="EH18" s="359"/>
      <c r="EI18" s="360"/>
      <c r="EJ18" s="355"/>
      <c r="EK18" s="355"/>
      <c r="EL18" s="355"/>
      <c r="EM18" s="356"/>
      <c r="EN18" s="357"/>
      <c r="EO18" s="358"/>
      <c r="EP18" s="357"/>
      <c r="EQ18" s="359"/>
      <c r="ER18" s="360"/>
      <c r="ES18" s="355"/>
      <c r="ET18" s="355"/>
      <c r="EU18" s="355"/>
      <c r="EV18" s="356"/>
      <c r="EW18" s="357"/>
      <c r="EX18" s="358"/>
      <c r="EY18" s="357"/>
      <c r="EZ18" s="359"/>
      <c r="FA18" s="360"/>
      <c r="FB18" s="355"/>
      <c r="FC18" s="355"/>
      <c r="FD18" s="355"/>
      <c r="FE18" s="356"/>
      <c r="FF18" s="357"/>
      <c r="FG18" s="358"/>
      <c r="FH18" s="357"/>
      <c r="FI18" s="359"/>
      <c r="FJ18" s="360"/>
      <c r="FK18" s="355"/>
      <c r="FL18" s="355"/>
      <c r="FM18" s="355"/>
      <c r="FN18" s="356"/>
      <c r="FO18" s="357"/>
      <c r="FP18" s="358"/>
      <c r="FQ18" s="357"/>
      <c r="FR18" s="359"/>
      <c r="FS18" s="360"/>
      <c r="FT18" s="355"/>
      <c r="FU18" s="355"/>
      <c r="FV18" s="355"/>
      <c r="FW18" s="356"/>
      <c r="FX18" s="357"/>
      <c r="FY18" s="358"/>
      <c r="FZ18" s="357"/>
      <c r="GA18" s="359"/>
      <c r="GB18" s="360"/>
      <c r="GC18" s="355"/>
      <c r="GD18" s="355"/>
      <c r="GE18" s="355"/>
      <c r="GF18" s="356"/>
      <c r="GG18" s="357"/>
      <c r="GH18" s="358"/>
      <c r="GI18" s="357"/>
      <c r="GJ18" s="359"/>
      <c r="GK18" s="360"/>
      <c r="GL18" s="355"/>
      <c r="GM18" s="355"/>
      <c r="GN18" s="355"/>
      <c r="GO18" s="356"/>
      <c r="GP18" s="357"/>
      <c r="GQ18" s="358"/>
      <c r="GR18" s="357"/>
      <c r="GS18" s="359"/>
      <c r="GT18" s="360"/>
      <c r="GU18" s="365">
        <v>42775</v>
      </c>
      <c r="GV18" s="98"/>
      <c r="GW18" s="65">
        <v>17584</v>
      </c>
      <c r="GX18" s="74" t="s">
        <v>76</v>
      </c>
      <c r="GY18" s="74"/>
      <c r="GZ18" s="390" t="s">
        <v>158</v>
      </c>
      <c r="HA18" s="86">
        <v>2552</v>
      </c>
    </row>
    <row r="19" spans="1:210" x14ac:dyDescent="0.25">
      <c r="C19" s="87"/>
      <c r="D19" s="35"/>
      <c r="E19" s="36"/>
      <c r="F19" s="37"/>
      <c r="G19" s="38"/>
      <c r="H19" s="39"/>
      <c r="I19" s="40"/>
      <c r="J19" s="68" t="s">
        <v>58</v>
      </c>
      <c r="K19" s="69" t="s">
        <v>59</v>
      </c>
      <c r="L19" s="69">
        <v>230</v>
      </c>
      <c r="M19" s="70">
        <v>18210</v>
      </c>
      <c r="N19" s="71">
        <v>42750</v>
      </c>
      <c r="O19" s="380" t="s">
        <v>71</v>
      </c>
      <c r="P19" s="72">
        <v>28275</v>
      </c>
      <c r="Q19" s="113">
        <f t="shared" si="1"/>
        <v>10065</v>
      </c>
      <c r="R19" s="64">
        <v>32</v>
      </c>
      <c r="S19" s="64"/>
      <c r="T19" s="64"/>
      <c r="U19" s="39">
        <f t="shared" si="0"/>
        <v>904800</v>
      </c>
      <c r="V19" s="363" t="s">
        <v>72</v>
      </c>
      <c r="W19" s="353">
        <v>42773</v>
      </c>
      <c r="X19" s="364">
        <v>16474.900000000001</v>
      </c>
      <c r="Y19" s="355"/>
      <c r="Z19" s="356"/>
      <c r="AA19" s="357"/>
      <c r="AB19" s="358"/>
      <c r="AC19" s="357"/>
      <c r="AD19" s="359"/>
      <c r="AE19" s="360"/>
      <c r="AF19" s="355"/>
      <c r="AG19" s="355"/>
      <c r="AH19" s="355"/>
      <c r="AI19" s="356"/>
      <c r="AJ19" s="357"/>
      <c r="AK19" s="358"/>
      <c r="AL19" s="357"/>
      <c r="AM19" s="359"/>
      <c r="AN19" s="360"/>
      <c r="AO19" s="355"/>
      <c r="AP19" s="355"/>
      <c r="AQ19" s="355"/>
      <c r="AR19" s="356"/>
      <c r="AS19" s="357"/>
      <c r="AT19" s="358"/>
      <c r="AU19" s="357"/>
      <c r="AV19" s="359"/>
      <c r="AW19" s="360"/>
      <c r="AX19" s="355"/>
      <c r="AY19" s="355"/>
      <c r="AZ19" s="355"/>
      <c r="BA19" s="356"/>
      <c r="BB19" s="357"/>
      <c r="BC19" s="358"/>
      <c r="BD19" s="357"/>
      <c r="BE19" s="359"/>
      <c r="BF19" s="360"/>
      <c r="BG19" s="355"/>
      <c r="BH19" s="355"/>
      <c r="BI19" s="355"/>
      <c r="BJ19" s="356"/>
      <c r="BK19" s="357"/>
      <c r="BL19" s="358"/>
      <c r="BM19" s="357"/>
      <c r="BN19" s="359"/>
      <c r="BO19" s="360"/>
      <c r="BP19" s="355"/>
      <c r="BQ19" s="355"/>
      <c r="BR19" s="355"/>
      <c r="BS19" s="356"/>
      <c r="BT19" s="357"/>
      <c r="BU19" s="358"/>
      <c r="BV19" s="357"/>
      <c r="BW19" s="359"/>
      <c r="BX19" s="360"/>
      <c r="BY19" s="355"/>
      <c r="BZ19" s="355"/>
      <c r="CA19" s="355"/>
      <c r="CB19" s="356"/>
      <c r="CC19" s="357"/>
      <c r="CD19" s="358"/>
      <c r="CE19" s="357"/>
      <c r="CF19" s="359"/>
      <c r="CG19" s="360"/>
      <c r="CH19" s="355"/>
      <c r="CI19" s="355"/>
      <c r="CJ19" s="355"/>
      <c r="CK19" s="356"/>
      <c r="CL19" s="357"/>
      <c r="CM19" s="358"/>
      <c r="CN19" s="357"/>
      <c r="CO19" s="359"/>
      <c r="CP19" s="360"/>
      <c r="CQ19" s="355"/>
      <c r="CR19" s="355"/>
      <c r="CS19" s="355"/>
      <c r="CT19" s="356"/>
      <c r="CU19" s="357"/>
      <c r="CV19" s="358"/>
      <c r="CW19" s="361"/>
      <c r="CX19" s="359"/>
      <c r="CY19" s="360"/>
      <c r="CZ19" s="355"/>
      <c r="DA19" s="355"/>
      <c r="DB19" s="355"/>
      <c r="DC19" s="356"/>
      <c r="DD19" s="357"/>
      <c r="DE19" s="358"/>
      <c r="DF19" s="357"/>
      <c r="DG19" s="359"/>
      <c r="DH19" s="360"/>
      <c r="DI19" s="355"/>
      <c r="DJ19" s="355"/>
      <c r="DK19" s="355"/>
      <c r="DL19" s="356"/>
      <c r="DM19" s="357"/>
      <c r="DN19" s="358"/>
      <c r="DO19" s="357"/>
      <c r="DP19" s="359"/>
      <c r="DQ19" s="360"/>
      <c r="DR19" s="355"/>
      <c r="DS19" s="355"/>
      <c r="DT19" s="355"/>
      <c r="DU19" s="356"/>
      <c r="DV19" s="357"/>
      <c r="DW19" s="358"/>
      <c r="DX19" s="357"/>
      <c r="DY19" s="359"/>
      <c r="DZ19" s="360"/>
      <c r="EA19" s="355"/>
      <c r="EB19" s="355"/>
      <c r="EC19" s="355"/>
      <c r="ED19" s="356"/>
      <c r="EE19" s="357"/>
      <c r="EF19" s="358"/>
      <c r="EG19" s="357"/>
      <c r="EH19" s="359"/>
      <c r="EI19" s="360"/>
      <c r="EJ19" s="355"/>
      <c r="EK19" s="355"/>
      <c r="EL19" s="355"/>
      <c r="EM19" s="356"/>
      <c r="EN19" s="357"/>
      <c r="EO19" s="358"/>
      <c r="EP19" s="357"/>
      <c r="EQ19" s="359"/>
      <c r="ER19" s="360"/>
      <c r="ES19" s="355"/>
      <c r="ET19" s="355"/>
      <c r="EU19" s="355"/>
      <c r="EV19" s="356"/>
      <c r="EW19" s="357"/>
      <c r="EX19" s="358"/>
      <c r="EY19" s="357"/>
      <c r="EZ19" s="359"/>
      <c r="FA19" s="360"/>
      <c r="FB19" s="355"/>
      <c r="FC19" s="355"/>
      <c r="FD19" s="355"/>
      <c r="FE19" s="356"/>
      <c r="FF19" s="357"/>
      <c r="FG19" s="358"/>
      <c r="FH19" s="357"/>
      <c r="FI19" s="359"/>
      <c r="FJ19" s="360"/>
      <c r="FK19" s="355"/>
      <c r="FL19" s="355"/>
      <c r="FM19" s="355"/>
      <c r="FN19" s="356"/>
      <c r="FO19" s="357"/>
      <c r="FP19" s="358"/>
      <c r="FQ19" s="357"/>
      <c r="FR19" s="359"/>
      <c r="FS19" s="360"/>
      <c r="FT19" s="355"/>
      <c r="FU19" s="355"/>
      <c r="FV19" s="355"/>
      <c r="FW19" s="356"/>
      <c r="FX19" s="357"/>
      <c r="FY19" s="358"/>
      <c r="FZ19" s="357"/>
      <c r="GA19" s="359"/>
      <c r="GB19" s="360"/>
      <c r="GC19" s="355"/>
      <c r="GD19" s="355"/>
      <c r="GE19" s="355"/>
      <c r="GF19" s="356"/>
      <c r="GG19" s="357"/>
      <c r="GH19" s="358"/>
      <c r="GI19" s="357"/>
      <c r="GJ19" s="359"/>
      <c r="GK19" s="360"/>
      <c r="GL19" s="355"/>
      <c r="GM19" s="355"/>
      <c r="GN19" s="355"/>
      <c r="GO19" s="356"/>
      <c r="GP19" s="357"/>
      <c r="GQ19" s="358"/>
      <c r="GR19" s="357"/>
      <c r="GS19" s="359"/>
      <c r="GT19" s="360"/>
      <c r="GU19" s="362">
        <v>42773</v>
      </c>
      <c r="GV19" s="98"/>
      <c r="GW19" s="65"/>
      <c r="GX19" s="74"/>
      <c r="GY19" s="74"/>
      <c r="GZ19" s="390" t="s">
        <v>158</v>
      </c>
      <c r="HA19" s="86">
        <v>4408</v>
      </c>
      <c r="HB19" s="406"/>
    </row>
    <row r="20" spans="1:210" x14ac:dyDescent="0.25">
      <c r="A20" s="1">
        <v>23</v>
      </c>
      <c r="B20" t="e">
        <f>#REF!</f>
        <v>#REF!</v>
      </c>
      <c r="C20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68" t="s">
        <v>60</v>
      </c>
      <c r="K20" s="69" t="s">
        <v>40</v>
      </c>
      <c r="L20" s="69">
        <v>220</v>
      </c>
      <c r="M20" s="70">
        <v>21300</v>
      </c>
      <c r="N20" s="71">
        <v>42751</v>
      </c>
      <c r="O20" s="380" t="s">
        <v>131</v>
      </c>
      <c r="P20" s="72">
        <v>26480</v>
      </c>
      <c r="Q20" s="113">
        <f t="shared" si="1"/>
        <v>5180</v>
      </c>
      <c r="R20" s="64">
        <v>32</v>
      </c>
      <c r="S20" s="64"/>
      <c r="T20" s="64"/>
      <c r="U20" s="39">
        <f t="shared" si="0"/>
        <v>847360</v>
      </c>
      <c r="V20" s="363" t="s">
        <v>72</v>
      </c>
      <c r="W20" s="366">
        <v>42776</v>
      </c>
      <c r="X20" s="367">
        <v>15758.6</v>
      </c>
      <c r="Y20" s="355"/>
      <c r="Z20" s="356"/>
      <c r="AA20" s="357"/>
      <c r="AB20" s="358"/>
      <c r="AC20" s="357"/>
      <c r="AD20" s="359"/>
      <c r="AE20" s="360"/>
      <c r="AF20" s="355"/>
      <c r="AG20" s="355"/>
      <c r="AH20" s="355"/>
      <c r="AI20" s="356"/>
      <c r="AJ20" s="357"/>
      <c r="AK20" s="358"/>
      <c r="AL20" s="357"/>
      <c r="AM20" s="359"/>
      <c r="AN20" s="360"/>
      <c r="AO20" s="355"/>
      <c r="AP20" s="355"/>
      <c r="AQ20" s="355"/>
      <c r="AR20" s="356"/>
      <c r="AS20" s="357"/>
      <c r="AT20" s="358"/>
      <c r="AU20" s="357"/>
      <c r="AV20" s="359"/>
      <c r="AW20" s="360"/>
      <c r="AX20" s="355"/>
      <c r="AY20" s="355"/>
      <c r="AZ20" s="355"/>
      <c r="BA20" s="356"/>
      <c r="BB20" s="357"/>
      <c r="BC20" s="358"/>
      <c r="BD20" s="357"/>
      <c r="BE20" s="359"/>
      <c r="BF20" s="360"/>
      <c r="BG20" s="355"/>
      <c r="BH20" s="355"/>
      <c r="BI20" s="355"/>
      <c r="BJ20" s="356"/>
      <c r="BK20" s="357"/>
      <c r="BL20" s="358"/>
      <c r="BM20" s="357"/>
      <c r="BN20" s="359"/>
      <c r="BO20" s="360"/>
      <c r="BP20" s="355"/>
      <c r="BQ20" s="355"/>
      <c r="BR20" s="355"/>
      <c r="BS20" s="356"/>
      <c r="BT20" s="357"/>
      <c r="BU20" s="358"/>
      <c r="BV20" s="357"/>
      <c r="BW20" s="359"/>
      <c r="BX20" s="360"/>
      <c r="BY20" s="355"/>
      <c r="BZ20" s="355"/>
      <c r="CA20" s="355"/>
      <c r="CB20" s="356"/>
      <c r="CC20" s="357"/>
      <c r="CD20" s="358"/>
      <c r="CE20" s="357"/>
      <c r="CF20" s="359"/>
      <c r="CG20" s="360"/>
      <c r="CH20" s="355"/>
      <c r="CI20" s="355"/>
      <c r="CJ20" s="355"/>
      <c r="CK20" s="356"/>
      <c r="CL20" s="357"/>
      <c r="CM20" s="358"/>
      <c r="CN20" s="357"/>
      <c r="CO20" s="359"/>
      <c r="CP20" s="360"/>
      <c r="CQ20" s="355"/>
      <c r="CR20" s="355"/>
      <c r="CS20" s="355"/>
      <c r="CT20" s="356"/>
      <c r="CU20" s="357"/>
      <c r="CV20" s="358"/>
      <c r="CW20" s="357"/>
      <c r="CX20" s="359"/>
      <c r="CY20" s="360"/>
      <c r="CZ20" s="355"/>
      <c r="DA20" s="355"/>
      <c r="DB20" s="355"/>
      <c r="DC20" s="356"/>
      <c r="DD20" s="357"/>
      <c r="DE20" s="358"/>
      <c r="DF20" s="357"/>
      <c r="DG20" s="359"/>
      <c r="DH20" s="360"/>
      <c r="DI20" s="355"/>
      <c r="DJ20" s="355"/>
      <c r="DK20" s="355"/>
      <c r="DL20" s="356"/>
      <c r="DM20" s="357"/>
      <c r="DN20" s="358"/>
      <c r="DO20" s="357"/>
      <c r="DP20" s="359"/>
      <c r="DQ20" s="360"/>
      <c r="DR20" s="355"/>
      <c r="DS20" s="355"/>
      <c r="DT20" s="355"/>
      <c r="DU20" s="356"/>
      <c r="DV20" s="357"/>
      <c r="DW20" s="358"/>
      <c r="DX20" s="357"/>
      <c r="DY20" s="359"/>
      <c r="DZ20" s="360"/>
      <c r="EA20" s="355"/>
      <c r="EB20" s="355"/>
      <c r="EC20" s="355"/>
      <c r="ED20" s="356"/>
      <c r="EE20" s="357"/>
      <c r="EF20" s="358"/>
      <c r="EG20" s="357"/>
      <c r="EH20" s="359"/>
      <c r="EI20" s="360"/>
      <c r="EJ20" s="355"/>
      <c r="EK20" s="355"/>
      <c r="EL20" s="355"/>
      <c r="EM20" s="356"/>
      <c r="EN20" s="357"/>
      <c r="EO20" s="358"/>
      <c r="EP20" s="357"/>
      <c r="EQ20" s="359"/>
      <c r="ER20" s="360"/>
      <c r="ES20" s="355"/>
      <c r="ET20" s="355"/>
      <c r="EU20" s="355"/>
      <c r="EV20" s="356"/>
      <c r="EW20" s="357"/>
      <c r="EX20" s="358"/>
      <c r="EY20" s="357"/>
      <c r="EZ20" s="359"/>
      <c r="FA20" s="360"/>
      <c r="FB20" s="355"/>
      <c r="FC20" s="355"/>
      <c r="FD20" s="355"/>
      <c r="FE20" s="356"/>
      <c r="FF20" s="357"/>
      <c r="FG20" s="358"/>
      <c r="FH20" s="357"/>
      <c r="FI20" s="359"/>
      <c r="FJ20" s="360"/>
      <c r="FK20" s="355"/>
      <c r="FL20" s="355"/>
      <c r="FM20" s="355"/>
      <c r="FN20" s="356"/>
      <c r="FO20" s="357"/>
      <c r="FP20" s="358"/>
      <c r="FQ20" s="357"/>
      <c r="FR20" s="359"/>
      <c r="FS20" s="360"/>
      <c r="FT20" s="355"/>
      <c r="FU20" s="355"/>
      <c r="FV20" s="355"/>
      <c r="FW20" s="356"/>
      <c r="FX20" s="357"/>
      <c r="FY20" s="358"/>
      <c r="FZ20" s="357"/>
      <c r="GA20" s="359"/>
      <c r="GB20" s="360"/>
      <c r="GC20" s="355"/>
      <c r="GD20" s="355"/>
      <c r="GE20" s="355"/>
      <c r="GF20" s="356"/>
      <c r="GG20" s="357"/>
      <c r="GH20" s="358"/>
      <c r="GI20" s="357"/>
      <c r="GJ20" s="359"/>
      <c r="GK20" s="360"/>
      <c r="GL20" s="355"/>
      <c r="GM20" s="355"/>
      <c r="GN20" s="355"/>
      <c r="GO20" s="356"/>
      <c r="GP20" s="357"/>
      <c r="GQ20" s="358"/>
      <c r="GR20" s="357"/>
      <c r="GS20" s="359"/>
      <c r="GT20" s="360"/>
      <c r="GU20" s="362">
        <v>42776</v>
      </c>
      <c r="GV20" s="98"/>
      <c r="GW20" s="84">
        <v>22176</v>
      </c>
      <c r="GX20" s="74" t="s">
        <v>77</v>
      </c>
      <c r="GY20" s="74"/>
      <c r="GZ20" s="403" t="s">
        <v>175</v>
      </c>
      <c r="HA20" s="404">
        <v>4408</v>
      </c>
    </row>
    <row r="21" spans="1:210" x14ac:dyDescent="0.25">
      <c r="D21" s="35"/>
      <c r="E21" s="36"/>
      <c r="F21" s="37"/>
      <c r="G21" s="38"/>
      <c r="H21" s="39"/>
      <c r="I21" s="40"/>
      <c r="J21" s="68" t="s">
        <v>45</v>
      </c>
      <c r="K21" s="69" t="s">
        <v>39</v>
      </c>
      <c r="L21" s="69">
        <v>219</v>
      </c>
      <c r="M21" s="70">
        <v>20540</v>
      </c>
      <c r="N21" s="71">
        <v>42752</v>
      </c>
      <c r="O21" s="382" t="s">
        <v>127</v>
      </c>
      <c r="P21" s="72">
        <v>25490</v>
      </c>
      <c r="Q21" s="113">
        <f t="shared" si="1"/>
        <v>4950</v>
      </c>
      <c r="R21" s="117">
        <v>32</v>
      </c>
      <c r="S21" s="117"/>
      <c r="T21" s="117"/>
      <c r="U21" s="39">
        <f t="shared" si="0"/>
        <v>815680</v>
      </c>
      <c r="V21" s="363" t="s">
        <v>72</v>
      </c>
      <c r="W21" s="353">
        <v>42774</v>
      </c>
      <c r="X21" s="368">
        <v>15686.97</v>
      </c>
      <c r="Y21" s="355"/>
      <c r="Z21" s="356"/>
      <c r="AA21" s="357"/>
      <c r="AB21" s="358"/>
      <c r="AC21" s="357"/>
      <c r="AD21" s="359"/>
      <c r="AE21" s="360"/>
      <c r="AF21" s="355"/>
      <c r="AG21" s="355"/>
      <c r="AH21" s="355"/>
      <c r="AI21" s="356"/>
      <c r="AJ21" s="357"/>
      <c r="AK21" s="358"/>
      <c r="AL21" s="357"/>
      <c r="AM21" s="359"/>
      <c r="AN21" s="360"/>
      <c r="AO21" s="355"/>
      <c r="AP21" s="355"/>
      <c r="AQ21" s="355"/>
      <c r="AR21" s="356"/>
      <c r="AS21" s="357"/>
      <c r="AT21" s="358"/>
      <c r="AU21" s="357"/>
      <c r="AV21" s="359"/>
      <c r="AW21" s="360"/>
      <c r="AX21" s="355"/>
      <c r="AY21" s="355"/>
      <c r="AZ21" s="355"/>
      <c r="BA21" s="356"/>
      <c r="BB21" s="357"/>
      <c r="BC21" s="358"/>
      <c r="BD21" s="357"/>
      <c r="BE21" s="359"/>
      <c r="BF21" s="360"/>
      <c r="BG21" s="355"/>
      <c r="BH21" s="355"/>
      <c r="BI21" s="355"/>
      <c r="BJ21" s="356"/>
      <c r="BK21" s="357"/>
      <c r="BL21" s="358"/>
      <c r="BM21" s="357"/>
      <c r="BN21" s="359"/>
      <c r="BO21" s="360"/>
      <c r="BP21" s="355"/>
      <c r="BQ21" s="355"/>
      <c r="BR21" s="355"/>
      <c r="BS21" s="356"/>
      <c r="BT21" s="357"/>
      <c r="BU21" s="358"/>
      <c r="BV21" s="357"/>
      <c r="BW21" s="359"/>
      <c r="BX21" s="360"/>
      <c r="BY21" s="355"/>
      <c r="BZ21" s="355"/>
      <c r="CA21" s="355"/>
      <c r="CB21" s="356"/>
      <c r="CC21" s="357"/>
      <c r="CD21" s="358"/>
      <c r="CE21" s="357"/>
      <c r="CF21" s="359"/>
      <c r="CG21" s="360"/>
      <c r="CH21" s="355"/>
      <c r="CI21" s="355"/>
      <c r="CJ21" s="355"/>
      <c r="CK21" s="356"/>
      <c r="CL21" s="357"/>
      <c r="CM21" s="358"/>
      <c r="CN21" s="357"/>
      <c r="CO21" s="359"/>
      <c r="CP21" s="360"/>
      <c r="CQ21" s="355"/>
      <c r="CR21" s="355"/>
      <c r="CS21" s="355"/>
      <c r="CT21" s="356"/>
      <c r="CU21" s="357"/>
      <c r="CV21" s="358"/>
      <c r="CW21" s="357"/>
      <c r="CX21" s="359"/>
      <c r="CY21" s="360"/>
      <c r="CZ21" s="355"/>
      <c r="DA21" s="355"/>
      <c r="DB21" s="355"/>
      <c r="DC21" s="356"/>
      <c r="DD21" s="357"/>
      <c r="DE21" s="358"/>
      <c r="DF21" s="357"/>
      <c r="DG21" s="359"/>
      <c r="DH21" s="360"/>
      <c r="DI21" s="355"/>
      <c r="DJ21" s="355"/>
      <c r="DK21" s="355"/>
      <c r="DL21" s="356"/>
      <c r="DM21" s="357"/>
      <c r="DN21" s="358"/>
      <c r="DO21" s="357"/>
      <c r="DP21" s="359"/>
      <c r="DQ21" s="360"/>
      <c r="DR21" s="355"/>
      <c r="DS21" s="355"/>
      <c r="DT21" s="355"/>
      <c r="DU21" s="356"/>
      <c r="DV21" s="357"/>
      <c r="DW21" s="358"/>
      <c r="DX21" s="357"/>
      <c r="DY21" s="359"/>
      <c r="DZ21" s="360"/>
      <c r="EA21" s="355"/>
      <c r="EB21" s="355"/>
      <c r="EC21" s="355"/>
      <c r="ED21" s="356"/>
      <c r="EE21" s="357"/>
      <c r="EF21" s="358"/>
      <c r="EG21" s="357"/>
      <c r="EH21" s="359"/>
      <c r="EI21" s="360"/>
      <c r="EJ21" s="355"/>
      <c r="EK21" s="355"/>
      <c r="EL21" s="355"/>
      <c r="EM21" s="356"/>
      <c r="EN21" s="357"/>
      <c r="EO21" s="358"/>
      <c r="EP21" s="357"/>
      <c r="EQ21" s="359"/>
      <c r="ER21" s="360"/>
      <c r="ES21" s="355"/>
      <c r="ET21" s="355"/>
      <c r="EU21" s="355"/>
      <c r="EV21" s="356"/>
      <c r="EW21" s="357"/>
      <c r="EX21" s="358"/>
      <c r="EY21" s="357"/>
      <c r="EZ21" s="359"/>
      <c r="FA21" s="360"/>
      <c r="FB21" s="355"/>
      <c r="FC21" s="355"/>
      <c r="FD21" s="355"/>
      <c r="FE21" s="356"/>
      <c r="FF21" s="357"/>
      <c r="FG21" s="358"/>
      <c r="FH21" s="357"/>
      <c r="FI21" s="359"/>
      <c r="FJ21" s="360"/>
      <c r="FK21" s="355"/>
      <c r="FL21" s="355"/>
      <c r="FM21" s="355"/>
      <c r="FN21" s="356"/>
      <c r="FO21" s="357"/>
      <c r="FP21" s="358"/>
      <c r="FQ21" s="357"/>
      <c r="FR21" s="359"/>
      <c r="FS21" s="360"/>
      <c r="FT21" s="355"/>
      <c r="FU21" s="355"/>
      <c r="FV21" s="355"/>
      <c r="FW21" s="356"/>
      <c r="FX21" s="357"/>
      <c r="FY21" s="358"/>
      <c r="FZ21" s="357"/>
      <c r="GA21" s="359"/>
      <c r="GB21" s="360"/>
      <c r="GC21" s="355"/>
      <c r="GD21" s="355"/>
      <c r="GE21" s="355"/>
      <c r="GF21" s="356"/>
      <c r="GG21" s="357"/>
      <c r="GH21" s="358"/>
      <c r="GI21" s="357"/>
      <c r="GJ21" s="359"/>
      <c r="GK21" s="360"/>
      <c r="GL21" s="355"/>
      <c r="GM21" s="355"/>
      <c r="GN21" s="355"/>
      <c r="GO21" s="356"/>
      <c r="GP21" s="357"/>
      <c r="GQ21" s="358"/>
      <c r="GR21" s="357"/>
      <c r="GS21" s="359"/>
      <c r="GT21" s="360"/>
      <c r="GU21" s="362">
        <v>42774</v>
      </c>
      <c r="GV21" s="98"/>
      <c r="GW21" s="65"/>
      <c r="GX21" s="74"/>
      <c r="GY21" s="74"/>
      <c r="GZ21" s="405" t="s">
        <v>175</v>
      </c>
      <c r="HA21" s="404">
        <v>4408</v>
      </c>
    </row>
    <row r="22" spans="1:210" x14ac:dyDescent="0.25">
      <c r="D22" s="35"/>
      <c r="E22" s="36"/>
      <c r="F22" s="37"/>
      <c r="G22" s="38"/>
      <c r="H22" s="39"/>
      <c r="I22" s="40"/>
      <c r="J22" s="68" t="s">
        <v>45</v>
      </c>
      <c r="K22" s="69" t="s">
        <v>40</v>
      </c>
      <c r="L22" s="69">
        <v>220</v>
      </c>
      <c r="M22" s="70">
        <v>20520</v>
      </c>
      <c r="N22" s="71">
        <v>42753</v>
      </c>
      <c r="O22" s="380" t="s">
        <v>129</v>
      </c>
      <c r="P22" s="72">
        <v>25590</v>
      </c>
      <c r="Q22" s="113">
        <f t="shared" si="1"/>
        <v>5070</v>
      </c>
      <c r="R22" s="64">
        <v>31.5</v>
      </c>
      <c r="S22" s="64"/>
      <c r="T22" s="64"/>
      <c r="U22" s="39">
        <f t="shared" si="0"/>
        <v>806085</v>
      </c>
      <c r="V22" s="363" t="s">
        <v>72</v>
      </c>
      <c r="W22" s="353">
        <v>42775</v>
      </c>
      <c r="X22" s="368">
        <v>15758.6</v>
      </c>
      <c r="Y22" s="355"/>
      <c r="Z22" s="356"/>
      <c r="AA22" s="357"/>
      <c r="AB22" s="358"/>
      <c r="AC22" s="357"/>
      <c r="AD22" s="359"/>
      <c r="AE22" s="360"/>
      <c r="AF22" s="355"/>
      <c r="AG22" s="355"/>
      <c r="AH22" s="355"/>
      <c r="AI22" s="356"/>
      <c r="AJ22" s="357"/>
      <c r="AK22" s="358"/>
      <c r="AL22" s="357"/>
      <c r="AM22" s="359"/>
      <c r="AN22" s="360"/>
      <c r="AO22" s="355"/>
      <c r="AP22" s="355"/>
      <c r="AQ22" s="355"/>
      <c r="AR22" s="356"/>
      <c r="AS22" s="357"/>
      <c r="AT22" s="358"/>
      <c r="AU22" s="357"/>
      <c r="AV22" s="359"/>
      <c r="AW22" s="360"/>
      <c r="AX22" s="355"/>
      <c r="AY22" s="355"/>
      <c r="AZ22" s="355"/>
      <c r="BA22" s="356"/>
      <c r="BB22" s="357"/>
      <c r="BC22" s="358"/>
      <c r="BD22" s="357"/>
      <c r="BE22" s="359"/>
      <c r="BF22" s="360"/>
      <c r="BG22" s="355"/>
      <c r="BH22" s="355"/>
      <c r="BI22" s="355"/>
      <c r="BJ22" s="356"/>
      <c r="BK22" s="357"/>
      <c r="BL22" s="358"/>
      <c r="BM22" s="357"/>
      <c r="BN22" s="359"/>
      <c r="BO22" s="360"/>
      <c r="BP22" s="355"/>
      <c r="BQ22" s="355"/>
      <c r="BR22" s="355"/>
      <c r="BS22" s="356"/>
      <c r="BT22" s="357"/>
      <c r="BU22" s="358"/>
      <c r="BV22" s="357"/>
      <c r="BW22" s="359"/>
      <c r="BX22" s="360"/>
      <c r="BY22" s="355"/>
      <c r="BZ22" s="355"/>
      <c r="CA22" s="355"/>
      <c r="CB22" s="356"/>
      <c r="CC22" s="357"/>
      <c r="CD22" s="358"/>
      <c r="CE22" s="357"/>
      <c r="CF22" s="359"/>
      <c r="CG22" s="360"/>
      <c r="CH22" s="355"/>
      <c r="CI22" s="355"/>
      <c r="CJ22" s="355"/>
      <c r="CK22" s="356"/>
      <c r="CL22" s="357"/>
      <c r="CM22" s="358"/>
      <c r="CN22" s="357"/>
      <c r="CO22" s="359"/>
      <c r="CP22" s="360"/>
      <c r="CQ22" s="355"/>
      <c r="CR22" s="355"/>
      <c r="CS22" s="355"/>
      <c r="CT22" s="356"/>
      <c r="CU22" s="357"/>
      <c r="CV22" s="358"/>
      <c r="CW22" s="357"/>
      <c r="CX22" s="359"/>
      <c r="CY22" s="360"/>
      <c r="CZ22" s="355"/>
      <c r="DA22" s="355"/>
      <c r="DB22" s="355"/>
      <c r="DC22" s="356"/>
      <c r="DD22" s="357"/>
      <c r="DE22" s="358"/>
      <c r="DF22" s="357"/>
      <c r="DG22" s="359"/>
      <c r="DH22" s="360"/>
      <c r="DI22" s="355"/>
      <c r="DJ22" s="355"/>
      <c r="DK22" s="355"/>
      <c r="DL22" s="356"/>
      <c r="DM22" s="357"/>
      <c r="DN22" s="358"/>
      <c r="DO22" s="357"/>
      <c r="DP22" s="359"/>
      <c r="DQ22" s="360"/>
      <c r="DR22" s="355"/>
      <c r="DS22" s="355"/>
      <c r="DT22" s="355"/>
      <c r="DU22" s="356"/>
      <c r="DV22" s="357"/>
      <c r="DW22" s="358"/>
      <c r="DX22" s="357"/>
      <c r="DY22" s="359"/>
      <c r="DZ22" s="360"/>
      <c r="EA22" s="355"/>
      <c r="EB22" s="355"/>
      <c r="EC22" s="355"/>
      <c r="ED22" s="356"/>
      <c r="EE22" s="357"/>
      <c r="EF22" s="358"/>
      <c r="EG22" s="357"/>
      <c r="EH22" s="359"/>
      <c r="EI22" s="360"/>
      <c r="EJ22" s="355"/>
      <c r="EK22" s="355"/>
      <c r="EL22" s="355"/>
      <c r="EM22" s="356"/>
      <c r="EN22" s="357"/>
      <c r="EO22" s="358"/>
      <c r="EP22" s="357"/>
      <c r="EQ22" s="359"/>
      <c r="ER22" s="360"/>
      <c r="ES22" s="355"/>
      <c r="ET22" s="355"/>
      <c r="EU22" s="355"/>
      <c r="EV22" s="356"/>
      <c r="EW22" s="357"/>
      <c r="EX22" s="358"/>
      <c r="EY22" s="357"/>
      <c r="EZ22" s="359"/>
      <c r="FA22" s="360"/>
      <c r="FB22" s="355"/>
      <c r="FC22" s="355"/>
      <c r="FD22" s="355"/>
      <c r="FE22" s="356"/>
      <c r="FF22" s="357"/>
      <c r="FG22" s="358"/>
      <c r="FH22" s="357"/>
      <c r="FI22" s="359"/>
      <c r="FJ22" s="360"/>
      <c r="FK22" s="355"/>
      <c r="FL22" s="355"/>
      <c r="FM22" s="355"/>
      <c r="FN22" s="356"/>
      <c r="FO22" s="357"/>
      <c r="FP22" s="358"/>
      <c r="FQ22" s="357"/>
      <c r="FR22" s="359"/>
      <c r="FS22" s="360"/>
      <c r="FT22" s="355"/>
      <c r="FU22" s="355"/>
      <c r="FV22" s="355"/>
      <c r="FW22" s="356"/>
      <c r="FX22" s="357"/>
      <c r="FY22" s="358"/>
      <c r="FZ22" s="357"/>
      <c r="GA22" s="359"/>
      <c r="GB22" s="360"/>
      <c r="GC22" s="355"/>
      <c r="GD22" s="355"/>
      <c r="GE22" s="355"/>
      <c r="GF22" s="356"/>
      <c r="GG22" s="357"/>
      <c r="GH22" s="358"/>
      <c r="GI22" s="357"/>
      <c r="GJ22" s="359"/>
      <c r="GK22" s="360"/>
      <c r="GL22" s="355"/>
      <c r="GM22" s="355"/>
      <c r="GN22" s="355"/>
      <c r="GO22" s="356"/>
      <c r="GP22" s="357"/>
      <c r="GQ22" s="358"/>
      <c r="GR22" s="357"/>
      <c r="GS22" s="359"/>
      <c r="GT22" s="360"/>
      <c r="GU22" s="362">
        <v>42775</v>
      </c>
      <c r="GV22" s="98"/>
      <c r="GW22" s="65">
        <v>22176</v>
      </c>
      <c r="GX22" s="74" t="s">
        <v>78</v>
      </c>
      <c r="GY22" s="74"/>
      <c r="GZ22" s="403" t="s">
        <v>175</v>
      </c>
      <c r="HA22" s="404">
        <v>4408</v>
      </c>
    </row>
    <row r="23" spans="1:210" ht="26.25" x14ac:dyDescent="0.25">
      <c r="D23" s="35"/>
      <c r="E23" s="36"/>
      <c r="F23" s="37"/>
      <c r="G23" s="38"/>
      <c r="H23" s="39"/>
      <c r="I23" s="40"/>
      <c r="J23" s="68" t="s">
        <v>43</v>
      </c>
      <c r="K23" s="69" t="s">
        <v>61</v>
      </c>
      <c r="L23" s="69">
        <v>200</v>
      </c>
      <c r="M23" s="70">
        <v>20090</v>
      </c>
      <c r="N23" s="71">
        <v>42754</v>
      </c>
      <c r="O23" s="381" t="s">
        <v>133</v>
      </c>
      <c r="P23" s="72">
        <f>24855-124</f>
        <v>24731</v>
      </c>
      <c r="Q23" s="113">
        <f t="shared" si="1"/>
        <v>4641</v>
      </c>
      <c r="R23" s="117">
        <v>30.8</v>
      </c>
      <c r="S23" s="64"/>
      <c r="T23" s="120"/>
      <c r="U23" s="39">
        <v>0</v>
      </c>
      <c r="V23" s="363" t="s">
        <v>72</v>
      </c>
      <c r="W23" s="353">
        <v>42779</v>
      </c>
      <c r="X23" s="369">
        <v>14326</v>
      </c>
      <c r="Y23" s="355"/>
      <c r="Z23" s="356"/>
      <c r="AA23" s="357"/>
      <c r="AB23" s="358"/>
      <c r="AC23" s="357"/>
      <c r="AD23" s="359"/>
      <c r="AE23" s="360"/>
      <c r="AF23" s="355"/>
      <c r="AG23" s="355"/>
      <c r="AH23" s="355"/>
      <c r="AI23" s="356"/>
      <c r="AJ23" s="357"/>
      <c r="AK23" s="358"/>
      <c r="AL23" s="357"/>
      <c r="AM23" s="359"/>
      <c r="AN23" s="360"/>
      <c r="AO23" s="355"/>
      <c r="AP23" s="355"/>
      <c r="AQ23" s="355"/>
      <c r="AR23" s="356"/>
      <c r="AS23" s="357"/>
      <c r="AT23" s="358"/>
      <c r="AU23" s="357"/>
      <c r="AV23" s="359"/>
      <c r="AW23" s="360"/>
      <c r="AX23" s="355"/>
      <c r="AY23" s="355"/>
      <c r="AZ23" s="355"/>
      <c r="BA23" s="356"/>
      <c r="BB23" s="357"/>
      <c r="BC23" s="358"/>
      <c r="BD23" s="357"/>
      <c r="BE23" s="359"/>
      <c r="BF23" s="360"/>
      <c r="BG23" s="355"/>
      <c r="BH23" s="355"/>
      <c r="BI23" s="355"/>
      <c r="BJ23" s="356"/>
      <c r="BK23" s="357"/>
      <c r="BL23" s="358"/>
      <c r="BM23" s="357"/>
      <c r="BN23" s="359"/>
      <c r="BO23" s="360"/>
      <c r="BP23" s="355"/>
      <c r="BQ23" s="355"/>
      <c r="BR23" s="355"/>
      <c r="BS23" s="356"/>
      <c r="BT23" s="357"/>
      <c r="BU23" s="358"/>
      <c r="BV23" s="357"/>
      <c r="BW23" s="359"/>
      <c r="BX23" s="360"/>
      <c r="BY23" s="355"/>
      <c r="BZ23" s="355"/>
      <c r="CA23" s="355"/>
      <c r="CB23" s="356"/>
      <c r="CC23" s="357"/>
      <c r="CD23" s="358"/>
      <c r="CE23" s="357"/>
      <c r="CF23" s="359"/>
      <c r="CG23" s="360"/>
      <c r="CH23" s="355"/>
      <c r="CI23" s="355"/>
      <c r="CJ23" s="355"/>
      <c r="CK23" s="356"/>
      <c r="CL23" s="357"/>
      <c r="CM23" s="358"/>
      <c r="CN23" s="357"/>
      <c r="CO23" s="359"/>
      <c r="CP23" s="360"/>
      <c r="CQ23" s="355"/>
      <c r="CR23" s="355"/>
      <c r="CS23" s="355"/>
      <c r="CT23" s="356"/>
      <c r="CU23" s="357"/>
      <c r="CV23" s="358"/>
      <c r="CW23" s="357"/>
      <c r="CX23" s="359"/>
      <c r="CY23" s="360"/>
      <c r="CZ23" s="355"/>
      <c r="DA23" s="355"/>
      <c r="DB23" s="355"/>
      <c r="DC23" s="356"/>
      <c r="DD23" s="357"/>
      <c r="DE23" s="358"/>
      <c r="DF23" s="357"/>
      <c r="DG23" s="359"/>
      <c r="DH23" s="360"/>
      <c r="DI23" s="355"/>
      <c r="DJ23" s="355"/>
      <c r="DK23" s="355"/>
      <c r="DL23" s="356"/>
      <c r="DM23" s="357"/>
      <c r="DN23" s="358"/>
      <c r="DO23" s="357"/>
      <c r="DP23" s="359"/>
      <c r="DQ23" s="360"/>
      <c r="DR23" s="355"/>
      <c r="DS23" s="355"/>
      <c r="DT23" s="355"/>
      <c r="DU23" s="356"/>
      <c r="DV23" s="357"/>
      <c r="DW23" s="358"/>
      <c r="DX23" s="357"/>
      <c r="DY23" s="359"/>
      <c r="DZ23" s="360"/>
      <c r="EA23" s="355"/>
      <c r="EB23" s="355"/>
      <c r="EC23" s="355"/>
      <c r="ED23" s="356"/>
      <c r="EE23" s="357"/>
      <c r="EF23" s="358"/>
      <c r="EG23" s="357"/>
      <c r="EH23" s="359"/>
      <c r="EI23" s="360"/>
      <c r="EJ23" s="355"/>
      <c r="EK23" s="355"/>
      <c r="EL23" s="355"/>
      <c r="EM23" s="356"/>
      <c r="EN23" s="357"/>
      <c r="EO23" s="358"/>
      <c r="EP23" s="357"/>
      <c r="EQ23" s="359"/>
      <c r="ER23" s="360"/>
      <c r="ES23" s="355"/>
      <c r="ET23" s="355"/>
      <c r="EU23" s="355"/>
      <c r="EV23" s="356"/>
      <c r="EW23" s="357"/>
      <c r="EX23" s="358"/>
      <c r="EY23" s="357"/>
      <c r="EZ23" s="359"/>
      <c r="FA23" s="360"/>
      <c r="FB23" s="355"/>
      <c r="FC23" s="355"/>
      <c r="FD23" s="355"/>
      <c r="FE23" s="356"/>
      <c r="FF23" s="357"/>
      <c r="FG23" s="358"/>
      <c r="FH23" s="357"/>
      <c r="FI23" s="359"/>
      <c r="FJ23" s="360"/>
      <c r="FK23" s="355"/>
      <c r="FL23" s="355"/>
      <c r="FM23" s="355"/>
      <c r="FN23" s="356"/>
      <c r="FO23" s="357"/>
      <c r="FP23" s="358"/>
      <c r="FQ23" s="357"/>
      <c r="FR23" s="359"/>
      <c r="FS23" s="360"/>
      <c r="FT23" s="355"/>
      <c r="FU23" s="355"/>
      <c r="FV23" s="355"/>
      <c r="FW23" s="356"/>
      <c r="FX23" s="357"/>
      <c r="FY23" s="358"/>
      <c r="FZ23" s="357"/>
      <c r="GA23" s="359"/>
      <c r="GB23" s="360"/>
      <c r="GC23" s="355"/>
      <c r="GD23" s="355"/>
      <c r="GE23" s="355"/>
      <c r="GF23" s="356"/>
      <c r="GG23" s="357"/>
      <c r="GH23" s="358"/>
      <c r="GI23" s="357"/>
      <c r="GJ23" s="359"/>
      <c r="GK23" s="360"/>
      <c r="GL23" s="355"/>
      <c r="GM23" s="355"/>
      <c r="GN23" s="355"/>
      <c r="GO23" s="356"/>
      <c r="GP23" s="357"/>
      <c r="GQ23" s="358"/>
      <c r="GR23" s="357"/>
      <c r="GS23" s="359"/>
      <c r="GT23" s="360"/>
      <c r="GU23" s="370">
        <v>42779</v>
      </c>
      <c r="GV23" s="98"/>
      <c r="GW23" s="84"/>
      <c r="GX23" s="74"/>
      <c r="GY23" s="74"/>
      <c r="GZ23" s="403" t="s">
        <v>175</v>
      </c>
      <c r="HA23" s="404">
        <v>4408</v>
      </c>
    </row>
    <row r="24" spans="1:210" x14ac:dyDescent="0.25">
      <c r="D24" s="35"/>
      <c r="E24" s="36"/>
      <c r="F24" s="37"/>
      <c r="G24" s="38"/>
      <c r="H24" s="39"/>
      <c r="I24" s="40"/>
      <c r="J24" s="383" t="s">
        <v>62</v>
      </c>
      <c r="K24" s="123" t="s">
        <v>63</v>
      </c>
      <c r="L24" s="123">
        <v>144</v>
      </c>
      <c r="M24" s="70">
        <v>13210</v>
      </c>
      <c r="N24" s="71">
        <v>42755</v>
      </c>
      <c r="O24" s="56" t="s">
        <v>80</v>
      </c>
      <c r="P24" s="72">
        <v>13233.3</v>
      </c>
      <c r="Q24" s="113">
        <f t="shared" si="1"/>
        <v>23.299999999999272</v>
      </c>
      <c r="R24" s="117">
        <v>41.3</v>
      </c>
      <c r="S24" s="117"/>
      <c r="T24" s="89"/>
      <c r="U24" s="39">
        <f t="shared" si="0"/>
        <v>546535.28999999992</v>
      </c>
      <c r="V24" s="115" t="s">
        <v>72</v>
      </c>
      <c r="W24" s="112">
        <v>42759</v>
      </c>
      <c r="X24" s="118"/>
      <c r="Y24" s="17"/>
      <c r="Z24" s="20"/>
      <c r="AA24" s="92"/>
      <c r="AB24" s="93"/>
      <c r="AC24" s="92"/>
      <c r="AD24" s="94"/>
      <c r="AE24" s="95"/>
      <c r="AF24" s="17"/>
      <c r="AG24" s="17"/>
      <c r="AH24" s="17"/>
      <c r="AI24" s="20"/>
      <c r="AJ24" s="92"/>
      <c r="AK24" s="93"/>
      <c r="AL24" s="92"/>
      <c r="AM24" s="94"/>
      <c r="AN24" s="95"/>
      <c r="AO24" s="17"/>
      <c r="AP24" s="17"/>
      <c r="AQ24" s="17"/>
      <c r="AR24" s="20"/>
      <c r="AS24" s="92"/>
      <c r="AT24" s="93"/>
      <c r="AU24" s="92"/>
      <c r="AV24" s="94"/>
      <c r="AW24" s="95"/>
      <c r="AX24" s="17"/>
      <c r="AY24" s="17"/>
      <c r="AZ24" s="17"/>
      <c r="BA24" s="20"/>
      <c r="BB24" s="92"/>
      <c r="BC24" s="93"/>
      <c r="BD24" s="92"/>
      <c r="BE24" s="94"/>
      <c r="BF24" s="95"/>
      <c r="BG24" s="17"/>
      <c r="BH24" s="17"/>
      <c r="BI24" s="17"/>
      <c r="BJ24" s="20"/>
      <c r="BK24" s="92"/>
      <c r="BL24" s="93"/>
      <c r="BM24" s="92"/>
      <c r="BN24" s="94"/>
      <c r="BO24" s="95"/>
      <c r="BP24" s="17"/>
      <c r="BQ24" s="17"/>
      <c r="BR24" s="17"/>
      <c r="BS24" s="20"/>
      <c r="BT24" s="92"/>
      <c r="BU24" s="93"/>
      <c r="BV24" s="92"/>
      <c r="BW24" s="94"/>
      <c r="BX24" s="95"/>
      <c r="BY24" s="17"/>
      <c r="BZ24" s="17"/>
      <c r="CA24" s="17"/>
      <c r="CB24" s="20"/>
      <c r="CC24" s="92"/>
      <c r="CD24" s="93"/>
      <c r="CE24" s="92"/>
      <c r="CF24" s="94"/>
      <c r="CG24" s="95"/>
      <c r="CH24" s="17"/>
      <c r="CI24" s="17"/>
      <c r="CJ24" s="17"/>
      <c r="CK24" s="20"/>
      <c r="CL24" s="92"/>
      <c r="CM24" s="93"/>
      <c r="CN24" s="92"/>
      <c r="CO24" s="94"/>
      <c r="CP24" s="95"/>
      <c r="CQ24" s="17"/>
      <c r="CR24" s="17"/>
      <c r="CS24" s="17"/>
      <c r="CT24" s="20"/>
      <c r="CU24" s="92"/>
      <c r="CV24" s="93"/>
      <c r="CW24" s="92"/>
      <c r="CX24" s="94"/>
      <c r="CY24" s="95"/>
      <c r="CZ24" s="17"/>
      <c r="DA24" s="17"/>
      <c r="DB24" s="17"/>
      <c r="DC24" s="20"/>
      <c r="DD24" s="92"/>
      <c r="DE24" s="93"/>
      <c r="DF24" s="92"/>
      <c r="DG24" s="94"/>
      <c r="DH24" s="95"/>
      <c r="DI24" s="17"/>
      <c r="DJ24" s="17"/>
      <c r="DK24" s="17"/>
      <c r="DL24" s="20"/>
      <c r="DM24" s="92"/>
      <c r="DN24" s="93"/>
      <c r="DO24" s="92"/>
      <c r="DP24" s="94"/>
      <c r="DQ24" s="95"/>
      <c r="DR24" s="17"/>
      <c r="DS24" s="17"/>
      <c r="DT24" s="17"/>
      <c r="DU24" s="20"/>
      <c r="DV24" s="92"/>
      <c r="DW24" s="93"/>
      <c r="DX24" s="92"/>
      <c r="DY24" s="94"/>
      <c r="DZ24" s="95"/>
      <c r="EA24" s="17"/>
      <c r="EB24" s="17"/>
      <c r="EC24" s="17"/>
      <c r="ED24" s="20"/>
      <c r="EE24" s="92"/>
      <c r="EF24" s="93"/>
      <c r="EG24" s="92"/>
      <c r="EH24" s="94"/>
      <c r="EI24" s="95"/>
      <c r="EJ24" s="17"/>
      <c r="EK24" s="17"/>
      <c r="EL24" s="17"/>
      <c r="EM24" s="20"/>
      <c r="EN24" s="92"/>
      <c r="EO24" s="93"/>
      <c r="EP24" s="92"/>
      <c r="EQ24" s="94"/>
      <c r="ER24" s="95"/>
      <c r="ES24" s="17"/>
      <c r="ET24" s="17"/>
      <c r="EU24" s="17"/>
      <c r="EV24" s="20"/>
      <c r="EW24" s="92"/>
      <c r="EX24" s="93"/>
      <c r="EY24" s="92"/>
      <c r="EZ24" s="94"/>
      <c r="FA24" s="95"/>
      <c r="FB24" s="17"/>
      <c r="FC24" s="17"/>
      <c r="FD24" s="17"/>
      <c r="FE24" s="20"/>
      <c r="FF24" s="92"/>
      <c r="FG24" s="93"/>
      <c r="FH24" s="92"/>
      <c r="FI24" s="94"/>
      <c r="FJ24" s="95"/>
      <c r="FK24" s="17"/>
      <c r="FL24" s="17"/>
      <c r="FM24" s="17"/>
      <c r="FN24" s="20"/>
      <c r="FO24" s="92"/>
      <c r="FP24" s="93"/>
      <c r="FQ24" s="92"/>
      <c r="FR24" s="94"/>
      <c r="FS24" s="95"/>
      <c r="FT24" s="17"/>
      <c r="FU24" s="17"/>
      <c r="FV24" s="17"/>
      <c r="FW24" s="20"/>
      <c r="FX24" s="92"/>
      <c r="FY24" s="93"/>
      <c r="FZ24" s="92"/>
      <c r="GA24" s="94"/>
      <c r="GB24" s="95"/>
      <c r="GC24" s="17"/>
      <c r="GD24" s="17"/>
      <c r="GE24" s="17"/>
      <c r="GF24" s="20"/>
      <c r="GG24" s="92"/>
      <c r="GH24" s="93"/>
      <c r="GI24" s="92"/>
      <c r="GJ24" s="94"/>
      <c r="GK24" s="95"/>
      <c r="GL24" s="17"/>
      <c r="GM24" s="17"/>
      <c r="GN24" s="17"/>
      <c r="GO24" s="20"/>
      <c r="GP24" s="92"/>
      <c r="GQ24" s="93"/>
      <c r="GR24" s="92"/>
      <c r="GS24" s="94"/>
      <c r="GT24" s="95"/>
      <c r="GU24" s="97"/>
      <c r="GV24" s="98"/>
      <c r="GW24" s="65"/>
      <c r="GX24" s="74"/>
      <c r="GY24" s="74"/>
      <c r="GZ24" s="403" t="s">
        <v>176</v>
      </c>
      <c r="HA24" s="404">
        <v>0</v>
      </c>
    </row>
    <row r="25" spans="1:210" x14ac:dyDescent="0.25">
      <c r="D25" s="35"/>
      <c r="E25" s="36"/>
      <c r="F25" s="37"/>
      <c r="G25" s="38"/>
      <c r="H25" s="39"/>
      <c r="I25" s="40"/>
      <c r="J25" s="68" t="s">
        <v>64</v>
      </c>
      <c r="K25" s="69" t="s">
        <v>37</v>
      </c>
      <c r="L25" s="69">
        <v>200</v>
      </c>
      <c r="M25" s="70">
        <v>18150</v>
      </c>
      <c r="N25" s="71">
        <v>42755</v>
      </c>
      <c r="O25" s="380" t="s">
        <v>132</v>
      </c>
      <c r="P25" s="72">
        <v>22545</v>
      </c>
      <c r="Q25" s="113">
        <f t="shared" si="1"/>
        <v>4395</v>
      </c>
      <c r="R25" s="64">
        <v>30.8</v>
      </c>
      <c r="S25" s="124"/>
      <c r="T25" s="117"/>
      <c r="U25" s="39">
        <f t="shared" si="0"/>
        <v>694386</v>
      </c>
      <c r="V25" s="363" t="s">
        <v>72</v>
      </c>
      <c r="W25" s="353">
        <v>42779</v>
      </c>
      <c r="X25" s="371">
        <v>14326</v>
      </c>
      <c r="Y25" s="355"/>
      <c r="Z25" s="356"/>
      <c r="AA25" s="357"/>
      <c r="AB25" s="358"/>
      <c r="AC25" s="357"/>
      <c r="AD25" s="359"/>
      <c r="AE25" s="360"/>
      <c r="AF25" s="355"/>
      <c r="AG25" s="355"/>
      <c r="AH25" s="355"/>
      <c r="AI25" s="356"/>
      <c r="AJ25" s="357"/>
      <c r="AK25" s="358"/>
      <c r="AL25" s="357"/>
      <c r="AM25" s="359"/>
      <c r="AN25" s="360"/>
      <c r="AO25" s="355"/>
      <c r="AP25" s="355"/>
      <c r="AQ25" s="355"/>
      <c r="AR25" s="356"/>
      <c r="AS25" s="357"/>
      <c r="AT25" s="358"/>
      <c r="AU25" s="357"/>
      <c r="AV25" s="359"/>
      <c r="AW25" s="360"/>
      <c r="AX25" s="355"/>
      <c r="AY25" s="355"/>
      <c r="AZ25" s="355"/>
      <c r="BA25" s="356"/>
      <c r="BB25" s="357"/>
      <c r="BC25" s="358"/>
      <c r="BD25" s="357"/>
      <c r="BE25" s="359"/>
      <c r="BF25" s="360"/>
      <c r="BG25" s="355"/>
      <c r="BH25" s="355"/>
      <c r="BI25" s="355"/>
      <c r="BJ25" s="356"/>
      <c r="BK25" s="357"/>
      <c r="BL25" s="358"/>
      <c r="BM25" s="357"/>
      <c r="BN25" s="359"/>
      <c r="BO25" s="360"/>
      <c r="BP25" s="355"/>
      <c r="BQ25" s="355"/>
      <c r="BR25" s="355"/>
      <c r="BS25" s="356"/>
      <c r="BT25" s="357"/>
      <c r="BU25" s="358"/>
      <c r="BV25" s="357"/>
      <c r="BW25" s="359"/>
      <c r="BX25" s="360"/>
      <c r="BY25" s="355"/>
      <c r="BZ25" s="355"/>
      <c r="CA25" s="355"/>
      <c r="CB25" s="356"/>
      <c r="CC25" s="357"/>
      <c r="CD25" s="358"/>
      <c r="CE25" s="357"/>
      <c r="CF25" s="359"/>
      <c r="CG25" s="360"/>
      <c r="CH25" s="355"/>
      <c r="CI25" s="355"/>
      <c r="CJ25" s="355"/>
      <c r="CK25" s="356"/>
      <c r="CL25" s="357"/>
      <c r="CM25" s="358"/>
      <c r="CN25" s="357"/>
      <c r="CO25" s="359"/>
      <c r="CP25" s="360"/>
      <c r="CQ25" s="355"/>
      <c r="CR25" s="355"/>
      <c r="CS25" s="355"/>
      <c r="CT25" s="356"/>
      <c r="CU25" s="357"/>
      <c r="CV25" s="358"/>
      <c r="CW25" s="357"/>
      <c r="CX25" s="359"/>
      <c r="CY25" s="360"/>
      <c r="CZ25" s="355"/>
      <c r="DA25" s="355"/>
      <c r="DB25" s="355"/>
      <c r="DC25" s="356"/>
      <c r="DD25" s="357"/>
      <c r="DE25" s="358"/>
      <c r="DF25" s="357"/>
      <c r="DG25" s="359"/>
      <c r="DH25" s="360"/>
      <c r="DI25" s="355"/>
      <c r="DJ25" s="355"/>
      <c r="DK25" s="355"/>
      <c r="DL25" s="356"/>
      <c r="DM25" s="357"/>
      <c r="DN25" s="358"/>
      <c r="DO25" s="357"/>
      <c r="DP25" s="359"/>
      <c r="DQ25" s="360"/>
      <c r="DR25" s="355"/>
      <c r="DS25" s="355"/>
      <c r="DT25" s="355"/>
      <c r="DU25" s="356"/>
      <c r="DV25" s="357"/>
      <c r="DW25" s="358"/>
      <c r="DX25" s="357"/>
      <c r="DY25" s="359"/>
      <c r="DZ25" s="360"/>
      <c r="EA25" s="355"/>
      <c r="EB25" s="355"/>
      <c r="EC25" s="355"/>
      <c r="ED25" s="356"/>
      <c r="EE25" s="357"/>
      <c r="EF25" s="358"/>
      <c r="EG25" s="357"/>
      <c r="EH25" s="359"/>
      <c r="EI25" s="360"/>
      <c r="EJ25" s="355"/>
      <c r="EK25" s="355"/>
      <c r="EL25" s="355"/>
      <c r="EM25" s="356"/>
      <c r="EN25" s="357"/>
      <c r="EO25" s="358"/>
      <c r="EP25" s="357"/>
      <c r="EQ25" s="359"/>
      <c r="ER25" s="360"/>
      <c r="ES25" s="355"/>
      <c r="ET25" s="355"/>
      <c r="EU25" s="355"/>
      <c r="EV25" s="356"/>
      <c r="EW25" s="357"/>
      <c r="EX25" s="358"/>
      <c r="EY25" s="357"/>
      <c r="EZ25" s="359"/>
      <c r="FA25" s="360"/>
      <c r="FB25" s="355"/>
      <c r="FC25" s="355"/>
      <c r="FD25" s="355"/>
      <c r="FE25" s="356"/>
      <c r="FF25" s="357"/>
      <c r="FG25" s="358"/>
      <c r="FH25" s="357"/>
      <c r="FI25" s="359"/>
      <c r="FJ25" s="360"/>
      <c r="FK25" s="355"/>
      <c r="FL25" s="355"/>
      <c r="FM25" s="355"/>
      <c r="FN25" s="356"/>
      <c r="FO25" s="357"/>
      <c r="FP25" s="358"/>
      <c r="FQ25" s="357"/>
      <c r="FR25" s="359"/>
      <c r="FS25" s="360"/>
      <c r="FT25" s="355"/>
      <c r="FU25" s="355"/>
      <c r="FV25" s="355"/>
      <c r="FW25" s="356"/>
      <c r="FX25" s="357"/>
      <c r="FY25" s="358"/>
      <c r="FZ25" s="357"/>
      <c r="GA25" s="359"/>
      <c r="GB25" s="360"/>
      <c r="GC25" s="355"/>
      <c r="GD25" s="355"/>
      <c r="GE25" s="355"/>
      <c r="GF25" s="356"/>
      <c r="GG25" s="357"/>
      <c r="GH25" s="358"/>
      <c r="GI25" s="357"/>
      <c r="GJ25" s="359"/>
      <c r="GK25" s="360"/>
      <c r="GL25" s="355"/>
      <c r="GM25" s="355"/>
      <c r="GN25" s="355"/>
      <c r="GO25" s="356"/>
      <c r="GP25" s="357"/>
      <c r="GQ25" s="358"/>
      <c r="GR25" s="357"/>
      <c r="GS25" s="359"/>
      <c r="GT25" s="360"/>
      <c r="GU25" s="370">
        <v>42779</v>
      </c>
      <c r="GV25" s="98"/>
      <c r="GW25" s="65">
        <v>221769</v>
      </c>
      <c r="GX25" s="74" t="s">
        <v>79</v>
      </c>
      <c r="GY25" s="74"/>
      <c r="GZ25" s="403" t="s">
        <v>175</v>
      </c>
      <c r="HA25" s="404">
        <v>4408</v>
      </c>
    </row>
    <row r="26" spans="1:210" x14ac:dyDescent="0.25">
      <c r="D26" s="35"/>
      <c r="E26" s="36"/>
      <c r="F26" s="37"/>
      <c r="G26" s="38"/>
      <c r="H26" s="39"/>
      <c r="I26" s="40"/>
      <c r="J26" s="68" t="s">
        <v>66</v>
      </c>
      <c r="K26" s="69" t="s">
        <v>65</v>
      </c>
      <c r="L26" s="69">
        <v>129</v>
      </c>
      <c r="M26" s="70">
        <v>11420</v>
      </c>
      <c r="N26" s="71">
        <v>42757</v>
      </c>
      <c r="O26" s="380" t="s">
        <v>135</v>
      </c>
      <c r="P26" s="72">
        <v>15130</v>
      </c>
      <c r="Q26" s="113">
        <f t="shared" si="1"/>
        <v>3710</v>
      </c>
      <c r="R26" s="64">
        <v>30.3</v>
      </c>
      <c r="S26" s="124"/>
      <c r="T26" s="125"/>
      <c r="U26" s="39">
        <f t="shared" si="0"/>
        <v>458439</v>
      </c>
      <c r="V26" s="363" t="s">
        <v>72</v>
      </c>
      <c r="W26" s="353">
        <v>42781</v>
      </c>
      <c r="X26" s="371">
        <v>9311.9</v>
      </c>
      <c r="Y26" s="355"/>
      <c r="Z26" s="356"/>
      <c r="AA26" s="357"/>
      <c r="AB26" s="358"/>
      <c r="AC26" s="357"/>
      <c r="AD26" s="359"/>
      <c r="AE26" s="360"/>
      <c r="AF26" s="355"/>
      <c r="AG26" s="355"/>
      <c r="AH26" s="355"/>
      <c r="AI26" s="356"/>
      <c r="AJ26" s="357"/>
      <c r="AK26" s="358"/>
      <c r="AL26" s="357"/>
      <c r="AM26" s="359"/>
      <c r="AN26" s="360"/>
      <c r="AO26" s="355"/>
      <c r="AP26" s="355"/>
      <c r="AQ26" s="355"/>
      <c r="AR26" s="356"/>
      <c r="AS26" s="357"/>
      <c r="AT26" s="358"/>
      <c r="AU26" s="357"/>
      <c r="AV26" s="359"/>
      <c r="AW26" s="360"/>
      <c r="AX26" s="355"/>
      <c r="AY26" s="355"/>
      <c r="AZ26" s="355"/>
      <c r="BA26" s="356"/>
      <c r="BB26" s="357"/>
      <c r="BC26" s="358"/>
      <c r="BD26" s="357"/>
      <c r="BE26" s="359"/>
      <c r="BF26" s="360"/>
      <c r="BG26" s="355"/>
      <c r="BH26" s="355"/>
      <c r="BI26" s="355"/>
      <c r="BJ26" s="356"/>
      <c r="BK26" s="357"/>
      <c r="BL26" s="358"/>
      <c r="BM26" s="357"/>
      <c r="BN26" s="359"/>
      <c r="BO26" s="360"/>
      <c r="BP26" s="355"/>
      <c r="BQ26" s="355"/>
      <c r="BR26" s="355"/>
      <c r="BS26" s="356"/>
      <c r="BT26" s="357"/>
      <c r="BU26" s="358"/>
      <c r="BV26" s="357"/>
      <c r="BW26" s="359"/>
      <c r="BX26" s="360"/>
      <c r="BY26" s="355"/>
      <c r="BZ26" s="355"/>
      <c r="CA26" s="355"/>
      <c r="CB26" s="356"/>
      <c r="CC26" s="357"/>
      <c r="CD26" s="358"/>
      <c r="CE26" s="357"/>
      <c r="CF26" s="359"/>
      <c r="CG26" s="360"/>
      <c r="CH26" s="355"/>
      <c r="CI26" s="355"/>
      <c r="CJ26" s="355"/>
      <c r="CK26" s="356"/>
      <c r="CL26" s="357"/>
      <c r="CM26" s="358"/>
      <c r="CN26" s="357"/>
      <c r="CO26" s="359"/>
      <c r="CP26" s="360"/>
      <c r="CQ26" s="355"/>
      <c r="CR26" s="355"/>
      <c r="CS26" s="355"/>
      <c r="CT26" s="356"/>
      <c r="CU26" s="357"/>
      <c r="CV26" s="358"/>
      <c r="CW26" s="357"/>
      <c r="CX26" s="359"/>
      <c r="CY26" s="360"/>
      <c r="CZ26" s="355"/>
      <c r="DA26" s="355"/>
      <c r="DB26" s="355"/>
      <c r="DC26" s="356"/>
      <c r="DD26" s="357"/>
      <c r="DE26" s="358"/>
      <c r="DF26" s="357"/>
      <c r="DG26" s="359"/>
      <c r="DH26" s="360"/>
      <c r="DI26" s="355"/>
      <c r="DJ26" s="355"/>
      <c r="DK26" s="355"/>
      <c r="DL26" s="356"/>
      <c r="DM26" s="357"/>
      <c r="DN26" s="358"/>
      <c r="DO26" s="357"/>
      <c r="DP26" s="359"/>
      <c r="DQ26" s="360"/>
      <c r="DR26" s="355"/>
      <c r="DS26" s="355"/>
      <c r="DT26" s="355"/>
      <c r="DU26" s="356"/>
      <c r="DV26" s="357"/>
      <c r="DW26" s="358"/>
      <c r="DX26" s="357"/>
      <c r="DY26" s="359"/>
      <c r="DZ26" s="360"/>
      <c r="EA26" s="355"/>
      <c r="EB26" s="355"/>
      <c r="EC26" s="355"/>
      <c r="ED26" s="356"/>
      <c r="EE26" s="357"/>
      <c r="EF26" s="358"/>
      <c r="EG26" s="357"/>
      <c r="EH26" s="359"/>
      <c r="EI26" s="360"/>
      <c r="EJ26" s="355"/>
      <c r="EK26" s="355"/>
      <c r="EL26" s="355"/>
      <c r="EM26" s="356"/>
      <c r="EN26" s="357"/>
      <c r="EO26" s="358"/>
      <c r="EP26" s="357"/>
      <c r="EQ26" s="359"/>
      <c r="ER26" s="360"/>
      <c r="ES26" s="355"/>
      <c r="ET26" s="355"/>
      <c r="EU26" s="355"/>
      <c r="EV26" s="356"/>
      <c r="EW26" s="357"/>
      <c r="EX26" s="358"/>
      <c r="EY26" s="357"/>
      <c r="EZ26" s="359"/>
      <c r="FA26" s="360"/>
      <c r="FB26" s="355"/>
      <c r="FC26" s="355"/>
      <c r="FD26" s="355"/>
      <c r="FE26" s="356"/>
      <c r="FF26" s="357"/>
      <c r="FG26" s="358"/>
      <c r="FH26" s="357"/>
      <c r="FI26" s="359"/>
      <c r="FJ26" s="360"/>
      <c r="FK26" s="355"/>
      <c r="FL26" s="355"/>
      <c r="FM26" s="355"/>
      <c r="FN26" s="356"/>
      <c r="FO26" s="357"/>
      <c r="FP26" s="358"/>
      <c r="FQ26" s="357"/>
      <c r="FR26" s="359"/>
      <c r="FS26" s="360"/>
      <c r="FT26" s="355"/>
      <c r="FU26" s="355"/>
      <c r="FV26" s="355"/>
      <c r="FW26" s="356"/>
      <c r="FX26" s="357"/>
      <c r="FY26" s="358"/>
      <c r="FZ26" s="357"/>
      <c r="GA26" s="359"/>
      <c r="GB26" s="360"/>
      <c r="GC26" s="355"/>
      <c r="GD26" s="355"/>
      <c r="GE26" s="355"/>
      <c r="GF26" s="356"/>
      <c r="GG26" s="357"/>
      <c r="GH26" s="358"/>
      <c r="GI26" s="357"/>
      <c r="GJ26" s="359"/>
      <c r="GK26" s="360"/>
      <c r="GL26" s="355"/>
      <c r="GM26" s="355"/>
      <c r="GN26" s="355"/>
      <c r="GO26" s="356"/>
      <c r="GP26" s="357"/>
      <c r="GQ26" s="358"/>
      <c r="GR26" s="357"/>
      <c r="GS26" s="359"/>
      <c r="GT26" s="360"/>
      <c r="GU26" s="370">
        <v>42781</v>
      </c>
      <c r="GV26" s="98"/>
      <c r="GW26" s="65">
        <v>17584</v>
      </c>
      <c r="GX26" s="74" t="s">
        <v>111</v>
      </c>
      <c r="GY26" s="74"/>
      <c r="GZ26" s="403" t="s">
        <v>175</v>
      </c>
      <c r="HA26" s="404">
        <v>2552</v>
      </c>
    </row>
    <row r="27" spans="1:210" x14ac:dyDescent="0.25">
      <c r="A27"/>
      <c r="D27" s="35"/>
      <c r="E27" s="36"/>
      <c r="F27" s="37"/>
      <c r="G27" s="38"/>
      <c r="H27" s="39"/>
      <c r="I27" s="40"/>
      <c r="J27" s="68" t="s">
        <v>68</v>
      </c>
      <c r="K27" s="69" t="s">
        <v>67</v>
      </c>
      <c r="L27" s="69">
        <v>199</v>
      </c>
      <c r="M27" s="70">
        <v>19830</v>
      </c>
      <c r="N27" s="71">
        <v>42757</v>
      </c>
      <c r="O27" s="380" t="s">
        <v>134</v>
      </c>
      <c r="P27" s="72">
        <v>24470</v>
      </c>
      <c r="Q27" s="113">
        <f t="shared" si="1"/>
        <v>4640</v>
      </c>
      <c r="R27" s="126">
        <v>30.3</v>
      </c>
      <c r="S27" s="127"/>
      <c r="T27" s="127"/>
      <c r="U27" s="39">
        <f t="shared" si="0"/>
        <v>741441</v>
      </c>
      <c r="V27" s="363" t="s">
        <v>72</v>
      </c>
      <c r="W27" s="353">
        <v>42780</v>
      </c>
      <c r="X27" s="368">
        <v>14254.37</v>
      </c>
      <c r="Y27" s="355"/>
      <c r="Z27" s="356"/>
      <c r="AA27" s="357"/>
      <c r="AB27" s="358"/>
      <c r="AC27" s="357"/>
      <c r="AD27" s="359"/>
      <c r="AE27" s="360"/>
      <c r="AF27" s="355"/>
      <c r="AG27" s="355"/>
      <c r="AH27" s="355"/>
      <c r="AI27" s="356"/>
      <c r="AJ27" s="357"/>
      <c r="AK27" s="358"/>
      <c r="AL27" s="357"/>
      <c r="AM27" s="359"/>
      <c r="AN27" s="360"/>
      <c r="AO27" s="355"/>
      <c r="AP27" s="355"/>
      <c r="AQ27" s="355"/>
      <c r="AR27" s="356"/>
      <c r="AS27" s="357"/>
      <c r="AT27" s="358"/>
      <c r="AU27" s="357"/>
      <c r="AV27" s="359"/>
      <c r="AW27" s="360"/>
      <c r="AX27" s="355"/>
      <c r="AY27" s="355"/>
      <c r="AZ27" s="355"/>
      <c r="BA27" s="356"/>
      <c r="BB27" s="357"/>
      <c r="BC27" s="358"/>
      <c r="BD27" s="357"/>
      <c r="BE27" s="359"/>
      <c r="BF27" s="360"/>
      <c r="BG27" s="355"/>
      <c r="BH27" s="355"/>
      <c r="BI27" s="355"/>
      <c r="BJ27" s="356"/>
      <c r="BK27" s="357"/>
      <c r="BL27" s="358"/>
      <c r="BM27" s="357"/>
      <c r="BN27" s="359"/>
      <c r="BO27" s="360"/>
      <c r="BP27" s="355"/>
      <c r="BQ27" s="355"/>
      <c r="BR27" s="355"/>
      <c r="BS27" s="356"/>
      <c r="BT27" s="357"/>
      <c r="BU27" s="358"/>
      <c r="BV27" s="357"/>
      <c r="BW27" s="359"/>
      <c r="BX27" s="360"/>
      <c r="BY27" s="355"/>
      <c r="BZ27" s="355"/>
      <c r="CA27" s="355"/>
      <c r="CB27" s="356"/>
      <c r="CC27" s="357"/>
      <c r="CD27" s="358"/>
      <c r="CE27" s="357"/>
      <c r="CF27" s="359"/>
      <c r="CG27" s="360"/>
      <c r="CH27" s="355"/>
      <c r="CI27" s="355"/>
      <c r="CJ27" s="355"/>
      <c r="CK27" s="356"/>
      <c r="CL27" s="357"/>
      <c r="CM27" s="358"/>
      <c r="CN27" s="357"/>
      <c r="CO27" s="359"/>
      <c r="CP27" s="360"/>
      <c r="CQ27" s="355"/>
      <c r="CR27" s="355"/>
      <c r="CS27" s="355"/>
      <c r="CT27" s="356"/>
      <c r="CU27" s="357"/>
      <c r="CV27" s="358"/>
      <c r="CW27" s="357"/>
      <c r="CX27" s="359"/>
      <c r="CY27" s="360"/>
      <c r="CZ27" s="355"/>
      <c r="DA27" s="355"/>
      <c r="DB27" s="355"/>
      <c r="DC27" s="356"/>
      <c r="DD27" s="357"/>
      <c r="DE27" s="358"/>
      <c r="DF27" s="357"/>
      <c r="DG27" s="359"/>
      <c r="DH27" s="360"/>
      <c r="DI27" s="355"/>
      <c r="DJ27" s="355"/>
      <c r="DK27" s="355"/>
      <c r="DL27" s="356"/>
      <c r="DM27" s="357"/>
      <c r="DN27" s="358"/>
      <c r="DO27" s="357"/>
      <c r="DP27" s="359"/>
      <c r="DQ27" s="360"/>
      <c r="DR27" s="355"/>
      <c r="DS27" s="355"/>
      <c r="DT27" s="355"/>
      <c r="DU27" s="356"/>
      <c r="DV27" s="357"/>
      <c r="DW27" s="358"/>
      <c r="DX27" s="357"/>
      <c r="DY27" s="359"/>
      <c r="DZ27" s="360"/>
      <c r="EA27" s="355"/>
      <c r="EB27" s="355"/>
      <c r="EC27" s="355"/>
      <c r="ED27" s="356"/>
      <c r="EE27" s="357"/>
      <c r="EF27" s="358"/>
      <c r="EG27" s="357"/>
      <c r="EH27" s="359"/>
      <c r="EI27" s="360"/>
      <c r="EJ27" s="355"/>
      <c r="EK27" s="355"/>
      <c r="EL27" s="355"/>
      <c r="EM27" s="356"/>
      <c r="EN27" s="357"/>
      <c r="EO27" s="358"/>
      <c r="EP27" s="357"/>
      <c r="EQ27" s="359"/>
      <c r="ER27" s="360"/>
      <c r="ES27" s="355"/>
      <c r="ET27" s="355"/>
      <c r="EU27" s="355"/>
      <c r="EV27" s="356"/>
      <c r="EW27" s="357"/>
      <c r="EX27" s="358"/>
      <c r="EY27" s="357"/>
      <c r="EZ27" s="359"/>
      <c r="FA27" s="360"/>
      <c r="FB27" s="355"/>
      <c r="FC27" s="355"/>
      <c r="FD27" s="355"/>
      <c r="FE27" s="356"/>
      <c r="FF27" s="357"/>
      <c r="FG27" s="358"/>
      <c r="FH27" s="357"/>
      <c r="FI27" s="359"/>
      <c r="FJ27" s="360"/>
      <c r="FK27" s="355"/>
      <c r="FL27" s="355"/>
      <c r="FM27" s="355"/>
      <c r="FN27" s="356"/>
      <c r="FO27" s="357"/>
      <c r="FP27" s="358"/>
      <c r="FQ27" s="357"/>
      <c r="FR27" s="359"/>
      <c r="FS27" s="360"/>
      <c r="FT27" s="355"/>
      <c r="FU27" s="355"/>
      <c r="FV27" s="355"/>
      <c r="FW27" s="356"/>
      <c r="FX27" s="357"/>
      <c r="FY27" s="358"/>
      <c r="FZ27" s="357"/>
      <c r="GA27" s="359"/>
      <c r="GB27" s="360"/>
      <c r="GC27" s="355"/>
      <c r="GD27" s="355"/>
      <c r="GE27" s="355"/>
      <c r="GF27" s="356"/>
      <c r="GG27" s="357"/>
      <c r="GH27" s="358"/>
      <c r="GI27" s="357"/>
      <c r="GJ27" s="359"/>
      <c r="GK27" s="360"/>
      <c r="GL27" s="355"/>
      <c r="GM27" s="355"/>
      <c r="GN27" s="355"/>
      <c r="GO27" s="356"/>
      <c r="GP27" s="357"/>
      <c r="GQ27" s="358"/>
      <c r="GR27" s="357"/>
      <c r="GS27" s="359"/>
      <c r="GT27" s="360"/>
      <c r="GU27" s="362">
        <v>42780</v>
      </c>
      <c r="GV27" s="98"/>
      <c r="GW27" s="65"/>
      <c r="GX27" s="74"/>
      <c r="GY27" s="74"/>
      <c r="GZ27" s="403" t="s">
        <v>175</v>
      </c>
      <c r="HA27" s="404">
        <v>4408</v>
      </c>
    </row>
    <row r="28" spans="1:210" x14ac:dyDescent="0.25">
      <c r="A28"/>
      <c r="D28" s="35"/>
      <c r="E28" s="36"/>
      <c r="F28" s="37"/>
      <c r="G28" s="38"/>
      <c r="H28" s="39"/>
      <c r="I28" s="40"/>
      <c r="J28" s="68" t="s">
        <v>44</v>
      </c>
      <c r="K28" s="69" t="s">
        <v>40</v>
      </c>
      <c r="L28" s="69">
        <v>220</v>
      </c>
      <c r="M28" s="70">
        <v>19730</v>
      </c>
      <c r="N28" s="71">
        <v>42758</v>
      </c>
      <c r="O28" s="380" t="s">
        <v>141</v>
      </c>
      <c r="P28" s="72">
        <v>24535</v>
      </c>
      <c r="Q28" s="113">
        <f t="shared" si="1"/>
        <v>4805</v>
      </c>
      <c r="R28" s="117">
        <v>30.3</v>
      </c>
      <c r="S28" s="127"/>
      <c r="T28" s="127"/>
      <c r="U28" s="39">
        <f t="shared" si="0"/>
        <v>743410.5</v>
      </c>
      <c r="V28" s="363" t="s">
        <v>72</v>
      </c>
      <c r="W28" s="353">
        <v>42783</v>
      </c>
      <c r="X28" s="368">
        <v>15758.6</v>
      </c>
      <c r="Y28" s="355"/>
      <c r="Z28" s="356"/>
      <c r="AA28" s="357"/>
      <c r="AB28" s="358"/>
      <c r="AC28" s="357"/>
      <c r="AD28" s="359"/>
      <c r="AE28" s="360"/>
      <c r="AF28" s="355"/>
      <c r="AG28" s="355"/>
      <c r="AH28" s="355"/>
      <c r="AI28" s="356"/>
      <c r="AJ28" s="357"/>
      <c r="AK28" s="358"/>
      <c r="AL28" s="357"/>
      <c r="AM28" s="359"/>
      <c r="AN28" s="360"/>
      <c r="AO28" s="355"/>
      <c r="AP28" s="355"/>
      <c r="AQ28" s="355"/>
      <c r="AR28" s="356"/>
      <c r="AS28" s="357"/>
      <c r="AT28" s="358"/>
      <c r="AU28" s="357"/>
      <c r="AV28" s="359"/>
      <c r="AW28" s="360"/>
      <c r="AX28" s="355"/>
      <c r="AY28" s="355"/>
      <c r="AZ28" s="355"/>
      <c r="BA28" s="356"/>
      <c r="BB28" s="357"/>
      <c r="BC28" s="358"/>
      <c r="BD28" s="357"/>
      <c r="BE28" s="359"/>
      <c r="BF28" s="360"/>
      <c r="BG28" s="355"/>
      <c r="BH28" s="355"/>
      <c r="BI28" s="355"/>
      <c r="BJ28" s="356"/>
      <c r="BK28" s="357"/>
      <c r="BL28" s="358"/>
      <c r="BM28" s="357"/>
      <c r="BN28" s="359"/>
      <c r="BO28" s="360"/>
      <c r="BP28" s="355"/>
      <c r="BQ28" s="355"/>
      <c r="BR28" s="355"/>
      <c r="BS28" s="356"/>
      <c r="BT28" s="357"/>
      <c r="BU28" s="358"/>
      <c r="BV28" s="357"/>
      <c r="BW28" s="359"/>
      <c r="BX28" s="360"/>
      <c r="BY28" s="355"/>
      <c r="BZ28" s="355"/>
      <c r="CA28" s="355"/>
      <c r="CB28" s="356"/>
      <c r="CC28" s="357"/>
      <c r="CD28" s="358"/>
      <c r="CE28" s="357"/>
      <c r="CF28" s="359"/>
      <c r="CG28" s="360"/>
      <c r="CH28" s="355"/>
      <c r="CI28" s="355"/>
      <c r="CJ28" s="355"/>
      <c r="CK28" s="356"/>
      <c r="CL28" s="357"/>
      <c r="CM28" s="358"/>
      <c r="CN28" s="357"/>
      <c r="CO28" s="359"/>
      <c r="CP28" s="360"/>
      <c r="CQ28" s="355"/>
      <c r="CR28" s="355"/>
      <c r="CS28" s="355"/>
      <c r="CT28" s="356"/>
      <c r="CU28" s="357"/>
      <c r="CV28" s="358"/>
      <c r="CW28" s="357"/>
      <c r="CX28" s="359"/>
      <c r="CY28" s="360"/>
      <c r="CZ28" s="355"/>
      <c r="DA28" s="355"/>
      <c r="DB28" s="355"/>
      <c r="DC28" s="356"/>
      <c r="DD28" s="357"/>
      <c r="DE28" s="358"/>
      <c r="DF28" s="357"/>
      <c r="DG28" s="359"/>
      <c r="DH28" s="360"/>
      <c r="DI28" s="355"/>
      <c r="DJ28" s="355"/>
      <c r="DK28" s="355"/>
      <c r="DL28" s="356"/>
      <c r="DM28" s="357"/>
      <c r="DN28" s="358"/>
      <c r="DO28" s="357"/>
      <c r="DP28" s="359"/>
      <c r="DQ28" s="360"/>
      <c r="DR28" s="355"/>
      <c r="DS28" s="355"/>
      <c r="DT28" s="355"/>
      <c r="DU28" s="356"/>
      <c r="DV28" s="357"/>
      <c r="DW28" s="358"/>
      <c r="DX28" s="357"/>
      <c r="DY28" s="359"/>
      <c r="DZ28" s="360"/>
      <c r="EA28" s="355"/>
      <c r="EB28" s="355"/>
      <c r="EC28" s="355"/>
      <c r="ED28" s="356"/>
      <c r="EE28" s="357"/>
      <c r="EF28" s="358"/>
      <c r="EG28" s="357"/>
      <c r="EH28" s="359"/>
      <c r="EI28" s="360"/>
      <c r="EJ28" s="355"/>
      <c r="EK28" s="355"/>
      <c r="EL28" s="355"/>
      <c r="EM28" s="356"/>
      <c r="EN28" s="357"/>
      <c r="EO28" s="358"/>
      <c r="EP28" s="357"/>
      <c r="EQ28" s="359"/>
      <c r="ER28" s="360"/>
      <c r="ES28" s="355"/>
      <c r="ET28" s="355"/>
      <c r="EU28" s="355"/>
      <c r="EV28" s="356"/>
      <c r="EW28" s="357"/>
      <c r="EX28" s="358"/>
      <c r="EY28" s="357"/>
      <c r="EZ28" s="359"/>
      <c r="FA28" s="360"/>
      <c r="FB28" s="355"/>
      <c r="FC28" s="355"/>
      <c r="FD28" s="355"/>
      <c r="FE28" s="356"/>
      <c r="FF28" s="357"/>
      <c r="FG28" s="358"/>
      <c r="FH28" s="357"/>
      <c r="FI28" s="359"/>
      <c r="FJ28" s="360"/>
      <c r="FK28" s="355"/>
      <c r="FL28" s="355"/>
      <c r="FM28" s="355"/>
      <c r="FN28" s="356"/>
      <c r="FO28" s="357"/>
      <c r="FP28" s="358"/>
      <c r="FQ28" s="357"/>
      <c r="FR28" s="359"/>
      <c r="FS28" s="360"/>
      <c r="FT28" s="355"/>
      <c r="FU28" s="355"/>
      <c r="FV28" s="355"/>
      <c r="FW28" s="356"/>
      <c r="FX28" s="357"/>
      <c r="FY28" s="358"/>
      <c r="FZ28" s="357"/>
      <c r="GA28" s="359"/>
      <c r="GB28" s="360"/>
      <c r="GC28" s="355"/>
      <c r="GD28" s="355"/>
      <c r="GE28" s="355"/>
      <c r="GF28" s="356"/>
      <c r="GG28" s="357"/>
      <c r="GH28" s="358"/>
      <c r="GI28" s="357"/>
      <c r="GJ28" s="359"/>
      <c r="GK28" s="360"/>
      <c r="GL28" s="355"/>
      <c r="GM28" s="355"/>
      <c r="GN28" s="355"/>
      <c r="GO28" s="356"/>
      <c r="GP28" s="357"/>
      <c r="GQ28" s="358"/>
      <c r="GR28" s="357"/>
      <c r="GS28" s="359"/>
      <c r="GT28" s="360"/>
      <c r="GU28" s="362">
        <v>42783</v>
      </c>
      <c r="GV28" s="98"/>
      <c r="GW28" s="65">
        <v>22176</v>
      </c>
      <c r="GX28" s="74" t="s">
        <v>112</v>
      </c>
      <c r="GY28" s="74"/>
      <c r="GZ28" s="403" t="s">
        <v>175</v>
      </c>
      <c r="HA28" s="404">
        <v>4408</v>
      </c>
    </row>
    <row r="29" spans="1:210" x14ac:dyDescent="0.25">
      <c r="A29"/>
      <c r="D29" s="35"/>
      <c r="E29" s="36"/>
      <c r="F29" s="37"/>
      <c r="G29" s="38"/>
      <c r="H29" s="39"/>
      <c r="I29" s="40"/>
      <c r="J29" s="68" t="s">
        <v>69</v>
      </c>
      <c r="K29" s="69" t="s">
        <v>39</v>
      </c>
      <c r="L29" s="69">
        <v>219</v>
      </c>
      <c r="M29" s="70">
        <v>19700</v>
      </c>
      <c r="N29" s="71">
        <v>42759</v>
      </c>
      <c r="O29" s="380" t="s">
        <v>137</v>
      </c>
      <c r="P29" s="72">
        <v>24255</v>
      </c>
      <c r="Q29" s="113">
        <f t="shared" si="1"/>
        <v>4555</v>
      </c>
      <c r="R29" s="117">
        <v>30.3</v>
      </c>
      <c r="S29" s="117"/>
      <c r="T29" s="117"/>
      <c r="U29" s="39">
        <f>R29*P29</f>
        <v>734926.5</v>
      </c>
      <c r="V29" s="363" t="s">
        <v>72</v>
      </c>
      <c r="W29" s="353">
        <v>42782</v>
      </c>
      <c r="X29" s="368">
        <v>15686.97</v>
      </c>
      <c r="Y29" s="355"/>
      <c r="Z29" s="356"/>
      <c r="AA29" s="357"/>
      <c r="AB29" s="358"/>
      <c r="AC29" s="357"/>
      <c r="AD29" s="359"/>
      <c r="AE29" s="360"/>
      <c r="AF29" s="355"/>
      <c r="AG29" s="355"/>
      <c r="AH29" s="355"/>
      <c r="AI29" s="356"/>
      <c r="AJ29" s="357"/>
      <c r="AK29" s="358"/>
      <c r="AL29" s="357"/>
      <c r="AM29" s="359"/>
      <c r="AN29" s="360"/>
      <c r="AO29" s="355"/>
      <c r="AP29" s="355"/>
      <c r="AQ29" s="355"/>
      <c r="AR29" s="356"/>
      <c r="AS29" s="357"/>
      <c r="AT29" s="358"/>
      <c r="AU29" s="357"/>
      <c r="AV29" s="359"/>
      <c r="AW29" s="360"/>
      <c r="AX29" s="355"/>
      <c r="AY29" s="355"/>
      <c r="AZ29" s="355"/>
      <c r="BA29" s="356"/>
      <c r="BB29" s="357"/>
      <c r="BC29" s="358"/>
      <c r="BD29" s="357"/>
      <c r="BE29" s="359"/>
      <c r="BF29" s="360"/>
      <c r="BG29" s="355"/>
      <c r="BH29" s="355"/>
      <c r="BI29" s="355"/>
      <c r="BJ29" s="356"/>
      <c r="BK29" s="357"/>
      <c r="BL29" s="358"/>
      <c r="BM29" s="357"/>
      <c r="BN29" s="359"/>
      <c r="BO29" s="360"/>
      <c r="BP29" s="355"/>
      <c r="BQ29" s="355"/>
      <c r="BR29" s="355"/>
      <c r="BS29" s="356"/>
      <c r="BT29" s="357"/>
      <c r="BU29" s="358"/>
      <c r="BV29" s="357"/>
      <c r="BW29" s="359"/>
      <c r="BX29" s="360"/>
      <c r="BY29" s="355"/>
      <c r="BZ29" s="355"/>
      <c r="CA29" s="355"/>
      <c r="CB29" s="356"/>
      <c r="CC29" s="357"/>
      <c r="CD29" s="358"/>
      <c r="CE29" s="357"/>
      <c r="CF29" s="359"/>
      <c r="CG29" s="360"/>
      <c r="CH29" s="355"/>
      <c r="CI29" s="355"/>
      <c r="CJ29" s="355"/>
      <c r="CK29" s="356"/>
      <c r="CL29" s="357"/>
      <c r="CM29" s="358"/>
      <c r="CN29" s="357"/>
      <c r="CO29" s="359"/>
      <c r="CP29" s="360"/>
      <c r="CQ29" s="355"/>
      <c r="CR29" s="355"/>
      <c r="CS29" s="355"/>
      <c r="CT29" s="356"/>
      <c r="CU29" s="357"/>
      <c r="CV29" s="358"/>
      <c r="CW29" s="357"/>
      <c r="CX29" s="359"/>
      <c r="CY29" s="360"/>
      <c r="CZ29" s="355"/>
      <c r="DA29" s="355"/>
      <c r="DB29" s="355"/>
      <c r="DC29" s="356"/>
      <c r="DD29" s="357"/>
      <c r="DE29" s="358"/>
      <c r="DF29" s="357"/>
      <c r="DG29" s="359"/>
      <c r="DH29" s="360"/>
      <c r="DI29" s="355"/>
      <c r="DJ29" s="355"/>
      <c r="DK29" s="355"/>
      <c r="DL29" s="356"/>
      <c r="DM29" s="357"/>
      <c r="DN29" s="358"/>
      <c r="DO29" s="357"/>
      <c r="DP29" s="359"/>
      <c r="DQ29" s="360"/>
      <c r="DR29" s="355"/>
      <c r="DS29" s="355"/>
      <c r="DT29" s="355"/>
      <c r="DU29" s="356"/>
      <c r="DV29" s="357"/>
      <c r="DW29" s="358"/>
      <c r="DX29" s="357"/>
      <c r="DY29" s="359"/>
      <c r="DZ29" s="360"/>
      <c r="EA29" s="355"/>
      <c r="EB29" s="355"/>
      <c r="EC29" s="355"/>
      <c r="ED29" s="356"/>
      <c r="EE29" s="357"/>
      <c r="EF29" s="358"/>
      <c r="EG29" s="357"/>
      <c r="EH29" s="359"/>
      <c r="EI29" s="360"/>
      <c r="EJ29" s="355"/>
      <c r="EK29" s="355"/>
      <c r="EL29" s="355"/>
      <c r="EM29" s="356"/>
      <c r="EN29" s="357"/>
      <c r="EO29" s="358"/>
      <c r="EP29" s="357"/>
      <c r="EQ29" s="359"/>
      <c r="ER29" s="360"/>
      <c r="ES29" s="355"/>
      <c r="ET29" s="355"/>
      <c r="EU29" s="355"/>
      <c r="EV29" s="356"/>
      <c r="EW29" s="357"/>
      <c r="EX29" s="358"/>
      <c r="EY29" s="357"/>
      <c r="EZ29" s="359"/>
      <c r="FA29" s="360"/>
      <c r="FB29" s="355"/>
      <c r="FC29" s="355"/>
      <c r="FD29" s="355"/>
      <c r="FE29" s="356"/>
      <c r="FF29" s="357"/>
      <c r="FG29" s="358"/>
      <c r="FH29" s="357"/>
      <c r="FI29" s="359"/>
      <c r="FJ29" s="360"/>
      <c r="FK29" s="355"/>
      <c r="FL29" s="355"/>
      <c r="FM29" s="355"/>
      <c r="FN29" s="356"/>
      <c r="FO29" s="357"/>
      <c r="FP29" s="358"/>
      <c r="FQ29" s="357"/>
      <c r="FR29" s="359"/>
      <c r="FS29" s="360"/>
      <c r="FT29" s="355"/>
      <c r="FU29" s="355"/>
      <c r="FV29" s="355"/>
      <c r="FW29" s="356"/>
      <c r="FX29" s="357"/>
      <c r="FY29" s="358"/>
      <c r="FZ29" s="357"/>
      <c r="GA29" s="359"/>
      <c r="GB29" s="360"/>
      <c r="GC29" s="355"/>
      <c r="GD29" s="355"/>
      <c r="GE29" s="355"/>
      <c r="GF29" s="356"/>
      <c r="GG29" s="357"/>
      <c r="GH29" s="358"/>
      <c r="GI29" s="357"/>
      <c r="GJ29" s="359"/>
      <c r="GK29" s="360"/>
      <c r="GL29" s="355"/>
      <c r="GM29" s="355"/>
      <c r="GN29" s="355"/>
      <c r="GO29" s="356"/>
      <c r="GP29" s="357"/>
      <c r="GQ29" s="358"/>
      <c r="GR29" s="357"/>
      <c r="GS29" s="359"/>
      <c r="GT29" s="360"/>
      <c r="GU29" s="384">
        <v>42782</v>
      </c>
      <c r="GV29" s="98"/>
      <c r="GW29" s="65"/>
      <c r="GX29" s="74"/>
      <c r="GY29" s="74"/>
      <c r="GZ29" s="403" t="s">
        <v>175</v>
      </c>
      <c r="HA29" s="404">
        <v>4408</v>
      </c>
    </row>
    <row r="30" spans="1:210" x14ac:dyDescent="0.25">
      <c r="A30"/>
      <c r="D30" s="35"/>
      <c r="E30" s="36"/>
      <c r="F30" s="37"/>
      <c r="G30" s="38"/>
      <c r="H30" s="39"/>
      <c r="I30" s="40"/>
      <c r="J30" s="68" t="s">
        <v>43</v>
      </c>
      <c r="K30" s="69" t="s">
        <v>40</v>
      </c>
      <c r="L30" s="69">
        <v>220</v>
      </c>
      <c r="M30" s="70">
        <v>22010</v>
      </c>
      <c r="N30" s="71">
        <v>42760</v>
      </c>
      <c r="O30" s="380" t="s">
        <v>162</v>
      </c>
      <c r="P30" s="72">
        <v>27080</v>
      </c>
      <c r="Q30" s="113">
        <f t="shared" si="1"/>
        <v>5070</v>
      </c>
      <c r="R30" s="117">
        <v>29.8</v>
      </c>
      <c r="S30" s="117"/>
      <c r="T30" s="117"/>
      <c r="U30" s="39">
        <f>R30*P30</f>
        <v>806984</v>
      </c>
      <c r="V30" s="363" t="s">
        <v>72</v>
      </c>
      <c r="W30" s="353">
        <v>42786</v>
      </c>
      <c r="X30" s="368">
        <v>12758.6</v>
      </c>
      <c r="Y30" s="355"/>
      <c r="Z30" s="356"/>
      <c r="AA30" s="357"/>
      <c r="AB30" s="358"/>
      <c r="AC30" s="357"/>
      <c r="AD30" s="359"/>
      <c r="AE30" s="360"/>
      <c r="AF30" s="355"/>
      <c r="AG30" s="355"/>
      <c r="AH30" s="355"/>
      <c r="AI30" s="356"/>
      <c r="AJ30" s="357"/>
      <c r="AK30" s="358"/>
      <c r="AL30" s="357"/>
      <c r="AM30" s="359"/>
      <c r="AN30" s="360"/>
      <c r="AO30" s="355"/>
      <c r="AP30" s="355"/>
      <c r="AQ30" s="355"/>
      <c r="AR30" s="356"/>
      <c r="AS30" s="357"/>
      <c r="AT30" s="358"/>
      <c r="AU30" s="357"/>
      <c r="AV30" s="359"/>
      <c r="AW30" s="360"/>
      <c r="AX30" s="355"/>
      <c r="AY30" s="355"/>
      <c r="AZ30" s="355"/>
      <c r="BA30" s="356"/>
      <c r="BB30" s="357"/>
      <c r="BC30" s="358"/>
      <c r="BD30" s="357"/>
      <c r="BE30" s="359"/>
      <c r="BF30" s="360"/>
      <c r="BG30" s="355"/>
      <c r="BH30" s="355"/>
      <c r="BI30" s="355"/>
      <c r="BJ30" s="356"/>
      <c r="BK30" s="357"/>
      <c r="BL30" s="358"/>
      <c r="BM30" s="357"/>
      <c r="BN30" s="359"/>
      <c r="BO30" s="360"/>
      <c r="BP30" s="355"/>
      <c r="BQ30" s="355"/>
      <c r="BR30" s="355"/>
      <c r="BS30" s="356"/>
      <c r="BT30" s="357"/>
      <c r="BU30" s="358"/>
      <c r="BV30" s="357"/>
      <c r="BW30" s="359"/>
      <c r="BX30" s="360"/>
      <c r="BY30" s="355"/>
      <c r="BZ30" s="355"/>
      <c r="CA30" s="355"/>
      <c r="CB30" s="356"/>
      <c r="CC30" s="357"/>
      <c r="CD30" s="358"/>
      <c r="CE30" s="357"/>
      <c r="CF30" s="359"/>
      <c r="CG30" s="360"/>
      <c r="CH30" s="355"/>
      <c r="CI30" s="355"/>
      <c r="CJ30" s="355"/>
      <c r="CK30" s="356"/>
      <c r="CL30" s="357"/>
      <c r="CM30" s="358"/>
      <c r="CN30" s="357"/>
      <c r="CO30" s="359"/>
      <c r="CP30" s="360"/>
      <c r="CQ30" s="355"/>
      <c r="CR30" s="355"/>
      <c r="CS30" s="355"/>
      <c r="CT30" s="356"/>
      <c r="CU30" s="357"/>
      <c r="CV30" s="358"/>
      <c r="CW30" s="357"/>
      <c r="CX30" s="359"/>
      <c r="CY30" s="360"/>
      <c r="CZ30" s="355"/>
      <c r="DA30" s="355"/>
      <c r="DB30" s="355"/>
      <c r="DC30" s="356"/>
      <c r="DD30" s="357"/>
      <c r="DE30" s="358"/>
      <c r="DF30" s="357"/>
      <c r="DG30" s="359"/>
      <c r="DH30" s="360"/>
      <c r="DI30" s="355"/>
      <c r="DJ30" s="355"/>
      <c r="DK30" s="355"/>
      <c r="DL30" s="356"/>
      <c r="DM30" s="357"/>
      <c r="DN30" s="358"/>
      <c r="DO30" s="357"/>
      <c r="DP30" s="359"/>
      <c r="DQ30" s="360"/>
      <c r="DR30" s="355"/>
      <c r="DS30" s="355"/>
      <c r="DT30" s="355"/>
      <c r="DU30" s="356"/>
      <c r="DV30" s="357"/>
      <c r="DW30" s="358"/>
      <c r="DX30" s="357"/>
      <c r="DY30" s="359"/>
      <c r="DZ30" s="360"/>
      <c r="EA30" s="355"/>
      <c r="EB30" s="355"/>
      <c r="EC30" s="355"/>
      <c r="ED30" s="356"/>
      <c r="EE30" s="357"/>
      <c r="EF30" s="358"/>
      <c r="EG30" s="357"/>
      <c r="EH30" s="359"/>
      <c r="EI30" s="360"/>
      <c r="EJ30" s="355"/>
      <c r="EK30" s="355"/>
      <c r="EL30" s="355"/>
      <c r="EM30" s="356"/>
      <c r="EN30" s="357"/>
      <c r="EO30" s="358"/>
      <c r="EP30" s="357"/>
      <c r="EQ30" s="359"/>
      <c r="ER30" s="360"/>
      <c r="ES30" s="355"/>
      <c r="ET30" s="355"/>
      <c r="EU30" s="355"/>
      <c r="EV30" s="356"/>
      <c r="EW30" s="357"/>
      <c r="EX30" s="358"/>
      <c r="EY30" s="357"/>
      <c r="EZ30" s="359"/>
      <c r="FA30" s="360"/>
      <c r="FB30" s="355"/>
      <c r="FC30" s="355"/>
      <c r="FD30" s="355"/>
      <c r="FE30" s="356"/>
      <c r="FF30" s="357"/>
      <c r="FG30" s="358"/>
      <c r="FH30" s="357"/>
      <c r="FI30" s="359"/>
      <c r="FJ30" s="360"/>
      <c r="FK30" s="355"/>
      <c r="FL30" s="355"/>
      <c r="FM30" s="355"/>
      <c r="FN30" s="356"/>
      <c r="FO30" s="357"/>
      <c r="FP30" s="358"/>
      <c r="FQ30" s="357"/>
      <c r="FR30" s="359"/>
      <c r="FS30" s="360"/>
      <c r="FT30" s="355"/>
      <c r="FU30" s="355"/>
      <c r="FV30" s="355"/>
      <c r="FW30" s="356"/>
      <c r="FX30" s="357"/>
      <c r="FY30" s="358"/>
      <c r="FZ30" s="357"/>
      <c r="GA30" s="359"/>
      <c r="GB30" s="360"/>
      <c r="GC30" s="355"/>
      <c r="GD30" s="355"/>
      <c r="GE30" s="355"/>
      <c r="GF30" s="356"/>
      <c r="GG30" s="357"/>
      <c r="GH30" s="358"/>
      <c r="GI30" s="357"/>
      <c r="GJ30" s="359"/>
      <c r="GK30" s="360"/>
      <c r="GL30" s="355"/>
      <c r="GM30" s="355"/>
      <c r="GN30" s="355"/>
      <c r="GO30" s="356"/>
      <c r="GP30" s="357"/>
      <c r="GQ30" s="358"/>
      <c r="GR30" s="357"/>
      <c r="GS30" s="359"/>
      <c r="GT30" s="360"/>
      <c r="GU30" s="362">
        <v>42786</v>
      </c>
      <c r="GV30" s="98"/>
      <c r="GW30" s="65">
        <v>22176</v>
      </c>
      <c r="GX30" s="74" t="s">
        <v>113</v>
      </c>
      <c r="GY30" s="74"/>
      <c r="GZ30" s="403" t="s">
        <v>175</v>
      </c>
      <c r="HA30" s="404">
        <v>4408</v>
      </c>
    </row>
    <row r="31" spans="1:210" x14ac:dyDescent="0.25">
      <c r="A31"/>
      <c r="D31" s="35"/>
      <c r="E31" s="36"/>
      <c r="F31" s="37"/>
      <c r="G31" s="38"/>
      <c r="H31" s="39"/>
      <c r="I31" s="40"/>
      <c r="J31" s="68" t="s">
        <v>62</v>
      </c>
      <c r="K31" s="123" t="s">
        <v>70</v>
      </c>
      <c r="L31" s="123">
        <v>252</v>
      </c>
      <c r="M31" s="70">
        <v>22380</v>
      </c>
      <c r="N31" s="71">
        <v>42761</v>
      </c>
      <c r="O31" s="56" t="s">
        <v>81</v>
      </c>
      <c r="P31" s="72">
        <v>22380.6</v>
      </c>
      <c r="Q31" s="113">
        <f t="shared" si="1"/>
        <v>0.59999999999854481</v>
      </c>
      <c r="R31" s="117">
        <v>38.4</v>
      </c>
      <c r="S31" s="117"/>
      <c r="T31" s="117"/>
      <c r="U31" s="39">
        <f>R31*P31</f>
        <v>859415.03999999992</v>
      </c>
      <c r="V31" s="115" t="s">
        <v>72</v>
      </c>
      <c r="W31" s="112">
        <v>42765</v>
      </c>
      <c r="X31" s="118"/>
      <c r="Y31" s="17"/>
      <c r="Z31" s="20"/>
      <c r="AA31" s="92"/>
      <c r="AB31" s="93"/>
      <c r="AC31" s="92"/>
      <c r="AD31" s="94"/>
      <c r="AE31" s="95"/>
      <c r="AF31" s="17"/>
      <c r="AG31" s="17"/>
      <c r="AH31" s="17"/>
      <c r="AI31" s="20"/>
      <c r="AJ31" s="92"/>
      <c r="AK31" s="93"/>
      <c r="AL31" s="92"/>
      <c r="AM31" s="94"/>
      <c r="AN31" s="95"/>
      <c r="AO31" s="17"/>
      <c r="AP31" s="17"/>
      <c r="AQ31" s="17"/>
      <c r="AR31" s="20"/>
      <c r="AS31" s="92"/>
      <c r="AT31" s="93"/>
      <c r="AU31" s="92"/>
      <c r="AV31" s="94"/>
      <c r="AW31" s="95"/>
      <c r="AX31" s="17"/>
      <c r="AY31" s="17"/>
      <c r="AZ31" s="17"/>
      <c r="BA31" s="20"/>
      <c r="BB31" s="92"/>
      <c r="BC31" s="93"/>
      <c r="BD31" s="92"/>
      <c r="BE31" s="94"/>
      <c r="BF31" s="95"/>
      <c r="BG31" s="17"/>
      <c r="BH31" s="17"/>
      <c r="BI31" s="17"/>
      <c r="BJ31" s="20"/>
      <c r="BK31" s="92"/>
      <c r="BL31" s="93"/>
      <c r="BM31" s="92"/>
      <c r="BN31" s="94"/>
      <c r="BO31" s="95"/>
      <c r="BP31" s="17"/>
      <c r="BQ31" s="17"/>
      <c r="BR31" s="17"/>
      <c r="BS31" s="20"/>
      <c r="BT31" s="92"/>
      <c r="BU31" s="93"/>
      <c r="BV31" s="92"/>
      <c r="BW31" s="94"/>
      <c r="BX31" s="95"/>
      <c r="BY31" s="17"/>
      <c r="BZ31" s="17"/>
      <c r="CA31" s="17"/>
      <c r="CB31" s="20"/>
      <c r="CC31" s="92"/>
      <c r="CD31" s="93"/>
      <c r="CE31" s="92"/>
      <c r="CF31" s="94"/>
      <c r="CG31" s="95"/>
      <c r="CH31" s="17"/>
      <c r="CI31" s="17"/>
      <c r="CJ31" s="17"/>
      <c r="CK31" s="20"/>
      <c r="CL31" s="92"/>
      <c r="CM31" s="93"/>
      <c r="CN31" s="92"/>
      <c r="CO31" s="94"/>
      <c r="CP31" s="95"/>
      <c r="CQ31" s="17"/>
      <c r="CR31" s="17"/>
      <c r="CS31" s="17"/>
      <c r="CT31" s="20"/>
      <c r="CU31" s="92"/>
      <c r="CV31" s="93"/>
      <c r="CW31" s="92"/>
      <c r="CX31" s="94"/>
      <c r="CY31" s="95"/>
      <c r="CZ31" s="17"/>
      <c r="DA31" s="17"/>
      <c r="DB31" s="17"/>
      <c r="DC31" s="20"/>
      <c r="DD31" s="92"/>
      <c r="DE31" s="93"/>
      <c r="DF31" s="92"/>
      <c r="DG31" s="94"/>
      <c r="DH31" s="95"/>
      <c r="DI31" s="17"/>
      <c r="DJ31" s="17"/>
      <c r="DK31" s="17"/>
      <c r="DL31" s="20"/>
      <c r="DM31" s="92"/>
      <c r="DN31" s="93"/>
      <c r="DO31" s="92"/>
      <c r="DP31" s="94"/>
      <c r="DQ31" s="95"/>
      <c r="DR31" s="17"/>
      <c r="DS31" s="17"/>
      <c r="DT31" s="17"/>
      <c r="DU31" s="20"/>
      <c r="DV31" s="92"/>
      <c r="DW31" s="93"/>
      <c r="DX31" s="92"/>
      <c r="DY31" s="94"/>
      <c r="DZ31" s="95"/>
      <c r="EA31" s="17"/>
      <c r="EB31" s="17"/>
      <c r="EC31" s="17"/>
      <c r="ED31" s="20"/>
      <c r="EE31" s="92"/>
      <c r="EF31" s="93"/>
      <c r="EG31" s="92"/>
      <c r="EH31" s="94"/>
      <c r="EI31" s="95"/>
      <c r="EJ31" s="17"/>
      <c r="EK31" s="17"/>
      <c r="EL31" s="17"/>
      <c r="EM31" s="20"/>
      <c r="EN31" s="92"/>
      <c r="EO31" s="93"/>
      <c r="EP31" s="92"/>
      <c r="EQ31" s="94"/>
      <c r="ER31" s="95"/>
      <c r="ES31" s="17"/>
      <c r="ET31" s="17"/>
      <c r="EU31" s="17"/>
      <c r="EV31" s="20"/>
      <c r="EW31" s="92"/>
      <c r="EX31" s="93"/>
      <c r="EY31" s="92"/>
      <c r="EZ31" s="94"/>
      <c r="FA31" s="95"/>
      <c r="FB31" s="17"/>
      <c r="FC31" s="17"/>
      <c r="FD31" s="17"/>
      <c r="FE31" s="20"/>
      <c r="FF31" s="92"/>
      <c r="FG31" s="93"/>
      <c r="FH31" s="92"/>
      <c r="FI31" s="94"/>
      <c r="FJ31" s="95"/>
      <c r="FK31" s="17"/>
      <c r="FL31" s="17"/>
      <c r="FM31" s="17"/>
      <c r="FN31" s="20"/>
      <c r="FO31" s="92"/>
      <c r="FP31" s="93"/>
      <c r="FQ31" s="92"/>
      <c r="FR31" s="94"/>
      <c r="FS31" s="95"/>
      <c r="FT31" s="17"/>
      <c r="FU31" s="17"/>
      <c r="FV31" s="17"/>
      <c r="FW31" s="20"/>
      <c r="FX31" s="92"/>
      <c r="FY31" s="93"/>
      <c r="FZ31" s="92"/>
      <c r="GA31" s="94"/>
      <c r="GB31" s="95"/>
      <c r="GC31" s="17"/>
      <c r="GD31" s="17"/>
      <c r="GE31" s="17"/>
      <c r="GF31" s="20"/>
      <c r="GG31" s="92"/>
      <c r="GH31" s="93"/>
      <c r="GI31" s="92"/>
      <c r="GJ31" s="94"/>
      <c r="GK31" s="95"/>
      <c r="GL31" s="17"/>
      <c r="GM31" s="17"/>
      <c r="GN31" s="17"/>
      <c r="GO31" s="20"/>
      <c r="GP31" s="92"/>
      <c r="GQ31" s="93"/>
      <c r="GR31" s="92"/>
      <c r="GS31" s="94"/>
      <c r="GT31" s="95"/>
      <c r="GU31" s="128"/>
      <c r="GV31" s="98"/>
      <c r="GW31" s="129" t="s">
        <v>15</v>
      </c>
      <c r="GX31" s="74"/>
      <c r="GY31" s="74"/>
      <c r="GZ31" s="403" t="s">
        <v>175</v>
      </c>
      <c r="HA31" s="404">
        <v>4408</v>
      </c>
    </row>
    <row r="32" spans="1:210" x14ac:dyDescent="0.25">
      <c r="A32"/>
      <c r="D32" s="35"/>
      <c r="E32" s="36"/>
      <c r="F32" s="37"/>
      <c r="G32" s="38"/>
      <c r="H32" s="39"/>
      <c r="I32" s="40"/>
      <c r="J32" s="392" t="s">
        <v>43</v>
      </c>
      <c r="K32" s="123" t="s">
        <v>159</v>
      </c>
      <c r="L32" s="123">
        <v>128</v>
      </c>
      <c r="M32" s="70">
        <v>13280</v>
      </c>
      <c r="N32" s="71">
        <v>42762</v>
      </c>
      <c r="O32" s="56" t="s">
        <v>160</v>
      </c>
      <c r="P32" s="72">
        <v>16425</v>
      </c>
      <c r="Q32" s="113">
        <f t="shared" si="1"/>
        <v>3145</v>
      </c>
      <c r="R32" s="117">
        <v>29</v>
      </c>
      <c r="S32" s="117"/>
      <c r="T32" s="117"/>
      <c r="U32" s="39">
        <f t="shared" ref="U32:U33" si="2">R32*P32</f>
        <v>476325</v>
      </c>
      <c r="V32" s="363" t="s">
        <v>72</v>
      </c>
      <c r="W32" s="353">
        <v>42786</v>
      </c>
      <c r="X32" s="368">
        <v>9168.64</v>
      </c>
      <c r="Y32" s="355"/>
      <c r="Z32" s="356"/>
      <c r="AA32" s="357"/>
      <c r="AB32" s="358"/>
      <c r="AC32" s="357"/>
      <c r="AD32" s="359"/>
      <c r="AE32" s="360"/>
      <c r="AF32" s="355"/>
      <c r="AG32" s="355"/>
      <c r="AH32" s="355"/>
      <c r="AI32" s="356"/>
      <c r="AJ32" s="357"/>
      <c r="AK32" s="358"/>
      <c r="AL32" s="357"/>
      <c r="AM32" s="359"/>
      <c r="AN32" s="360"/>
      <c r="AO32" s="355"/>
      <c r="AP32" s="355"/>
      <c r="AQ32" s="355"/>
      <c r="AR32" s="356"/>
      <c r="AS32" s="357"/>
      <c r="AT32" s="358"/>
      <c r="AU32" s="357"/>
      <c r="AV32" s="359"/>
      <c r="AW32" s="360"/>
      <c r="AX32" s="355"/>
      <c r="AY32" s="355"/>
      <c r="AZ32" s="355"/>
      <c r="BA32" s="356"/>
      <c r="BB32" s="357"/>
      <c r="BC32" s="358"/>
      <c r="BD32" s="357"/>
      <c r="BE32" s="359"/>
      <c r="BF32" s="360"/>
      <c r="BG32" s="355"/>
      <c r="BH32" s="355"/>
      <c r="BI32" s="355"/>
      <c r="BJ32" s="356"/>
      <c r="BK32" s="357"/>
      <c r="BL32" s="358"/>
      <c r="BM32" s="357"/>
      <c r="BN32" s="359"/>
      <c r="BO32" s="360"/>
      <c r="BP32" s="355"/>
      <c r="BQ32" s="355"/>
      <c r="BR32" s="355"/>
      <c r="BS32" s="356"/>
      <c r="BT32" s="357"/>
      <c r="BU32" s="358"/>
      <c r="BV32" s="357"/>
      <c r="BW32" s="359"/>
      <c r="BX32" s="360"/>
      <c r="BY32" s="355"/>
      <c r="BZ32" s="355"/>
      <c r="CA32" s="355"/>
      <c r="CB32" s="356"/>
      <c r="CC32" s="357"/>
      <c r="CD32" s="358"/>
      <c r="CE32" s="357"/>
      <c r="CF32" s="359"/>
      <c r="CG32" s="360"/>
      <c r="CH32" s="355"/>
      <c r="CI32" s="355"/>
      <c r="CJ32" s="355"/>
      <c r="CK32" s="356"/>
      <c r="CL32" s="357"/>
      <c r="CM32" s="358"/>
      <c r="CN32" s="357"/>
      <c r="CO32" s="359"/>
      <c r="CP32" s="360"/>
      <c r="CQ32" s="355"/>
      <c r="CR32" s="355"/>
      <c r="CS32" s="355"/>
      <c r="CT32" s="356"/>
      <c r="CU32" s="357"/>
      <c r="CV32" s="358"/>
      <c r="CW32" s="357"/>
      <c r="CX32" s="359"/>
      <c r="CY32" s="360"/>
      <c r="CZ32" s="355"/>
      <c r="DA32" s="355"/>
      <c r="DB32" s="355"/>
      <c r="DC32" s="356"/>
      <c r="DD32" s="357"/>
      <c r="DE32" s="358"/>
      <c r="DF32" s="357"/>
      <c r="DG32" s="359"/>
      <c r="DH32" s="360"/>
      <c r="DI32" s="355"/>
      <c r="DJ32" s="355"/>
      <c r="DK32" s="355"/>
      <c r="DL32" s="356"/>
      <c r="DM32" s="357"/>
      <c r="DN32" s="358"/>
      <c r="DO32" s="357"/>
      <c r="DP32" s="359"/>
      <c r="DQ32" s="360"/>
      <c r="DR32" s="355"/>
      <c r="DS32" s="355"/>
      <c r="DT32" s="355"/>
      <c r="DU32" s="356"/>
      <c r="DV32" s="357"/>
      <c r="DW32" s="358"/>
      <c r="DX32" s="357"/>
      <c r="DY32" s="359"/>
      <c r="DZ32" s="360"/>
      <c r="EA32" s="355"/>
      <c r="EB32" s="355"/>
      <c r="EC32" s="355"/>
      <c r="ED32" s="356"/>
      <c r="EE32" s="357"/>
      <c r="EF32" s="358"/>
      <c r="EG32" s="357"/>
      <c r="EH32" s="359"/>
      <c r="EI32" s="360"/>
      <c r="EJ32" s="355"/>
      <c r="EK32" s="355"/>
      <c r="EL32" s="355"/>
      <c r="EM32" s="356"/>
      <c r="EN32" s="357"/>
      <c r="EO32" s="358"/>
      <c r="EP32" s="357"/>
      <c r="EQ32" s="359"/>
      <c r="ER32" s="360"/>
      <c r="ES32" s="355"/>
      <c r="ET32" s="355"/>
      <c r="EU32" s="355"/>
      <c r="EV32" s="356"/>
      <c r="EW32" s="357"/>
      <c r="EX32" s="358"/>
      <c r="EY32" s="357"/>
      <c r="EZ32" s="359"/>
      <c r="FA32" s="360"/>
      <c r="FB32" s="355"/>
      <c r="FC32" s="355"/>
      <c r="FD32" s="355"/>
      <c r="FE32" s="356"/>
      <c r="FF32" s="357"/>
      <c r="FG32" s="358"/>
      <c r="FH32" s="357"/>
      <c r="FI32" s="359"/>
      <c r="FJ32" s="360"/>
      <c r="FK32" s="355"/>
      <c r="FL32" s="355"/>
      <c r="FM32" s="355"/>
      <c r="FN32" s="356"/>
      <c r="FO32" s="357"/>
      <c r="FP32" s="358"/>
      <c r="FQ32" s="357"/>
      <c r="FR32" s="359"/>
      <c r="FS32" s="360"/>
      <c r="FT32" s="355"/>
      <c r="FU32" s="355"/>
      <c r="FV32" s="355"/>
      <c r="FW32" s="356"/>
      <c r="FX32" s="357"/>
      <c r="FY32" s="358"/>
      <c r="FZ32" s="357"/>
      <c r="GA32" s="359"/>
      <c r="GB32" s="360"/>
      <c r="GC32" s="355"/>
      <c r="GD32" s="355"/>
      <c r="GE32" s="355"/>
      <c r="GF32" s="356"/>
      <c r="GG32" s="357"/>
      <c r="GH32" s="358"/>
      <c r="GI32" s="357"/>
      <c r="GJ32" s="359"/>
      <c r="GK32" s="360"/>
      <c r="GL32" s="355"/>
      <c r="GM32" s="355"/>
      <c r="GN32" s="355"/>
      <c r="GO32" s="356"/>
      <c r="GP32" s="357"/>
      <c r="GQ32" s="358"/>
      <c r="GR32" s="357"/>
      <c r="GS32" s="359"/>
      <c r="GT32" s="360"/>
      <c r="GU32" s="384">
        <v>42786</v>
      </c>
      <c r="GV32" s="98"/>
      <c r="GW32" s="129"/>
      <c r="GX32" s="74"/>
      <c r="GY32" s="74"/>
      <c r="GZ32" s="403" t="s">
        <v>175</v>
      </c>
      <c r="HA32" s="404">
        <v>2204</v>
      </c>
    </row>
    <row r="33" spans="1:209" x14ac:dyDescent="0.25">
      <c r="A33"/>
      <c r="D33" s="35"/>
      <c r="E33" s="36"/>
      <c r="F33" s="37"/>
      <c r="G33" s="38"/>
      <c r="H33" s="39"/>
      <c r="I33" s="40"/>
      <c r="J33" s="392" t="s">
        <v>43</v>
      </c>
      <c r="K33" s="69" t="s">
        <v>35</v>
      </c>
      <c r="L33" s="69">
        <v>130</v>
      </c>
      <c r="M33" s="70">
        <v>12970</v>
      </c>
      <c r="N33" s="71">
        <v>42762</v>
      </c>
      <c r="O33" s="380" t="s">
        <v>164</v>
      </c>
      <c r="P33" s="72">
        <v>16055</v>
      </c>
      <c r="Q33" s="113">
        <f t="shared" si="1"/>
        <v>3085</v>
      </c>
      <c r="R33" s="117">
        <v>29</v>
      </c>
      <c r="S33" s="117"/>
      <c r="T33" s="111"/>
      <c r="U33" s="39">
        <f t="shared" si="2"/>
        <v>465595</v>
      </c>
      <c r="V33" s="363" t="s">
        <v>72</v>
      </c>
      <c r="W33" s="353">
        <v>42787</v>
      </c>
      <c r="X33" s="368">
        <v>9311.9</v>
      </c>
      <c r="Y33" s="355"/>
      <c r="Z33" s="356"/>
      <c r="AA33" s="357"/>
      <c r="AB33" s="358"/>
      <c r="AC33" s="357"/>
      <c r="AD33" s="359"/>
      <c r="AE33" s="360"/>
      <c r="AF33" s="355"/>
      <c r="AG33" s="355"/>
      <c r="AH33" s="355"/>
      <c r="AI33" s="356"/>
      <c r="AJ33" s="357"/>
      <c r="AK33" s="358"/>
      <c r="AL33" s="357"/>
      <c r="AM33" s="359"/>
      <c r="AN33" s="360"/>
      <c r="AO33" s="355"/>
      <c r="AP33" s="355"/>
      <c r="AQ33" s="355"/>
      <c r="AR33" s="356"/>
      <c r="AS33" s="357"/>
      <c r="AT33" s="358"/>
      <c r="AU33" s="357"/>
      <c r="AV33" s="359"/>
      <c r="AW33" s="360"/>
      <c r="AX33" s="355"/>
      <c r="AY33" s="355"/>
      <c r="AZ33" s="355"/>
      <c r="BA33" s="356"/>
      <c r="BB33" s="357"/>
      <c r="BC33" s="358"/>
      <c r="BD33" s="357"/>
      <c r="BE33" s="359"/>
      <c r="BF33" s="360"/>
      <c r="BG33" s="355"/>
      <c r="BH33" s="355"/>
      <c r="BI33" s="355"/>
      <c r="BJ33" s="356"/>
      <c r="BK33" s="357"/>
      <c r="BL33" s="358"/>
      <c r="BM33" s="357"/>
      <c r="BN33" s="359"/>
      <c r="BO33" s="360"/>
      <c r="BP33" s="355"/>
      <c r="BQ33" s="355"/>
      <c r="BR33" s="355"/>
      <c r="BS33" s="356"/>
      <c r="BT33" s="357"/>
      <c r="BU33" s="358"/>
      <c r="BV33" s="357"/>
      <c r="BW33" s="359"/>
      <c r="BX33" s="360"/>
      <c r="BY33" s="355"/>
      <c r="BZ33" s="355"/>
      <c r="CA33" s="355"/>
      <c r="CB33" s="356"/>
      <c r="CC33" s="357"/>
      <c r="CD33" s="358"/>
      <c r="CE33" s="357"/>
      <c r="CF33" s="359"/>
      <c r="CG33" s="360"/>
      <c r="CH33" s="355"/>
      <c r="CI33" s="355"/>
      <c r="CJ33" s="355"/>
      <c r="CK33" s="356"/>
      <c r="CL33" s="357"/>
      <c r="CM33" s="358"/>
      <c r="CN33" s="357"/>
      <c r="CO33" s="359"/>
      <c r="CP33" s="360"/>
      <c r="CQ33" s="355"/>
      <c r="CR33" s="355"/>
      <c r="CS33" s="355"/>
      <c r="CT33" s="356"/>
      <c r="CU33" s="357"/>
      <c r="CV33" s="358"/>
      <c r="CW33" s="357"/>
      <c r="CX33" s="359"/>
      <c r="CY33" s="360"/>
      <c r="CZ33" s="355"/>
      <c r="DA33" s="355"/>
      <c r="DB33" s="355"/>
      <c r="DC33" s="356"/>
      <c r="DD33" s="357"/>
      <c r="DE33" s="358"/>
      <c r="DF33" s="357"/>
      <c r="DG33" s="359"/>
      <c r="DH33" s="360"/>
      <c r="DI33" s="355"/>
      <c r="DJ33" s="355"/>
      <c r="DK33" s="355"/>
      <c r="DL33" s="356"/>
      <c r="DM33" s="357"/>
      <c r="DN33" s="358"/>
      <c r="DO33" s="357"/>
      <c r="DP33" s="359"/>
      <c r="DQ33" s="360"/>
      <c r="DR33" s="355"/>
      <c r="DS33" s="355"/>
      <c r="DT33" s="355"/>
      <c r="DU33" s="356"/>
      <c r="DV33" s="357"/>
      <c r="DW33" s="358"/>
      <c r="DX33" s="357"/>
      <c r="DY33" s="359"/>
      <c r="DZ33" s="360"/>
      <c r="EA33" s="355"/>
      <c r="EB33" s="355"/>
      <c r="EC33" s="355"/>
      <c r="ED33" s="356"/>
      <c r="EE33" s="357"/>
      <c r="EF33" s="358"/>
      <c r="EG33" s="357"/>
      <c r="EH33" s="359"/>
      <c r="EI33" s="360"/>
      <c r="EJ33" s="355"/>
      <c r="EK33" s="355"/>
      <c r="EL33" s="355"/>
      <c r="EM33" s="356"/>
      <c r="EN33" s="357"/>
      <c r="EO33" s="358"/>
      <c r="EP33" s="357"/>
      <c r="EQ33" s="359"/>
      <c r="ER33" s="360"/>
      <c r="ES33" s="355"/>
      <c r="ET33" s="355"/>
      <c r="EU33" s="355"/>
      <c r="EV33" s="356"/>
      <c r="EW33" s="357"/>
      <c r="EX33" s="358"/>
      <c r="EY33" s="357"/>
      <c r="EZ33" s="359"/>
      <c r="FA33" s="360"/>
      <c r="FB33" s="355"/>
      <c r="FC33" s="355"/>
      <c r="FD33" s="355"/>
      <c r="FE33" s="356"/>
      <c r="FF33" s="357"/>
      <c r="FG33" s="358"/>
      <c r="FH33" s="357"/>
      <c r="FI33" s="359"/>
      <c r="FJ33" s="360"/>
      <c r="FK33" s="355"/>
      <c r="FL33" s="355"/>
      <c r="FM33" s="355"/>
      <c r="FN33" s="356"/>
      <c r="FO33" s="357"/>
      <c r="FP33" s="358"/>
      <c r="FQ33" s="357"/>
      <c r="FR33" s="359"/>
      <c r="FS33" s="360"/>
      <c r="FT33" s="355"/>
      <c r="FU33" s="355"/>
      <c r="FV33" s="355"/>
      <c r="FW33" s="356"/>
      <c r="FX33" s="357"/>
      <c r="FY33" s="358"/>
      <c r="FZ33" s="357"/>
      <c r="GA33" s="359"/>
      <c r="GB33" s="360"/>
      <c r="GC33" s="355"/>
      <c r="GD33" s="355"/>
      <c r="GE33" s="355"/>
      <c r="GF33" s="356"/>
      <c r="GG33" s="357"/>
      <c r="GH33" s="358"/>
      <c r="GI33" s="357"/>
      <c r="GJ33" s="359"/>
      <c r="GK33" s="360"/>
      <c r="GL33" s="355"/>
      <c r="GM33" s="355"/>
      <c r="GN33" s="355"/>
      <c r="GO33" s="356"/>
      <c r="GP33" s="357"/>
      <c r="GQ33" s="358"/>
      <c r="GR33" s="357"/>
      <c r="GS33" s="359"/>
      <c r="GT33" s="360"/>
      <c r="GU33" s="362">
        <v>42787</v>
      </c>
      <c r="GV33" s="98"/>
      <c r="GW33" s="130">
        <v>22176</v>
      </c>
      <c r="GX33" s="74" t="s">
        <v>114</v>
      </c>
      <c r="GY33" s="74"/>
      <c r="GZ33" s="403" t="s">
        <v>175</v>
      </c>
      <c r="HA33" s="404">
        <v>2204</v>
      </c>
    </row>
    <row r="34" spans="1:209" x14ac:dyDescent="0.25">
      <c r="A34"/>
      <c r="D34" s="35"/>
      <c r="E34" s="36"/>
      <c r="F34" s="37"/>
      <c r="G34" s="38"/>
      <c r="H34" s="39"/>
      <c r="I34" s="40"/>
      <c r="J34" s="68" t="s">
        <v>43</v>
      </c>
      <c r="K34" s="69" t="s">
        <v>35</v>
      </c>
      <c r="L34" s="69">
        <v>130</v>
      </c>
      <c r="M34" s="70">
        <v>12370</v>
      </c>
      <c r="N34" s="71">
        <v>42762</v>
      </c>
      <c r="O34" s="380" t="s">
        <v>161</v>
      </c>
      <c r="P34" s="72">
        <v>15265</v>
      </c>
      <c r="Q34" s="113">
        <f t="shared" si="1"/>
        <v>2895</v>
      </c>
      <c r="R34" s="117">
        <v>29.8</v>
      </c>
      <c r="S34" s="117"/>
      <c r="T34" s="111"/>
      <c r="U34" s="39">
        <f>R34*P34+T34+0</f>
        <v>454897</v>
      </c>
      <c r="V34" s="363" t="s">
        <v>72</v>
      </c>
      <c r="W34" s="353">
        <v>42786</v>
      </c>
      <c r="X34" s="368">
        <v>9311.9</v>
      </c>
      <c r="Y34" s="355"/>
      <c r="Z34" s="356"/>
      <c r="AA34" s="357"/>
      <c r="AB34" s="358"/>
      <c r="AC34" s="357"/>
      <c r="AD34" s="359"/>
      <c r="AE34" s="360"/>
      <c r="AF34" s="355"/>
      <c r="AG34" s="355"/>
      <c r="AH34" s="355"/>
      <c r="AI34" s="356"/>
      <c r="AJ34" s="357"/>
      <c r="AK34" s="358"/>
      <c r="AL34" s="357"/>
      <c r="AM34" s="359"/>
      <c r="AN34" s="360"/>
      <c r="AO34" s="355"/>
      <c r="AP34" s="355"/>
      <c r="AQ34" s="355"/>
      <c r="AR34" s="356"/>
      <c r="AS34" s="357"/>
      <c r="AT34" s="358"/>
      <c r="AU34" s="357"/>
      <c r="AV34" s="359"/>
      <c r="AW34" s="360"/>
      <c r="AX34" s="355"/>
      <c r="AY34" s="355"/>
      <c r="AZ34" s="355"/>
      <c r="BA34" s="356"/>
      <c r="BB34" s="357"/>
      <c r="BC34" s="358"/>
      <c r="BD34" s="357"/>
      <c r="BE34" s="359"/>
      <c r="BF34" s="360"/>
      <c r="BG34" s="355"/>
      <c r="BH34" s="355"/>
      <c r="BI34" s="355"/>
      <c r="BJ34" s="356"/>
      <c r="BK34" s="357"/>
      <c r="BL34" s="358"/>
      <c r="BM34" s="357"/>
      <c r="BN34" s="359"/>
      <c r="BO34" s="360"/>
      <c r="BP34" s="355"/>
      <c r="BQ34" s="355"/>
      <c r="BR34" s="355"/>
      <c r="BS34" s="356"/>
      <c r="BT34" s="357"/>
      <c r="BU34" s="358"/>
      <c r="BV34" s="357"/>
      <c r="BW34" s="359"/>
      <c r="BX34" s="360"/>
      <c r="BY34" s="355"/>
      <c r="BZ34" s="355"/>
      <c r="CA34" s="355"/>
      <c r="CB34" s="356"/>
      <c r="CC34" s="357"/>
      <c r="CD34" s="358"/>
      <c r="CE34" s="357"/>
      <c r="CF34" s="359"/>
      <c r="CG34" s="360"/>
      <c r="CH34" s="355"/>
      <c r="CI34" s="355"/>
      <c r="CJ34" s="355"/>
      <c r="CK34" s="356"/>
      <c r="CL34" s="357"/>
      <c r="CM34" s="358"/>
      <c r="CN34" s="357"/>
      <c r="CO34" s="359"/>
      <c r="CP34" s="360"/>
      <c r="CQ34" s="355"/>
      <c r="CR34" s="355"/>
      <c r="CS34" s="355"/>
      <c r="CT34" s="356"/>
      <c r="CU34" s="357"/>
      <c r="CV34" s="358"/>
      <c r="CW34" s="357"/>
      <c r="CX34" s="359"/>
      <c r="CY34" s="360"/>
      <c r="CZ34" s="355"/>
      <c r="DA34" s="355"/>
      <c r="DB34" s="355"/>
      <c r="DC34" s="356"/>
      <c r="DD34" s="357"/>
      <c r="DE34" s="358"/>
      <c r="DF34" s="357"/>
      <c r="DG34" s="359"/>
      <c r="DH34" s="360"/>
      <c r="DI34" s="355"/>
      <c r="DJ34" s="355"/>
      <c r="DK34" s="355"/>
      <c r="DL34" s="356"/>
      <c r="DM34" s="357"/>
      <c r="DN34" s="358"/>
      <c r="DO34" s="357"/>
      <c r="DP34" s="359"/>
      <c r="DQ34" s="360"/>
      <c r="DR34" s="355"/>
      <c r="DS34" s="355"/>
      <c r="DT34" s="355"/>
      <c r="DU34" s="356"/>
      <c r="DV34" s="357"/>
      <c r="DW34" s="358"/>
      <c r="DX34" s="357"/>
      <c r="DY34" s="359"/>
      <c r="DZ34" s="360"/>
      <c r="EA34" s="355"/>
      <c r="EB34" s="355"/>
      <c r="EC34" s="355"/>
      <c r="ED34" s="356"/>
      <c r="EE34" s="357"/>
      <c r="EF34" s="358"/>
      <c r="EG34" s="357"/>
      <c r="EH34" s="359"/>
      <c r="EI34" s="360"/>
      <c r="EJ34" s="355"/>
      <c r="EK34" s="355"/>
      <c r="EL34" s="355"/>
      <c r="EM34" s="356"/>
      <c r="EN34" s="357"/>
      <c r="EO34" s="358"/>
      <c r="EP34" s="357"/>
      <c r="EQ34" s="359"/>
      <c r="ER34" s="360"/>
      <c r="ES34" s="355"/>
      <c r="ET34" s="355"/>
      <c r="EU34" s="355"/>
      <c r="EV34" s="356"/>
      <c r="EW34" s="357"/>
      <c r="EX34" s="358"/>
      <c r="EY34" s="357"/>
      <c r="EZ34" s="359"/>
      <c r="FA34" s="360"/>
      <c r="FB34" s="355"/>
      <c r="FC34" s="355"/>
      <c r="FD34" s="355"/>
      <c r="FE34" s="356"/>
      <c r="FF34" s="357"/>
      <c r="FG34" s="358"/>
      <c r="FH34" s="357"/>
      <c r="FI34" s="359"/>
      <c r="FJ34" s="360"/>
      <c r="FK34" s="355"/>
      <c r="FL34" s="355"/>
      <c r="FM34" s="355"/>
      <c r="FN34" s="356"/>
      <c r="FO34" s="357"/>
      <c r="FP34" s="358"/>
      <c r="FQ34" s="357"/>
      <c r="FR34" s="359"/>
      <c r="FS34" s="360"/>
      <c r="FT34" s="355"/>
      <c r="FU34" s="355"/>
      <c r="FV34" s="355"/>
      <c r="FW34" s="356"/>
      <c r="FX34" s="357"/>
      <c r="FY34" s="358"/>
      <c r="FZ34" s="357"/>
      <c r="GA34" s="359"/>
      <c r="GB34" s="360"/>
      <c r="GC34" s="355"/>
      <c r="GD34" s="355"/>
      <c r="GE34" s="355"/>
      <c r="GF34" s="356"/>
      <c r="GG34" s="357"/>
      <c r="GH34" s="358"/>
      <c r="GI34" s="357"/>
      <c r="GJ34" s="359"/>
      <c r="GK34" s="360"/>
      <c r="GL34" s="355"/>
      <c r="GM34" s="355"/>
      <c r="GN34" s="355"/>
      <c r="GO34" s="356"/>
      <c r="GP34" s="357"/>
      <c r="GQ34" s="358"/>
      <c r="GR34" s="357"/>
      <c r="GS34" s="359"/>
      <c r="GT34" s="360"/>
      <c r="GU34" s="362">
        <v>42786</v>
      </c>
      <c r="GV34" s="131"/>
      <c r="GW34" s="130">
        <v>17584</v>
      </c>
      <c r="GX34" s="74" t="s">
        <v>118</v>
      </c>
      <c r="GY34" s="74"/>
      <c r="GZ34" s="403" t="s">
        <v>175</v>
      </c>
      <c r="HA34" s="404">
        <v>2552</v>
      </c>
    </row>
    <row r="35" spans="1:209" x14ac:dyDescent="0.25">
      <c r="A35"/>
      <c r="D35" s="35"/>
      <c r="E35" s="36"/>
      <c r="F35" s="37"/>
      <c r="G35" s="38"/>
      <c r="H35" s="39"/>
      <c r="I35" s="40"/>
      <c r="J35" s="68" t="s">
        <v>87</v>
      </c>
      <c r="K35" s="393" t="s">
        <v>88</v>
      </c>
      <c r="L35" s="393">
        <v>0</v>
      </c>
      <c r="M35" s="70">
        <v>2010.08</v>
      </c>
      <c r="N35" s="71">
        <v>42763</v>
      </c>
      <c r="O35" s="119">
        <v>7756</v>
      </c>
      <c r="P35" s="72">
        <v>2010.08</v>
      </c>
      <c r="Q35" s="113">
        <f t="shared" si="1"/>
        <v>0</v>
      </c>
      <c r="R35" s="117">
        <v>99</v>
      </c>
      <c r="S35" s="887" t="s">
        <v>89</v>
      </c>
      <c r="T35" s="888"/>
      <c r="U35" s="39">
        <f>R35*P35</f>
        <v>198997.91999999998</v>
      </c>
      <c r="V35" s="402" t="s">
        <v>72</v>
      </c>
      <c r="W35" s="112">
        <v>42765</v>
      </c>
      <c r="X35" s="394"/>
      <c r="Y35" s="395"/>
      <c r="Z35" s="396"/>
      <c r="AA35" s="397"/>
      <c r="AB35" s="398"/>
      <c r="AC35" s="397"/>
      <c r="AD35" s="399"/>
      <c r="AE35" s="400"/>
      <c r="AF35" s="395"/>
      <c r="AG35" s="395"/>
      <c r="AH35" s="395"/>
      <c r="AI35" s="396"/>
      <c r="AJ35" s="397"/>
      <c r="AK35" s="398"/>
      <c r="AL35" s="397"/>
      <c r="AM35" s="399"/>
      <c r="AN35" s="400"/>
      <c r="AO35" s="395"/>
      <c r="AP35" s="395"/>
      <c r="AQ35" s="395"/>
      <c r="AR35" s="396"/>
      <c r="AS35" s="397"/>
      <c r="AT35" s="398"/>
      <c r="AU35" s="397"/>
      <c r="AV35" s="399"/>
      <c r="AW35" s="400"/>
      <c r="AX35" s="395"/>
      <c r="AY35" s="395"/>
      <c r="AZ35" s="395"/>
      <c r="BA35" s="396"/>
      <c r="BB35" s="397"/>
      <c r="BC35" s="398"/>
      <c r="BD35" s="397"/>
      <c r="BE35" s="399"/>
      <c r="BF35" s="400"/>
      <c r="BG35" s="395"/>
      <c r="BH35" s="395"/>
      <c r="BI35" s="395"/>
      <c r="BJ35" s="396"/>
      <c r="BK35" s="397"/>
      <c r="BL35" s="398"/>
      <c r="BM35" s="397"/>
      <c r="BN35" s="399"/>
      <c r="BO35" s="400"/>
      <c r="BP35" s="395"/>
      <c r="BQ35" s="395"/>
      <c r="BR35" s="395"/>
      <c r="BS35" s="396"/>
      <c r="BT35" s="397"/>
      <c r="BU35" s="398"/>
      <c r="BV35" s="397"/>
      <c r="BW35" s="399"/>
      <c r="BX35" s="400"/>
      <c r="BY35" s="395"/>
      <c r="BZ35" s="395"/>
      <c r="CA35" s="395"/>
      <c r="CB35" s="396"/>
      <c r="CC35" s="397"/>
      <c r="CD35" s="398"/>
      <c r="CE35" s="397"/>
      <c r="CF35" s="399"/>
      <c r="CG35" s="400"/>
      <c r="CH35" s="395"/>
      <c r="CI35" s="395"/>
      <c r="CJ35" s="395"/>
      <c r="CK35" s="396"/>
      <c r="CL35" s="397"/>
      <c r="CM35" s="398"/>
      <c r="CN35" s="397"/>
      <c r="CO35" s="399"/>
      <c r="CP35" s="400"/>
      <c r="CQ35" s="395"/>
      <c r="CR35" s="395"/>
      <c r="CS35" s="395"/>
      <c r="CT35" s="396"/>
      <c r="CU35" s="397"/>
      <c r="CV35" s="398"/>
      <c r="CW35" s="397"/>
      <c r="CX35" s="399"/>
      <c r="CY35" s="400"/>
      <c r="CZ35" s="395"/>
      <c r="DA35" s="395"/>
      <c r="DB35" s="395"/>
      <c r="DC35" s="396"/>
      <c r="DD35" s="397"/>
      <c r="DE35" s="398"/>
      <c r="DF35" s="397"/>
      <c r="DG35" s="399"/>
      <c r="DH35" s="400"/>
      <c r="DI35" s="395"/>
      <c r="DJ35" s="395"/>
      <c r="DK35" s="395"/>
      <c r="DL35" s="396"/>
      <c r="DM35" s="397"/>
      <c r="DN35" s="398"/>
      <c r="DO35" s="397"/>
      <c r="DP35" s="399"/>
      <c r="DQ35" s="400"/>
      <c r="DR35" s="395"/>
      <c r="DS35" s="395"/>
      <c r="DT35" s="395"/>
      <c r="DU35" s="396"/>
      <c r="DV35" s="397"/>
      <c r="DW35" s="398"/>
      <c r="DX35" s="397"/>
      <c r="DY35" s="399"/>
      <c r="DZ35" s="400"/>
      <c r="EA35" s="395"/>
      <c r="EB35" s="395"/>
      <c r="EC35" s="395"/>
      <c r="ED35" s="396"/>
      <c r="EE35" s="397"/>
      <c r="EF35" s="398"/>
      <c r="EG35" s="397"/>
      <c r="EH35" s="399"/>
      <c r="EI35" s="400"/>
      <c r="EJ35" s="395"/>
      <c r="EK35" s="395"/>
      <c r="EL35" s="395"/>
      <c r="EM35" s="396"/>
      <c r="EN35" s="397"/>
      <c r="EO35" s="398"/>
      <c r="EP35" s="397"/>
      <c r="EQ35" s="399"/>
      <c r="ER35" s="400"/>
      <c r="ES35" s="395"/>
      <c r="ET35" s="395"/>
      <c r="EU35" s="395"/>
      <c r="EV35" s="396"/>
      <c r="EW35" s="397"/>
      <c r="EX35" s="398"/>
      <c r="EY35" s="397"/>
      <c r="EZ35" s="399"/>
      <c r="FA35" s="400"/>
      <c r="FB35" s="395"/>
      <c r="FC35" s="395"/>
      <c r="FD35" s="395"/>
      <c r="FE35" s="396"/>
      <c r="FF35" s="397"/>
      <c r="FG35" s="398"/>
      <c r="FH35" s="397"/>
      <c r="FI35" s="399"/>
      <c r="FJ35" s="400"/>
      <c r="FK35" s="395"/>
      <c r="FL35" s="395"/>
      <c r="FM35" s="395"/>
      <c r="FN35" s="396"/>
      <c r="FO35" s="397"/>
      <c r="FP35" s="398"/>
      <c r="FQ35" s="397"/>
      <c r="FR35" s="399"/>
      <c r="FS35" s="400"/>
      <c r="FT35" s="395"/>
      <c r="FU35" s="395"/>
      <c r="FV35" s="395"/>
      <c r="FW35" s="396"/>
      <c r="FX35" s="397"/>
      <c r="FY35" s="398"/>
      <c r="FZ35" s="397"/>
      <c r="GA35" s="399"/>
      <c r="GB35" s="400"/>
      <c r="GC35" s="395"/>
      <c r="GD35" s="395"/>
      <c r="GE35" s="395"/>
      <c r="GF35" s="396"/>
      <c r="GG35" s="397"/>
      <c r="GH35" s="398"/>
      <c r="GI35" s="397"/>
      <c r="GJ35" s="399"/>
      <c r="GK35" s="400"/>
      <c r="GL35" s="395"/>
      <c r="GM35" s="395"/>
      <c r="GN35" s="395"/>
      <c r="GO35" s="396"/>
      <c r="GP35" s="397"/>
      <c r="GQ35" s="398"/>
      <c r="GR35" s="397"/>
      <c r="GS35" s="399"/>
      <c r="GT35" s="400"/>
      <c r="GU35" s="401"/>
      <c r="GV35" s="131"/>
      <c r="GW35" s="130"/>
      <c r="GX35" s="74"/>
      <c r="GY35" s="74"/>
      <c r="GZ35" s="403" t="s">
        <v>176</v>
      </c>
      <c r="HA35" s="404">
        <v>0</v>
      </c>
    </row>
    <row r="36" spans="1:209" x14ac:dyDescent="0.25">
      <c r="A36"/>
      <c r="D36" s="35"/>
      <c r="E36" s="36"/>
      <c r="F36" s="37"/>
      <c r="G36" s="38"/>
      <c r="H36" s="39"/>
      <c r="I36" s="40"/>
      <c r="J36" s="68" t="s">
        <v>42</v>
      </c>
      <c r="K36" s="69" t="s">
        <v>59</v>
      </c>
      <c r="L36" s="69">
        <v>230</v>
      </c>
      <c r="M36" s="70">
        <v>21220</v>
      </c>
      <c r="N36" s="71">
        <v>42764</v>
      </c>
      <c r="O36" s="380" t="s">
        <v>173</v>
      </c>
      <c r="P36" s="72">
        <v>26480</v>
      </c>
      <c r="Q36" s="113">
        <f t="shared" si="1"/>
        <v>5260</v>
      </c>
      <c r="R36" s="117">
        <v>28.5</v>
      </c>
      <c r="S36" s="117"/>
      <c r="T36" s="117"/>
      <c r="U36" s="39">
        <f t="shared" ref="U36:U39" si="3">R36*P36+T36+0</f>
        <v>754680</v>
      </c>
      <c r="V36" s="363" t="s">
        <v>72</v>
      </c>
      <c r="W36" s="353">
        <v>42793</v>
      </c>
      <c r="X36" s="368">
        <v>16474.900000000001</v>
      </c>
      <c r="Y36" s="355"/>
      <c r="Z36" s="356"/>
      <c r="AA36" s="357"/>
      <c r="AB36" s="358"/>
      <c r="AC36" s="357"/>
      <c r="AD36" s="359"/>
      <c r="AE36" s="360"/>
      <c r="AF36" s="355"/>
      <c r="AG36" s="355"/>
      <c r="AH36" s="355"/>
      <c r="AI36" s="356"/>
      <c r="AJ36" s="357"/>
      <c r="AK36" s="358"/>
      <c r="AL36" s="357"/>
      <c r="AM36" s="359"/>
      <c r="AN36" s="360"/>
      <c r="AO36" s="355"/>
      <c r="AP36" s="355"/>
      <c r="AQ36" s="355"/>
      <c r="AR36" s="356"/>
      <c r="AS36" s="357"/>
      <c r="AT36" s="358"/>
      <c r="AU36" s="357"/>
      <c r="AV36" s="359"/>
      <c r="AW36" s="360"/>
      <c r="AX36" s="355"/>
      <c r="AY36" s="355"/>
      <c r="AZ36" s="355"/>
      <c r="BA36" s="356"/>
      <c r="BB36" s="357"/>
      <c r="BC36" s="358"/>
      <c r="BD36" s="357"/>
      <c r="BE36" s="359"/>
      <c r="BF36" s="360"/>
      <c r="BG36" s="355"/>
      <c r="BH36" s="355"/>
      <c r="BI36" s="355"/>
      <c r="BJ36" s="356"/>
      <c r="BK36" s="357"/>
      <c r="BL36" s="358"/>
      <c r="BM36" s="357"/>
      <c r="BN36" s="359"/>
      <c r="BO36" s="360"/>
      <c r="BP36" s="355"/>
      <c r="BQ36" s="355"/>
      <c r="BR36" s="355"/>
      <c r="BS36" s="356"/>
      <c r="BT36" s="357"/>
      <c r="BU36" s="358"/>
      <c r="BV36" s="357"/>
      <c r="BW36" s="359"/>
      <c r="BX36" s="360"/>
      <c r="BY36" s="355"/>
      <c r="BZ36" s="355"/>
      <c r="CA36" s="355"/>
      <c r="CB36" s="356"/>
      <c r="CC36" s="357"/>
      <c r="CD36" s="358"/>
      <c r="CE36" s="357"/>
      <c r="CF36" s="359"/>
      <c r="CG36" s="360"/>
      <c r="CH36" s="355"/>
      <c r="CI36" s="355"/>
      <c r="CJ36" s="355"/>
      <c r="CK36" s="356"/>
      <c r="CL36" s="357"/>
      <c r="CM36" s="358"/>
      <c r="CN36" s="357"/>
      <c r="CO36" s="359"/>
      <c r="CP36" s="360"/>
      <c r="CQ36" s="355"/>
      <c r="CR36" s="355"/>
      <c r="CS36" s="355"/>
      <c r="CT36" s="356"/>
      <c r="CU36" s="357"/>
      <c r="CV36" s="358"/>
      <c r="CW36" s="357"/>
      <c r="CX36" s="359"/>
      <c r="CY36" s="360"/>
      <c r="CZ36" s="355"/>
      <c r="DA36" s="355"/>
      <c r="DB36" s="355"/>
      <c r="DC36" s="356"/>
      <c r="DD36" s="357"/>
      <c r="DE36" s="358"/>
      <c r="DF36" s="357"/>
      <c r="DG36" s="359"/>
      <c r="DH36" s="360"/>
      <c r="DI36" s="355"/>
      <c r="DJ36" s="355"/>
      <c r="DK36" s="355"/>
      <c r="DL36" s="356"/>
      <c r="DM36" s="357"/>
      <c r="DN36" s="358"/>
      <c r="DO36" s="357"/>
      <c r="DP36" s="359"/>
      <c r="DQ36" s="360"/>
      <c r="DR36" s="355"/>
      <c r="DS36" s="355"/>
      <c r="DT36" s="355"/>
      <c r="DU36" s="356"/>
      <c r="DV36" s="357"/>
      <c r="DW36" s="358"/>
      <c r="DX36" s="357"/>
      <c r="DY36" s="359"/>
      <c r="DZ36" s="360"/>
      <c r="EA36" s="355"/>
      <c r="EB36" s="355"/>
      <c r="EC36" s="355"/>
      <c r="ED36" s="356"/>
      <c r="EE36" s="357"/>
      <c r="EF36" s="358"/>
      <c r="EG36" s="357"/>
      <c r="EH36" s="359"/>
      <c r="EI36" s="360"/>
      <c r="EJ36" s="355"/>
      <c r="EK36" s="355"/>
      <c r="EL36" s="355"/>
      <c r="EM36" s="356"/>
      <c r="EN36" s="357"/>
      <c r="EO36" s="358"/>
      <c r="EP36" s="357"/>
      <c r="EQ36" s="359"/>
      <c r="ER36" s="360"/>
      <c r="ES36" s="355"/>
      <c r="ET36" s="355"/>
      <c r="EU36" s="355"/>
      <c r="EV36" s="356"/>
      <c r="EW36" s="357"/>
      <c r="EX36" s="358"/>
      <c r="EY36" s="357"/>
      <c r="EZ36" s="359"/>
      <c r="FA36" s="360"/>
      <c r="FB36" s="355"/>
      <c r="FC36" s="355"/>
      <c r="FD36" s="355"/>
      <c r="FE36" s="356"/>
      <c r="FF36" s="357"/>
      <c r="FG36" s="358"/>
      <c r="FH36" s="357"/>
      <c r="FI36" s="359"/>
      <c r="FJ36" s="360"/>
      <c r="FK36" s="355"/>
      <c r="FL36" s="355"/>
      <c r="FM36" s="355"/>
      <c r="FN36" s="356"/>
      <c r="FO36" s="357"/>
      <c r="FP36" s="358"/>
      <c r="FQ36" s="357"/>
      <c r="FR36" s="359"/>
      <c r="FS36" s="360"/>
      <c r="FT36" s="355"/>
      <c r="FU36" s="355"/>
      <c r="FV36" s="355"/>
      <c r="FW36" s="356"/>
      <c r="FX36" s="357"/>
      <c r="FY36" s="358"/>
      <c r="FZ36" s="357"/>
      <c r="GA36" s="359"/>
      <c r="GB36" s="360"/>
      <c r="GC36" s="355"/>
      <c r="GD36" s="355"/>
      <c r="GE36" s="355"/>
      <c r="GF36" s="356"/>
      <c r="GG36" s="357"/>
      <c r="GH36" s="358"/>
      <c r="GI36" s="357"/>
      <c r="GJ36" s="359"/>
      <c r="GK36" s="360"/>
      <c r="GL36" s="355"/>
      <c r="GM36" s="355"/>
      <c r="GN36" s="355"/>
      <c r="GO36" s="356"/>
      <c r="GP36" s="357"/>
      <c r="GQ36" s="358"/>
      <c r="GR36" s="357"/>
      <c r="GS36" s="359"/>
      <c r="GT36" s="360"/>
      <c r="GU36" s="362">
        <v>42793</v>
      </c>
      <c r="GV36" s="98"/>
      <c r="GW36" s="130"/>
      <c r="GX36" s="74"/>
      <c r="GY36" s="132"/>
      <c r="GZ36" s="403" t="s">
        <v>175</v>
      </c>
      <c r="HA36" s="404">
        <v>4408</v>
      </c>
    </row>
    <row r="37" spans="1:209" x14ac:dyDescent="0.25">
      <c r="A37"/>
      <c r="D37" s="35"/>
      <c r="E37" s="36"/>
      <c r="F37" s="37"/>
      <c r="G37" s="38"/>
      <c r="H37" s="39"/>
      <c r="I37" s="40"/>
      <c r="J37" s="76" t="s">
        <v>44</v>
      </c>
      <c r="K37" s="69" t="s">
        <v>35</v>
      </c>
      <c r="L37" s="69">
        <v>130</v>
      </c>
      <c r="M37" s="70">
        <v>11890</v>
      </c>
      <c r="N37" s="71">
        <v>42764</v>
      </c>
      <c r="O37" s="381" t="s">
        <v>163</v>
      </c>
      <c r="P37" s="72">
        <v>14800</v>
      </c>
      <c r="Q37" s="113">
        <f t="shared" si="1"/>
        <v>2910</v>
      </c>
      <c r="R37" s="117">
        <v>28.5</v>
      </c>
      <c r="S37" s="117"/>
      <c r="T37" s="117"/>
      <c r="U37" s="39">
        <f t="shared" si="3"/>
        <v>421800</v>
      </c>
      <c r="V37" s="363" t="s">
        <v>72</v>
      </c>
      <c r="W37" s="353">
        <v>42787</v>
      </c>
      <c r="X37" s="368">
        <v>9311.9</v>
      </c>
      <c r="Y37" s="355"/>
      <c r="Z37" s="356"/>
      <c r="AA37" s="357"/>
      <c r="AB37" s="358"/>
      <c r="AC37" s="357"/>
      <c r="AD37" s="359"/>
      <c r="AE37" s="360"/>
      <c r="AF37" s="355"/>
      <c r="AG37" s="355"/>
      <c r="AH37" s="355"/>
      <c r="AI37" s="356"/>
      <c r="AJ37" s="357"/>
      <c r="AK37" s="358"/>
      <c r="AL37" s="357"/>
      <c r="AM37" s="359"/>
      <c r="AN37" s="360"/>
      <c r="AO37" s="355"/>
      <c r="AP37" s="355"/>
      <c r="AQ37" s="355"/>
      <c r="AR37" s="356"/>
      <c r="AS37" s="357"/>
      <c r="AT37" s="358"/>
      <c r="AU37" s="357"/>
      <c r="AV37" s="359"/>
      <c r="AW37" s="360"/>
      <c r="AX37" s="355"/>
      <c r="AY37" s="355"/>
      <c r="AZ37" s="355"/>
      <c r="BA37" s="356"/>
      <c r="BB37" s="357"/>
      <c r="BC37" s="358"/>
      <c r="BD37" s="357"/>
      <c r="BE37" s="359"/>
      <c r="BF37" s="360"/>
      <c r="BG37" s="355"/>
      <c r="BH37" s="355"/>
      <c r="BI37" s="355"/>
      <c r="BJ37" s="356"/>
      <c r="BK37" s="357"/>
      <c r="BL37" s="358"/>
      <c r="BM37" s="357"/>
      <c r="BN37" s="359"/>
      <c r="BO37" s="360"/>
      <c r="BP37" s="355"/>
      <c r="BQ37" s="355"/>
      <c r="BR37" s="355"/>
      <c r="BS37" s="356"/>
      <c r="BT37" s="357"/>
      <c r="BU37" s="358"/>
      <c r="BV37" s="357"/>
      <c r="BW37" s="359"/>
      <c r="BX37" s="360"/>
      <c r="BY37" s="355"/>
      <c r="BZ37" s="355"/>
      <c r="CA37" s="355"/>
      <c r="CB37" s="356"/>
      <c r="CC37" s="357"/>
      <c r="CD37" s="358"/>
      <c r="CE37" s="357"/>
      <c r="CF37" s="359"/>
      <c r="CG37" s="360"/>
      <c r="CH37" s="355"/>
      <c r="CI37" s="355"/>
      <c r="CJ37" s="355"/>
      <c r="CK37" s="356"/>
      <c r="CL37" s="357"/>
      <c r="CM37" s="358"/>
      <c r="CN37" s="357"/>
      <c r="CO37" s="359"/>
      <c r="CP37" s="360"/>
      <c r="CQ37" s="355"/>
      <c r="CR37" s="355"/>
      <c r="CS37" s="355"/>
      <c r="CT37" s="356"/>
      <c r="CU37" s="357"/>
      <c r="CV37" s="358"/>
      <c r="CW37" s="357"/>
      <c r="CX37" s="359"/>
      <c r="CY37" s="360"/>
      <c r="CZ37" s="355"/>
      <c r="DA37" s="355"/>
      <c r="DB37" s="355"/>
      <c r="DC37" s="356"/>
      <c r="DD37" s="357"/>
      <c r="DE37" s="358"/>
      <c r="DF37" s="357"/>
      <c r="DG37" s="359"/>
      <c r="DH37" s="360"/>
      <c r="DI37" s="355"/>
      <c r="DJ37" s="355"/>
      <c r="DK37" s="355"/>
      <c r="DL37" s="356"/>
      <c r="DM37" s="357"/>
      <c r="DN37" s="358"/>
      <c r="DO37" s="357"/>
      <c r="DP37" s="359"/>
      <c r="DQ37" s="360"/>
      <c r="DR37" s="355"/>
      <c r="DS37" s="355"/>
      <c r="DT37" s="355"/>
      <c r="DU37" s="356"/>
      <c r="DV37" s="357"/>
      <c r="DW37" s="358"/>
      <c r="DX37" s="357"/>
      <c r="DY37" s="359"/>
      <c r="DZ37" s="360"/>
      <c r="EA37" s="355"/>
      <c r="EB37" s="355"/>
      <c r="EC37" s="355"/>
      <c r="ED37" s="356"/>
      <c r="EE37" s="357"/>
      <c r="EF37" s="358"/>
      <c r="EG37" s="357"/>
      <c r="EH37" s="359"/>
      <c r="EI37" s="360"/>
      <c r="EJ37" s="355"/>
      <c r="EK37" s="355"/>
      <c r="EL37" s="355"/>
      <c r="EM37" s="356"/>
      <c r="EN37" s="357"/>
      <c r="EO37" s="358"/>
      <c r="EP37" s="357"/>
      <c r="EQ37" s="359"/>
      <c r="ER37" s="360"/>
      <c r="ES37" s="355"/>
      <c r="ET37" s="355"/>
      <c r="EU37" s="355"/>
      <c r="EV37" s="356"/>
      <c r="EW37" s="357"/>
      <c r="EX37" s="358"/>
      <c r="EY37" s="357"/>
      <c r="EZ37" s="359"/>
      <c r="FA37" s="360"/>
      <c r="FB37" s="355"/>
      <c r="FC37" s="355"/>
      <c r="FD37" s="355"/>
      <c r="FE37" s="356"/>
      <c r="FF37" s="357"/>
      <c r="FG37" s="358"/>
      <c r="FH37" s="357"/>
      <c r="FI37" s="359"/>
      <c r="FJ37" s="360"/>
      <c r="FK37" s="355"/>
      <c r="FL37" s="355"/>
      <c r="FM37" s="355"/>
      <c r="FN37" s="356"/>
      <c r="FO37" s="357"/>
      <c r="FP37" s="358"/>
      <c r="FQ37" s="357"/>
      <c r="FR37" s="359"/>
      <c r="FS37" s="360"/>
      <c r="FT37" s="355"/>
      <c r="FU37" s="355"/>
      <c r="FV37" s="355"/>
      <c r="FW37" s="356"/>
      <c r="FX37" s="357"/>
      <c r="FY37" s="358"/>
      <c r="FZ37" s="357"/>
      <c r="GA37" s="359"/>
      <c r="GB37" s="360"/>
      <c r="GC37" s="355"/>
      <c r="GD37" s="355"/>
      <c r="GE37" s="355"/>
      <c r="GF37" s="356"/>
      <c r="GG37" s="357"/>
      <c r="GH37" s="358"/>
      <c r="GI37" s="357"/>
      <c r="GJ37" s="359"/>
      <c r="GK37" s="360"/>
      <c r="GL37" s="355"/>
      <c r="GM37" s="355"/>
      <c r="GN37" s="355"/>
      <c r="GO37" s="356"/>
      <c r="GP37" s="357"/>
      <c r="GQ37" s="358"/>
      <c r="GR37" s="357"/>
      <c r="GS37" s="359"/>
      <c r="GT37" s="360"/>
      <c r="GU37" s="370">
        <v>42787</v>
      </c>
      <c r="GV37" s="98"/>
      <c r="GW37" s="130">
        <v>17584</v>
      </c>
      <c r="GX37" s="74" t="s">
        <v>119</v>
      </c>
      <c r="GY37" s="74"/>
      <c r="GZ37" s="403" t="s">
        <v>175</v>
      </c>
      <c r="HA37" s="404">
        <v>2552</v>
      </c>
    </row>
    <row r="38" spans="1:209" x14ac:dyDescent="0.25">
      <c r="A38"/>
      <c r="D38" s="35"/>
      <c r="E38" s="36"/>
      <c r="F38" s="37"/>
      <c r="G38" s="38"/>
      <c r="H38" s="39"/>
      <c r="I38" s="40"/>
      <c r="J38" s="76" t="s">
        <v>43</v>
      </c>
      <c r="K38" s="123" t="s">
        <v>85</v>
      </c>
      <c r="L38" s="123">
        <v>229</v>
      </c>
      <c r="M38" s="70">
        <v>22280</v>
      </c>
      <c r="N38" s="71">
        <v>42766</v>
      </c>
      <c r="O38" s="381" t="s">
        <v>174</v>
      </c>
      <c r="P38" s="72">
        <v>27650</v>
      </c>
      <c r="Q38" s="113">
        <f t="shared" si="1"/>
        <v>5370</v>
      </c>
      <c r="R38" s="117">
        <v>28.5</v>
      </c>
      <c r="S38" s="117"/>
      <c r="T38" s="117"/>
      <c r="U38" s="39">
        <f t="shared" si="3"/>
        <v>788025</v>
      </c>
      <c r="V38" s="363" t="s">
        <v>72</v>
      </c>
      <c r="W38" s="353">
        <v>42793</v>
      </c>
      <c r="X38" s="368">
        <v>16403.27</v>
      </c>
      <c r="Y38" s="355"/>
      <c r="Z38" s="356"/>
      <c r="AA38" s="357"/>
      <c r="AB38" s="358"/>
      <c r="AC38" s="357"/>
      <c r="AD38" s="359"/>
      <c r="AE38" s="360"/>
      <c r="AF38" s="355"/>
      <c r="AG38" s="355"/>
      <c r="AH38" s="355"/>
      <c r="AI38" s="356"/>
      <c r="AJ38" s="357"/>
      <c r="AK38" s="358"/>
      <c r="AL38" s="357"/>
      <c r="AM38" s="359"/>
      <c r="AN38" s="360"/>
      <c r="AO38" s="355"/>
      <c r="AP38" s="355"/>
      <c r="AQ38" s="355"/>
      <c r="AR38" s="356"/>
      <c r="AS38" s="357"/>
      <c r="AT38" s="358"/>
      <c r="AU38" s="357"/>
      <c r="AV38" s="359"/>
      <c r="AW38" s="360"/>
      <c r="AX38" s="355"/>
      <c r="AY38" s="355"/>
      <c r="AZ38" s="355"/>
      <c r="BA38" s="356"/>
      <c r="BB38" s="357"/>
      <c r="BC38" s="358"/>
      <c r="BD38" s="357"/>
      <c r="BE38" s="359"/>
      <c r="BF38" s="360"/>
      <c r="BG38" s="355"/>
      <c r="BH38" s="355"/>
      <c r="BI38" s="355"/>
      <c r="BJ38" s="356"/>
      <c r="BK38" s="357"/>
      <c r="BL38" s="358"/>
      <c r="BM38" s="357"/>
      <c r="BN38" s="359"/>
      <c r="BO38" s="360"/>
      <c r="BP38" s="355"/>
      <c r="BQ38" s="355"/>
      <c r="BR38" s="355"/>
      <c r="BS38" s="356"/>
      <c r="BT38" s="357"/>
      <c r="BU38" s="358"/>
      <c r="BV38" s="357"/>
      <c r="BW38" s="359"/>
      <c r="BX38" s="360"/>
      <c r="BY38" s="355"/>
      <c r="BZ38" s="355"/>
      <c r="CA38" s="355"/>
      <c r="CB38" s="356"/>
      <c r="CC38" s="357"/>
      <c r="CD38" s="358"/>
      <c r="CE38" s="357"/>
      <c r="CF38" s="359"/>
      <c r="CG38" s="360"/>
      <c r="CH38" s="355"/>
      <c r="CI38" s="355"/>
      <c r="CJ38" s="355"/>
      <c r="CK38" s="356"/>
      <c r="CL38" s="357"/>
      <c r="CM38" s="358"/>
      <c r="CN38" s="357"/>
      <c r="CO38" s="359"/>
      <c r="CP38" s="360"/>
      <c r="CQ38" s="355"/>
      <c r="CR38" s="355"/>
      <c r="CS38" s="355"/>
      <c r="CT38" s="356"/>
      <c r="CU38" s="357"/>
      <c r="CV38" s="358"/>
      <c r="CW38" s="357"/>
      <c r="CX38" s="359"/>
      <c r="CY38" s="360"/>
      <c r="CZ38" s="355"/>
      <c r="DA38" s="355"/>
      <c r="DB38" s="355"/>
      <c r="DC38" s="356"/>
      <c r="DD38" s="357"/>
      <c r="DE38" s="358"/>
      <c r="DF38" s="357"/>
      <c r="DG38" s="359"/>
      <c r="DH38" s="360"/>
      <c r="DI38" s="355"/>
      <c r="DJ38" s="355"/>
      <c r="DK38" s="355"/>
      <c r="DL38" s="356"/>
      <c r="DM38" s="357"/>
      <c r="DN38" s="358"/>
      <c r="DO38" s="357"/>
      <c r="DP38" s="359"/>
      <c r="DQ38" s="360"/>
      <c r="DR38" s="355"/>
      <c r="DS38" s="355"/>
      <c r="DT38" s="355"/>
      <c r="DU38" s="356"/>
      <c r="DV38" s="357"/>
      <c r="DW38" s="358"/>
      <c r="DX38" s="357"/>
      <c r="DY38" s="359"/>
      <c r="DZ38" s="360"/>
      <c r="EA38" s="355"/>
      <c r="EB38" s="355"/>
      <c r="EC38" s="355"/>
      <c r="ED38" s="356"/>
      <c r="EE38" s="357"/>
      <c r="EF38" s="358"/>
      <c r="EG38" s="357"/>
      <c r="EH38" s="359"/>
      <c r="EI38" s="360"/>
      <c r="EJ38" s="355"/>
      <c r="EK38" s="355"/>
      <c r="EL38" s="355"/>
      <c r="EM38" s="356"/>
      <c r="EN38" s="357"/>
      <c r="EO38" s="358"/>
      <c r="EP38" s="357"/>
      <c r="EQ38" s="359"/>
      <c r="ER38" s="360"/>
      <c r="ES38" s="355"/>
      <c r="ET38" s="355"/>
      <c r="EU38" s="355"/>
      <c r="EV38" s="356"/>
      <c r="EW38" s="357"/>
      <c r="EX38" s="358"/>
      <c r="EY38" s="357"/>
      <c r="EZ38" s="359"/>
      <c r="FA38" s="360"/>
      <c r="FB38" s="355"/>
      <c r="FC38" s="355"/>
      <c r="FD38" s="355"/>
      <c r="FE38" s="356"/>
      <c r="FF38" s="357"/>
      <c r="FG38" s="358"/>
      <c r="FH38" s="357"/>
      <c r="FI38" s="359"/>
      <c r="FJ38" s="360"/>
      <c r="FK38" s="355"/>
      <c r="FL38" s="355"/>
      <c r="FM38" s="355"/>
      <c r="FN38" s="356"/>
      <c r="FO38" s="357"/>
      <c r="FP38" s="358"/>
      <c r="FQ38" s="357"/>
      <c r="FR38" s="359"/>
      <c r="FS38" s="360"/>
      <c r="FT38" s="355"/>
      <c r="FU38" s="355"/>
      <c r="FV38" s="355"/>
      <c r="FW38" s="356"/>
      <c r="FX38" s="357"/>
      <c r="FY38" s="358"/>
      <c r="FZ38" s="357"/>
      <c r="GA38" s="359"/>
      <c r="GB38" s="360"/>
      <c r="GC38" s="355"/>
      <c r="GD38" s="355"/>
      <c r="GE38" s="355"/>
      <c r="GF38" s="356"/>
      <c r="GG38" s="357"/>
      <c r="GH38" s="358"/>
      <c r="GI38" s="357"/>
      <c r="GJ38" s="359"/>
      <c r="GK38" s="360"/>
      <c r="GL38" s="355"/>
      <c r="GM38" s="355"/>
      <c r="GN38" s="355"/>
      <c r="GO38" s="356"/>
      <c r="GP38" s="357"/>
      <c r="GQ38" s="358"/>
      <c r="GR38" s="357"/>
      <c r="GS38" s="359"/>
      <c r="GT38" s="360"/>
      <c r="GU38" s="370">
        <v>42793</v>
      </c>
      <c r="GV38" s="98"/>
      <c r="GW38" s="133"/>
      <c r="GX38" s="134"/>
      <c r="GY38" s="134"/>
      <c r="GZ38" s="403" t="s">
        <v>175</v>
      </c>
      <c r="HA38" s="404">
        <v>4408</v>
      </c>
    </row>
    <row r="39" spans="1:209" x14ac:dyDescent="0.25">
      <c r="A39"/>
      <c r="D39" s="35"/>
      <c r="E39" s="36"/>
      <c r="F39" s="37"/>
      <c r="G39" s="38"/>
      <c r="H39" s="39"/>
      <c r="I39" s="40"/>
      <c r="J39" s="68"/>
      <c r="K39" s="69"/>
      <c r="L39" s="69">
        <f>SUM(L4:L38)</f>
        <v>6457</v>
      </c>
      <c r="M39" s="70"/>
      <c r="N39" s="71"/>
      <c r="O39" s="119"/>
      <c r="P39" s="72"/>
      <c r="Q39" s="113">
        <f t="shared" si="1"/>
        <v>0</v>
      </c>
      <c r="R39" s="117"/>
      <c r="S39" s="117"/>
      <c r="T39" s="117"/>
      <c r="U39" s="39">
        <f t="shared" si="3"/>
        <v>0</v>
      </c>
      <c r="V39" s="115"/>
      <c r="W39" s="112"/>
      <c r="X39" s="118"/>
      <c r="Y39" s="17"/>
      <c r="Z39" s="20"/>
      <c r="AA39" s="92"/>
      <c r="AB39" s="93"/>
      <c r="AC39" s="92"/>
      <c r="AD39" s="94"/>
      <c r="AE39" s="95"/>
      <c r="AF39" s="17"/>
      <c r="AG39" s="17"/>
      <c r="AH39" s="17"/>
      <c r="AI39" s="20"/>
      <c r="AJ39" s="92"/>
      <c r="AK39" s="93"/>
      <c r="AL39" s="92"/>
      <c r="AM39" s="94"/>
      <c r="AN39" s="95"/>
      <c r="AO39" s="17"/>
      <c r="AP39" s="17"/>
      <c r="AQ39" s="17"/>
      <c r="AR39" s="20"/>
      <c r="AS39" s="92"/>
      <c r="AT39" s="93"/>
      <c r="AU39" s="92"/>
      <c r="AV39" s="94"/>
      <c r="AW39" s="95"/>
      <c r="AX39" s="17"/>
      <c r="AY39" s="17"/>
      <c r="AZ39" s="17"/>
      <c r="BA39" s="20"/>
      <c r="BB39" s="92"/>
      <c r="BC39" s="93"/>
      <c r="BD39" s="92"/>
      <c r="BE39" s="94"/>
      <c r="BF39" s="95"/>
      <c r="BG39" s="17"/>
      <c r="BH39" s="17"/>
      <c r="BI39" s="17"/>
      <c r="BJ39" s="20"/>
      <c r="BK39" s="92"/>
      <c r="BL39" s="93"/>
      <c r="BM39" s="92"/>
      <c r="BN39" s="94"/>
      <c r="BO39" s="95"/>
      <c r="BP39" s="17"/>
      <c r="BQ39" s="17"/>
      <c r="BR39" s="17"/>
      <c r="BS39" s="20"/>
      <c r="BT39" s="92"/>
      <c r="BU39" s="93"/>
      <c r="BV39" s="92"/>
      <c r="BW39" s="94"/>
      <c r="BX39" s="95"/>
      <c r="BY39" s="17"/>
      <c r="BZ39" s="17"/>
      <c r="CA39" s="17"/>
      <c r="CB39" s="20"/>
      <c r="CC39" s="92"/>
      <c r="CD39" s="93"/>
      <c r="CE39" s="92"/>
      <c r="CF39" s="94"/>
      <c r="CG39" s="95"/>
      <c r="CH39" s="17"/>
      <c r="CI39" s="17"/>
      <c r="CJ39" s="17"/>
      <c r="CK39" s="20"/>
      <c r="CL39" s="92"/>
      <c r="CM39" s="93"/>
      <c r="CN39" s="92"/>
      <c r="CO39" s="94"/>
      <c r="CP39" s="95"/>
      <c r="CQ39" s="17"/>
      <c r="CR39" s="17"/>
      <c r="CS39" s="17"/>
      <c r="CT39" s="20"/>
      <c r="CU39" s="92"/>
      <c r="CV39" s="93"/>
      <c r="CW39" s="92"/>
      <c r="CX39" s="94"/>
      <c r="CY39" s="95"/>
      <c r="CZ39" s="17"/>
      <c r="DA39" s="17"/>
      <c r="DB39" s="17"/>
      <c r="DC39" s="20"/>
      <c r="DD39" s="92"/>
      <c r="DE39" s="93"/>
      <c r="DF39" s="92"/>
      <c r="DG39" s="94"/>
      <c r="DH39" s="95"/>
      <c r="DI39" s="17"/>
      <c r="DJ39" s="17"/>
      <c r="DK39" s="17"/>
      <c r="DL39" s="20"/>
      <c r="DM39" s="92"/>
      <c r="DN39" s="93"/>
      <c r="DO39" s="92"/>
      <c r="DP39" s="94"/>
      <c r="DQ39" s="95"/>
      <c r="DR39" s="17"/>
      <c r="DS39" s="17"/>
      <c r="DT39" s="17"/>
      <c r="DU39" s="20"/>
      <c r="DV39" s="92"/>
      <c r="DW39" s="93"/>
      <c r="DX39" s="92"/>
      <c r="DY39" s="94"/>
      <c r="DZ39" s="95"/>
      <c r="EA39" s="17"/>
      <c r="EB39" s="17"/>
      <c r="EC39" s="17"/>
      <c r="ED39" s="20"/>
      <c r="EE39" s="92"/>
      <c r="EF39" s="93"/>
      <c r="EG39" s="92"/>
      <c r="EH39" s="94"/>
      <c r="EI39" s="95"/>
      <c r="EJ39" s="17"/>
      <c r="EK39" s="17"/>
      <c r="EL39" s="17"/>
      <c r="EM39" s="20"/>
      <c r="EN39" s="92"/>
      <c r="EO39" s="93"/>
      <c r="EP39" s="92"/>
      <c r="EQ39" s="94"/>
      <c r="ER39" s="95"/>
      <c r="ES39" s="17"/>
      <c r="ET39" s="17"/>
      <c r="EU39" s="17"/>
      <c r="EV39" s="20"/>
      <c r="EW39" s="92"/>
      <c r="EX39" s="93"/>
      <c r="EY39" s="92"/>
      <c r="EZ39" s="94"/>
      <c r="FA39" s="95"/>
      <c r="FB39" s="17"/>
      <c r="FC39" s="17"/>
      <c r="FD39" s="17"/>
      <c r="FE39" s="20"/>
      <c r="FF39" s="92"/>
      <c r="FG39" s="93"/>
      <c r="FH39" s="92"/>
      <c r="FI39" s="94"/>
      <c r="FJ39" s="95"/>
      <c r="FK39" s="17"/>
      <c r="FL39" s="17"/>
      <c r="FM39" s="17"/>
      <c r="FN39" s="20"/>
      <c r="FO39" s="92"/>
      <c r="FP39" s="93"/>
      <c r="FQ39" s="92"/>
      <c r="FR39" s="94"/>
      <c r="FS39" s="95"/>
      <c r="FT39" s="17"/>
      <c r="FU39" s="17"/>
      <c r="FV39" s="17"/>
      <c r="FW39" s="20"/>
      <c r="FX39" s="92"/>
      <c r="FY39" s="93"/>
      <c r="FZ39" s="92"/>
      <c r="GA39" s="94"/>
      <c r="GB39" s="95"/>
      <c r="GC39" s="17"/>
      <c r="GD39" s="17"/>
      <c r="GE39" s="17"/>
      <c r="GF39" s="20"/>
      <c r="GG39" s="92"/>
      <c r="GH39" s="93"/>
      <c r="GI39" s="92"/>
      <c r="GJ39" s="94"/>
      <c r="GK39" s="95"/>
      <c r="GL39" s="17"/>
      <c r="GM39" s="17"/>
      <c r="GN39" s="17"/>
      <c r="GO39" s="20"/>
      <c r="GP39" s="92"/>
      <c r="GQ39" s="93"/>
      <c r="GR39" s="92"/>
      <c r="GS39" s="94"/>
      <c r="GT39" s="95"/>
      <c r="GU39" s="122"/>
      <c r="GV39" s="98"/>
      <c r="GW39" s="133"/>
      <c r="GX39" s="134"/>
      <c r="GY39" s="134"/>
      <c r="GZ39" s="403"/>
      <c r="HA39" s="404"/>
    </row>
    <row r="40" spans="1:209" x14ac:dyDescent="0.25">
      <c r="A40"/>
      <c r="D40" s="35"/>
      <c r="E40" s="36"/>
      <c r="F40" s="37"/>
      <c r="G40" s="38"/>
      <c r="H40" s="39"/>
      <c r="I40" s="40"/>
      <c r="J40" s="68"/>
      <c r="K40" s="69"/>
      <c r="L40" s="69"/>
      <c r="M40" s="70"/>
      <c r="N40" s="71"/>
      <c r="O40" s="56"/>
      <c r="P40" s="72"/>
      <c r="Q40" s="113">
        <f t="shared" si="1"/>
        <v>0</v>
      </c>
      <c r="R40" s="117"/>
      <c r="S40" s="117"/>
      <c r="T40" s="117"/>
      <c r="U40" s="39">
        <f t="shared" ref="U40" si="4">R40*P40</f>
        <v>0</v>
      </c>
      <c r="V40" s="115"/>
      <c r="W40" s="112"/>
      <c r="X40" s="118"/>
      <c r="Y40" s="17"/>
      <c r="Z40" s="20"/>
      <c r="AA40" s="92"/>
      <c r="AB40" s="93"/>
      <c r="AC40" s="92"/>
      <c r="AD40" s="94"/>
      <c r="AE40" s="95"/>
      <c r="AF40" s="17"/>
      <c r="AG40" s="17"/>
      <c r="AH40" s="17"/>
      <c r="AI40" s="20"/>
      <c r="AJ40" s="92"/>
      <c r="AK40" s="93"/>
      <c r="AL40" s="92"/>
      <c r="AM40" s="94"/>
      <c r="AN40" s="95"/>
      <c r="AO40" s="17"/>
      <c r="AP40" s="17"/>
      <c r="AQ40" s="17"/>
      <c r="AR40" s="20"/>
      <c r="AS40" s="92"/>
      <c r="AT40" s="93"/>
      <c r="AU40" s="92"/>
      <c r="AV40" s="94"/>
      <c r="AW40" s="95"/>
      <c r="AX40" s="17"/>
      <c r="AY40" s="17"/>
      <c r="AZ40" s="17"/>
      <c r="BA40" s="20"/>
      <c r="BB40" s="92"/>
      <c r="BC40" s="93"/>
      <c r="BD40" s="92"/>
      <c r="BE40" s="94"/>
      <c r="BF40" s="95"/>
      <c r="BG40" s="17"/>
      <c r="BH40" s="17"/>
      <c r="BI40" s="17"/>
      <c r="BJ40" s="20"/>
      <c r="BK40" s="92"/>
      <c r="BL40" s="93"/>
      <c r="BM40" s="92"/>
      <c r="BN40" s="94"/>
      <c r="BO40" s="95"/>
      <c r="BP40" s="17"/>
      <c r="BQ40" s="17"/>
      <c r="BR40" s="17"/>
      <c r="BS40" s="20"/>
      <c r="BT40" s="92"/>
      <c r="BU40" s="93"/>
      <c r="BV40" s="92"/>
      <c r="BW40" s="94"/>
      <c r="BX40" s="95"/>
      <c r="BY40" s="17"/>
      <c r="BZ40" s="17"/>
      <c r="CA40" s="17"/>
      <c r="CB40" s="20"/>
      <c r="CC40" s="92"/>
      <c r="CD40" s="93"/>
      <c r="CE40" s="92"/>
      <c r="CF40" s="94"/>
      <c r="CG40" s="95"/>
      <c r="CH40" s="17"/>
      <c r="CI40" s="17"/>
      <c r="CJ40" s="17"/>
      <c r="CK40" s="20"/>
      <c r="CL40" s="92"/>
      <c r="CM40" s="93"/>
      <c r="CN40" s="92"/>
      <c r="CO40" s="94"/>
      <c r="CP40" s="95"/>
      <c r="CQ40" s="17"/>
      <c r="CR40" s="17"/>
      <c r="CS40" s="17"/>
      <c r="CT40" s="20"/>
      <c r="CU40" s="92"/>
      <c r="CV40" s="93"/>
      <c r="CW40" s="92"/>
      <c r="CX40" s="94"/>
      <c r="CY40" s="95"/>
      <c r="CZ40" s="17"/>
      <c r="DA40" s="17"/>
      <c r="DB40" s="17"/>
      <c r="DC40" s="20"/>
      <c r="DD40" s="92"/>
      <c r="DE40" s="93"/>
      <c r="DF40" s="92"/>
      <c r="DG40" s="94"/>
      <c r="DH40" s="95"/>
      <c r="DI40" s="17"/>
      <c r="DJ40" s="17"/>
      <c r="DK40" s="17"/>
      <c r="DL40" s="20"/>
      <c r="DM40" s="92"/>
      <c r="DN40" s="93"/>
      <c r="DO40" s="92"/>
      <c r="DP40" s="94"/>
      <c r="DQ40" s="95"/>
      <c r="DR40" s="17"/>
      <c r="DS40" s="17"/>
      <c r="DT40" s="17"/>
      <c r="DU40" s="20"/>
      <c r="DV40" s="92"/>
      <c r="DW40" s="93"/>
      <c r="DX40" s="92"/>
      <c r="DY40" s="94"/>
      <c r="DZ40" s="95"/>
      <c r="EA40" s="17"/>
      <c r="EB40" s="17"/>
      <c r="EC40" s="17"/>
      <c r="ED40" s="20"/>
      <c r="EE40" s="92"/>
      <c r="EF40" s="93"/>
      <c r="EG40" s="92"/>
      <c r="EH40" s="94"/>
      <c r="EI40" s="95"/>
      <c r="EJ40" s="17"/>
      <c r="EK40" s="17"/>
      <c r="EL40" s="17"/>
      <c r="EM40" s="20"/>
      <c r="EN40" s="92"/>
      <c r="EO40" s="93"/>
      <c r="EP40" s="92"/>
      <c r="EQ40" s="94"/>
      <c r="ER40" s="95"/>
      <c r="ES40" s="17"/>
      <c r="ET40" s="17"/>
      <c r="EU40" s="17"/>
      <c r="EV40" s="20"/>
      <c r="EW40" s="92"/>
      <c r="EX40" s="93"/>
      <c r="EY40" s="92"/>
      <c r="EZ40" s="94"/>
      <c r="FA40" s="95"/>
      <c r="FB40" s="17"/>
      <c r="FC40" s="17"/>
      <c r="FD40" s="17"/>
      <c r="FE40" s="20"/>
      <c r="FF40" s="92"/>
      <c r="FG40" s="93"/>
      <c r="FH40" s="92"/>
      <c r="FI40" s="94"/>
      <c r="FJ40" s="95"/>
      <c r="FK40" s="17"/>
      <c r="FL40" s="17"/>
      <c r="FM40" s="17"/>
      <c r="FN40" s="20"/>
      <c r="FO40" s="92"/>
      <c r="FP40" s="93"/>
      <c r="FQ40" s="92"/>
      <c r="FR40" s="94"/>
      <c r="FS40" s="95"/>
      <c r="FT40" s="17"/>
      <c r="FU40" s="17"/>
      <c r="FV40" s="17"/>
      <c r="FW40" s="20"/>
      <c r="FX40" s="92"/>
      <c r="FY40" s="93"/>
      <c r="FZ40" s="92"/>
      <c r="GA40" s="94"/>
      <c r="GB40" s="95"/>
      <c r="GC40" s="17"/>
      <c r="GD40" s="17"/>
      <c r="GE40" s="17"/>
      <c r="GF40" s="20"/>
      <c r="GG40" s="92"/>
      <c r="GH40" s="93"/>
      <c r="GI40" s="92"/>
      <c r="GJ40" s="94"/>
      <c r="GK40" s="95"/>
      <c r="GL40" s="17"/>
      <c r="GM40" s="17"/>
      <c r="GN40" s="17"/>
      <c r="GO40" s="20"/>
      <c r="GP40" s="92"/>
      <c r="GQ40" s="93"/>
      <c r="GR40" s="92"/>
      <c r="GS40" s="94"/>
      <c r="GT40" s="95"/>
      <c r="GU40" s="122"/>
      <c r="GV40" s="98"/>
      <c r="GW40" s="135"/>
      <c r="GX40" s="134"/>
      <c r="GY40" s="136"/>
      <c r="GZ40" s="167"/>
      <c r="HA40" s="86"/>
    </row>
    <row r="41" spans="1:209" x14ac:dyDescent="0.25">
      <c r="A41"/>
      <c r="D41" s="35"/>
      <c r="E41" s="36"/>
      <c r="F41" s="37"/>
      <c r="G41" s="38"/>
      <c r="H41" s="39"/>
      <c r="I41" s="40"/>
      <c r="J41" s="68"/>
      <c r="K41" s="69"/>
      <c r="L41" s="69"/>
      <c r="M41" s="70"/>
      <c r="N41" s="71"/>
      <c r="O41" s="56"/>
      <c r="P41" s="72"/>
      <c r="Q41" s="113">
        <f t="shared" si="1"/>
        <v>0</v>
      </c>
      <c r="R41" s="64"/>
      <c r="S41" s="117"/>
      <c r="T41" s="117"/>
      <c r="U41" s="39">
        <f>R41*P41</f>
        <v>0</v>
      </c>
      <c r="V41" s="115"/>
      <c r="W41" s="83"/>
      <c r="X41" s="118"/>
      <c r="Y41" s="17"/>
      <c r="Z41" s="20"/>
      <c r="AA41" s="92"/>
      <c r="AB41" s="93"/>
      <c r="AC41" s="92"/>
      <c r="AD41" s="94"/>
      <c r="AE41" s="95"/>
      <c r="AF41" s="17"/>
      <c r="AG41" s="17"/>
      <c r="AH41" s="17"/>
      <c r="AI41" s="20"/>
      <c r="AJ41" s="92"/>
      <c r="AK41" s="93"/>
      <c r="AL41" s="92"/>
      <c r="AM41" s="94"/>
      <c r="AN41" s="95"/>
      <c r="AO41" s="17"/>
      <c r="AP41" s="17"/>
      <c r="AQ41" s="17"/>
      <c r="AR41" s="20"/>
      <c r="AS41" s="92"/>
      <c r="AT41" s="93"/>
      <c r="AU41" s="92"/>
      <c r="AV41" s="94"/>
      <c r="AW41" s="95"/>
      <c r="AX41" s="17"/>
      <c r="AY41" s="17"/>
      <c r="AZ41" s="17"/>
      <c r="BA41" s="20"/>
      <c r="BB41" s="92"/>
      <c r="BC41" s="93"/>
      <c r="BD41" s="92"/>
      <c r="BE41" s="94"/>
      <c r="BF41" s="95"/>
      <c r="BG41" s="17"/>
      <c r="BH41" s="17"/>
      <c r="BI41" s="17"/>
      <c r="BJ41" s="20"/>
      <c r="BK41" s="92"/>
      <c r="BL41" s="93"/>
      <c r="BM41" s="92"/>
      <c r="BN41" s="94"/>
      <c r="BO41" s="95"/>
      <c r="BP41" s="17"/>
      <c r="BQ41" s="17"/>
      <c r="BR41" s="17"/>
      <c r="BS41" s="20"/>
      <c r="BT41" s="92"/>
      <c r="BU41" s="93"/>
      <c r="BV41" s="92"/>
      <c r="BW41" s="94"/>
      <c r="BX41" s="95"/>
      <c r="BY41" s="17"/>
      <c r="BZ41" s="17"/>
      <c r="CA41" s="17"/>
      <c r="CB41" s="20"/>
      <c r="CC41" s="92"/>
      <c r="CD41" s="93"/>
      <c r="CE41" s="92"/>
      <c r="CF41" s="94"/>
      <c r="CG41" s="95"/>
      <c r="CH41" s="17"/>
      <c r="CI41" s="17"/>
      <c r="CJ41" s="17"/>
      <c r="CK41" s="20"/>
      <c r="CL41" s="92"/>
      <c r="CM41" s="93"/>
      <c r="CN41" s="92"/>
      <c r="CO41" s="94"/>
      <c r="CP41" s="95"/>
      <c r="CQ41" s="17"/>
      <c r="CR41" s="17"/>
      <c r="CS41" s="17"/>
      <c r="CT41" s="20"/>
      <c r="CU41" s="92"/>
      <c r="CV41" s="93"/>
      <c r="CW41" s="92"/>
      <c r="CX41" s="94"/>
      <c r="CY41" s="95"/>
      <c r="CZ41" s="17"/>
      <c r="DA41" s="17"/>
      <c r="DB41" s="17"/>
      <c r="DC41" s="20"/>
      <c r="DD41" s="92"/>
      <c r="DE41" s="93"/>
      <c r="DF41" s="92"/>
      <c r="DG41" s="94"/>
      <c r="DH41" s="95"/>
      <c r="DI41" s="17"/>
      <c r="DJ41" s="17"/>
      <c r="DK41" s="17"/>
      <c r="DL41" s="20"/>
      <c r="DM41" s="92"/>
      <c r="DN41" s="93"/>
      <c r="DO41" s="92"/>
      <c r="DP41" s="94"/>
      <c r="DQ41" s="95"/>
      <c r="DR41" s="17"/>
      <c r="DS41" s="17"/>
      <c r="DT41" s="17"/>
      <c r="DU41" s="20"/>
      <c r="DV41" s="92"/>
      <c r="DW41" s="93"/>
      <c r="DX41" s="92"/>
      <c r="DY41" s="94"/>
      <c r="DZ41" s="95"/>
      <c r="EA41" s="17"/>
      <c r="EB41" s="17"/>
      <c r="EC41" s="17"/>
      <c r="ED41" s="20"/>
      <c r="EE41" s="92"/>
      <c r="EF41" s="93"/>
      <c r="EG41" s="92"/>
      <c r="EH41" s="94"/>
      <c r="EI41" s="95"/>
      <c r="EJ41" s="17"/>
      <c r="EK41" s="17"/>
      <c r="EL41" s="17"/>
      <c r="EM41" s="20"/>
      <c r="EN41" s="92"/>
      <c r="EO41" s="93"/>
      <c r="EP41" s="92"/>
      <c r="EQ41" s="94"/>
      <c r="ER41" s="95"/>
      <c r="ES41" s="17"/>
      <c r="ET41" s="17"/>
      <c r="EU41" s="17"/>
      <c r="EV41" s="20"/>
      <c r="EW41" s="92"/>
      <c r="EX41" s="93"/>
      <c r="EY41" s="92"/>
      <c r="EZ41" s="94"/>
      <c r="FA41" s="95"/>
      <c r="FB41" s="17"/>
      <c r="FC41" s="17"/>
      <c r="FD41" s="17"/>
      <c r="FE41" s="20"/>
      <c r="FF41" s="92"/>
      <c r="FG41" s="93"/>
      <c r="FH41" s="92"/>
      <c r="FI41" s="94"/>
      <c r="FJ41" s="95"/>
      <c r="FK41" s="17"/>
      <c r="FL41" s="17"/>
      <c r="FM41" s="17"/>
      <c r="FN41" s="20"/>
      <c r="FO41" s="92"/>
      <c r="FP41" s="93"/>
      <c r="FQ41" s="92"/>
      <c r="FR41" s="94"/>
      <c r="FS41" s="95"/>
      <c r="FT41" s="17"/>
      <c r="FU41" s="17"/>
      <c r="FV41" s="17"/>
      <c r="FW41" s="20"/>
      <c r="FX41" s="92"/>
      <c r="FY41" s="93"/>
      <c r="FZ41" s="92"/>
      <c r="GA41" s="94"/>
      <c r="GB41" s="95"/>
      <c r="GC41" s="17"/>
      <c r="GD41" s="17"/>
      <c r="GE41" s="17"/>
      <c r="GF41" s="20"/>
      <c r="GG41" s="92"/>
      <c r="GH41" s="93"/>
      <c r="GI41" s="92"/>
      <c r="GJ41" s="94"/>
      <c r="GK41" s="95"/>
      <c r="GL41" s="17"/>
      <c r="GM41" s="17"/>
      <c r="GN41" s="17"/>
      <c r="GO41" s="20"/>
      <c r="GP41" s="92"/>
      <c r="GQ41" s="93"/>
      <c r="GR41" s="92"/>
      <c r="GS41" s="94"/>
      <c r="GT41" s="95"/>
      <c r="GU41" s="137"/>
      <c r="GV41" s="98"/>
      <c r="GW41" s="129"/>
      <c r="GX41" s="74"/>
      <c r="GY41" s="74"/>
      <c r="GZ41" s="167"/>
      <c r="HA41" s="86"/>
    </row>
    <row r="42" spans="1:209" x14ac:dyDescent="0.25">
      <c r="A42"/>
      <c r="D42" s="35"/>
      <c r="E42" s="36"/>
      <c r="F42" s="37"/>
      <c r="G42" s="38"/>
      <c r="H42" s="39"/>
      <c r="I42" s="40"/>
      <c r="J42" s="68"/>
      <c r="K42" s="69"/>
      <c r="L42" s="69"/>
      <c r="M42" s="70"/>
      <c r="N42" s="71"/>
      <c r="O42" s="56"/>
      <c r="P42" s="72"/>
      <c r="Q42" s="113">
        <f t="shared" si="1"/>
        <v>0</v>
      </c>
      <c r="R42" s="117"/>
      <c r="S42" s="117"/>
      <c r="T42" s="117"/>
      <c r="U42" s="39">
        <f>R42*P42</f>
        <v>0</v>
      </c>
      <c r="V42" s="115"/>
      <c r="W42" s="112"/>
      <c r="X42" s="118"/>
      <c r="Y42" s="17"/>
      <c r="Z42" s="20"/>
      <c r="AA42" s="92"/>
      <c r="AB42" s="93"/>
      <c r="AC42" s="92"/>
      <c r="AD42" s="94"/>
      <c r="AE42" s="95"/>
      <c r="AF42" s="17"/>
      <c r="AG42" s="17"/>
      <c r="AH42" s="17"/>
      <c r="AI42" s="20"/>
      <c r="AJ42" s="92"/>
      <c r="AK42" s="93"/>
      <c r="AL42" s="92"/>
      <c r="AM42" s="94"/>
      <c r="AN42" s="95"/>
      <c r="AO42" s="17"/>
      <c r="AP42" s="17"/>
      <c r="AQ42" s="17"/>
      <c r="AR42" s="20"/>
      <c r="AS42" s="92"/>
      <c r="AT42" s="93"/>
      <c r="AU42" s="92"/>
      <c r="AV42" s="94"/>
      <c r="AW42" s="95"/>
      <c r="AX42" s="17"/>
      <c r="AY42" s="17"/>
      <c r="AZ42" s="17"/>
      <c r="BA42" s="20"/>
      <c r="BB42" s="92"/>
      <c r="BC42" s="93"/>
      <c r="BD42" s="92"/>
      <c r="BE42" s="94"/>
      <c r="BF42" s="95"/>
      <c r="BG42" s="17"/>
      <c r="BH42" s="17"/>
      <c r="BI42" s="17"/>
      <c r="BJ42" s="20"/>
      <c r="BK42" s="92"/>
      <c r="BL42" s="93"/>
      <c r="BM42" s="92"/>
      <c r="BN42" s="94"/>
      <c r="BO42" s="95"/>
      <c r="BP42" s="17"/>
      <c r="BQ42" s="17"/>
      <c r="BR42" s="17"/>
      <c r="BS42" s="20"/>
      <c r="BT42" s="92"/>
      <c r="BU42" s="93"/>
      <c r="BV42" s="92"/>
      <c r="BW42" s="94"/>
      <c r="BX42" s="95"/>
      <c r="BY42" s="17"/>
      <c r="BZ42" s="17"/>
      <c r="CA42" s="17"/>
      <c r="CB42" s="20"/>
      <c r="CC42" s="92"/>
      <c r="CD42" s="93"/>
      <c r="CE42" s="92"/>
      <c r="CF42" s="94"/>
      <c r="CG42" s="95"/>
      <c r="CH42" s="17"/>
      <c r="CI42" s="17"/>
      <c r="CJ42" s="17"/>
      <c r="CK42" s="20"/>
      <c r="CL42" s="92"/>
      <c r="CM42" s="93"/>
      <c r="CN42" s="92"/>
      <c r="CO42" s="94"/>
      <c r="CP42" s="95"/>
      <c r="CQ42" s="17"/>
      <c r="CR42" s="17"/>
      <c r="CS42" s="17"/>
      <c r="CT42" s="20"/>
      <c r="CU42" s="92"/>
      <c r="CV42" s="93"/>
      <c r="CW42" s="92"/>
      <c r="CX42" s="94"/>
      <c r="CY42" s="95"/>
      <c r="CZ42" s="17"/>
      <c r="DA42" s="17"/>
      <c r="DB42" s="17"/>
      <c r="DC42" s="20"/>
      <c r="DD42" s="92"/>
      <c r="DE42" s="93"/>
      <c r="DF42" s="92"/>
      <c r="DG42" s="94"/>
      <c r="DH42" s="95"/>
      <c r="DI42" s="17"/>
      <c r="DJ42" s="17"/>
      <c r="DK42" s="17"/>
      <c r="DL42" s="20"/>
      <c r="DM42" s="92"/>
      <c r="DN42" s="93"/>
      <c r="DO42" s="92"/>
      <c r="DP42" s="94"/>
      <c r="DQ42" s="95"/>
      <c r="DR42" s="17"/>
      <c r="DS42" s="17"/>
      <c r="DT42" s="17"/>
      <c r="DU42" s="20"/>
      <c r="DV42" s="92"/>
      <c r="DW42" s="93"/>
      <c r="DX42" s="92"/>
      <c r="DY42" s="94"/>
      <c r="DZ42" s="95"/>
      <c r="EA42" s="17"/>
      <c r="EB42" s="17"/>
      <c r="EC42" s="17"/>
      <c r="ED42" s="20"/>
      <c r="EE42" s="92"/>
      <c r="EF42" s="93"/>
      <c r="EG42" s="92"/>
      <c r="EH42" s="94"/>
      <c r="EI42" s="95"/>
      <c r="EJ42" s="17"/>
      <c r="EK42" s="17"/>
      <c r="EL42" s="17"/>
      <c r="EM42" s="20"/>
      <c r="EN42" s="92"/>
      <c r="EO42" s="93"/>
      <c r="EP42" s="92"/>
      <c r="EQ42" s="94"/>
      <c r="ER42" s="95"/>
      <c r="ES42" s="17"/>
      <c r="ET42" s="17"/>
      <c r="EU42" s="17"/>
      <c r="EV42" s="20"/>
      <c r="EW42" s="92"/>
      <c r="EX42" s="93"/>
      <c r="EY42" s="92"/>
      <c r="EZ42" s="94"/>
      <c r="FA42" s="95"/>
      <c r="FB42" s="17"/>
      <c r="FC42" s="17"/>
      <c r="FD42" s="17"/>
      <c r="FE42" s="20"/>
      <c r="FF42" s="92"/>
      <c r="FG42" s="93"/>
      <c r="FH42" s="92"/>
      <c r="FI42" s="94"/>
      <c r="FJ42" s="95"/>
      <c r="FK42" s="17"/>
      <c r="FL42" s="17"/>
      <c r="FM42" s="17"/>
      <c r="FN42" s="20"/>
      <c r="FO42" s="92"/>
      <c r="FP42" s="93"/>
      <c r="FQ42" s="92"/>
      <c r="FR42" s="94"/>
      <c r="FS42" s="95"/>
      <c r="FT42" s="17"/>
      <c r="FU42" s="17"/>
      <c r="FV42" s="17"/>
      <c r="FW42" s="20"/>
      <c r="FX42" s="92"/>
      <c r="FY42" s="93"/>
      <c r="FZ42" s="92"/>
      <c r="GA42" s="94"/>
      <c r="GB42" s="95"/>
      <c r="GC42" s="17"/>
      <c r="GD42" s="17"/>
      <c r="GE42" s="17"/>
      <c r="GF42" s="20"/>
      <c r="GG42" s="92"/>
      <c r="GH42" s="93"/>
      <c r="GI42" s="92"/>
      <c r="GJ42" s="94"/>
      <c r="GK42" s="95"/>
      <c r="GL42" s="17"/>
      <c r="GM42" s="17"/>
      <c r="GN42" s="17"/>
      <c r="GO42" s="20"/>
      <c r="GP42" s="92"/>
      <c r="GQ42" s="93"/>
      <c r="GR42" s="92"/>
      <c r="GS42" s="94"/>
      <c r="GT42" s="95"/>
      <c r="GU42" s="128"/>
      <c r="GV42" s="98"/>
      <c r="GW42" s="129"/>
      <c r="GX42" s="74"/>
      <c r="GY42" s="74"/>
      <c r="GZ42" s="167"/>
      <c r="HA42" s="86"/>
    </row>
    <row r="43" spans="1:209" x14ac:dyDescent="0.25">
      <c r="A43"/>
      <c r="D43" s="35"/>
      <c r="E43" s="36"/>
      <c r="F43" s="37"/>
      <c r="G43" s="38"/>
      <c r="H43" s="39"/>
      <c r="I43" s="40"/>
      <c r="J43" s="68"/>
      <c r="K43" s="69"/>
      <c r="L43" s="69"/>
      <c r="M43" s="70"/>
      <c r="N43" s="71"/>
      <c r="O43" s="56"/>
      <c r="P43" s="72"/>
      <c r="Q43" s="113">
        <f t="shared" si="1"/>
        <v>0</v>
      </c>
      <c r="R43" s="117"/>
      <c r="S43" s="117"/>
      <c r="T43" s="117"/>
      <c r="U43" s="39">
        <f>R43*P43</f>
        <v>0</v>
      </c>
      <c r="V43" s="115"/>
      <c r="W43" s="112"/>
      <c r="X43" s="118"/>
      <c r="Y43" s="17"/>
      <c r="Z43" s="20"/>
      <c r="AA43" s="92"/>
      <c r="AB43" s="93"/>
      <c r="AC43" s="92"/>
      <c r="AD43" s="94"/>
      <c r="AE43" s="95"/>
      <c r="AF43" s="17"/>
      <c r="AG43" s="17"/>
      <c r="AH43" s="17"/>
      <c r="AI43" s="20"/>
      <c r="AJ43" s="92"/>
      <c r="AK43" s="93"/>
      <c r="AL43" s="92"/>
      <c r="AM43" s="94"/>
      <c r="AN43" s="95"/>
      <c r="AO43" s="17"/>
      <c r="AP43" s="17"/>
      <c r="AQ43" s="17"/>
      <c r="AR43" s="20"/>
      <c r="AS43" s="92"/>
      <c r="AT43" s="93"/>
      <c r="AU43" s="92"/>
      <c r="AV43" s="94"/>
      <c r="AW43" s="95"/>
      <c r="AX43" s="17"/>
      <c r="AY43" s="17"/>
      <c r="AZ43" s="17"/>
      <c r="BA43" s="20"/>
      <c r="BB43" s="92"/>
      <c r="BC43" s="93"/>
      <c r="BD43" s="92"/>
      <c r="BE43" s="94"/>
      <c r="BF43" s="95"/>
      <c r="BG43" s="17"/>
      <c r="BH43" s="17"/>
      <c r="BI43" s="17"/>
      <c r="BJ43" s="20"/>
      <c r="BK43" s="92"/>
      <c r="BL43" s="93"/>
      <c r="BM43" s="92"/>
      <c r="BN43" s="94"/>
      <c r="BO43" s="95"/>
      <c r="BP43" s="17"/>
      <c r="BQ43" s="17"/>
      <c r="BR43" s="17"/>
      <c r="BS43" s="20"/>
      <c r="BT43" s="92"/>
      <c r="BU43" s="93"/>
      <c r="BV43" s="92"/>
      <c r="BW43" s="94"/>
      <c r="BX43" s="95"/>
      <c r="BY43" s="17"/>
      <c r="BZ43" s="17"/>
      <c r="CA43" s="17"/>
      <c r="CB43" s="20"/>
      <c r="CC43" s="92"/>
      <c r="CD43" s="93"/>
      <c r="CE43" s="92"/>
      <c r="CF43" s="94"/>
      <c r="CG43" s="95"/>
      <c r="CH43" s="17"/>
      <c r="CI43" s="17"/>
      <c r="CJ43" s="17"/>
      <c r="CK43" s="20"/>
      <c r="CL43" s="92"/>
      <c r="CM43" s="93"/>
      <c r="CN43" s="92"/>
      <c r="CO43" s="94"/>
      <c r="CP43" s="95"/>
      <c r="CQ43" s="17"/>
      <c r="CR43" s="17"/>
      <c r="CS43" s="17"/>
      <c r="CT43" s="20"/>
      <c r="CU43" s="92"/>
      <c r="CV43" s="93"/>
      <c r="CW43" s="92"/>
      <c r="CX43" s="94"/>
      <c r="CY43" s="95"/>
      <c r="CZ43" s="17"/>
      <c r="DA43" s="17"/>
      <c r="DB43" s="17"/>
      <c r="DC43" s="20"/>
      <c r="DD43" s="92"/>
      <c r="DE43" s="93"/>
      <c r="DF43" s="92"/>
      <c r="DG43" s="94"/>
      <c r="DH43" s="95"/>
      <c r="DI43" s="17"/>
      <c r="DJ43" s="17"/>
      <c r="DK43" s="17"/>
      <c r="DL43" s="20"/>
      <c r="DM43" s="92"/>
      <c r="DN43" s="93"/>
      <c r="DO43" s="92"/>
      <c r="DP43" s="94"/>
      <c r="DQ43" s="95"/>
      <c r="DR43" s="17"/>
      <c r="DS43" s="17"/>
      <c r="DT43" s="17"/>
      <c r="DU43" s="20"/>
      <c r="DV43" s="92"/>
      <c r="DW43" s="93"/>
      <c r="DX43" s="92"/>
      <c r="DY43" s="94"/>
      <c r="DZ43" s="95"/>
      <c r="EA43" s="17"/>
      <c r="EB43" s="17"/>
      <c r="EC43" s="17"/>
      <c r="ED43" s="20"/>
      <c r="EE43" s="92"/>
      <c r="EF43" s="93"/>
      <c r="EG43" s="92"/>
      <c r="EH43" s="94"/>
      <c r="EI43" s="95"/>
      <c r="EJ43" s="17"/>
      <c r="EK43" s="17"/>
      <c r="EL43" s="17"/>
      <c r="EM43" s="20"/>
      <c r="EN43" s="92"/>
      <c r="EO43" s="93"/>
      <c r="EP43" s="92"/>
      <c r="EQ43" s="94"/>
      <c r="ER43" s="95"/>
      <c r="ES43" s="17"/>
      <c r="ET43" s="17"/>
      <c r="EU43" s="17"/>
      <c r="EV43" s="20"/>
      <c r="EW43" s="92"/>
      <c r="EX43" s="93"/>
      <c r="EY43" s="92"/>
      <c r="EZ43" s="94"/>
      <c r="FA43" s="95"/>
      <c r="FB43" s="17"/>
      <c r="FC43" s="17"/>
      <c r="FD43" s="17"/>
      <c r="FE43" s="20"/>
      <c r="FF43" s="92"/>
      <c r="FG43" s="93"/>
      <c r="FH43" s="92"/>
      <c r="FI43" s="94"/>
      <c r="FJ43" s="95"/>
      <c r="FK43" s="17"/>
      <c r="FL43" s="17"/>
      <c r="FM43" s="17"/>
      <c r="FN43" s="20"/>
      <c r="FO43" s="92"/>
      <c r="FP43" s="93"/>
      <c r="FQ43" s="92"/>
      <c r="FR43" s="94"/>
      <c r="FS43" s="95"/>
      <c r="FT43" s="17"/>
      <c r="FU43" s="17"/>
      <c r="FV43" s="17"/>
      <c r="FW43" s="20"/>
      <c r="FX43" s="92"/>
      <c r="FY43" s="93"/>
      <c r="FZ43" s="92"/>
      <c r="GA43" s="94"/>
      <c r="GB43" s="95"/>
      <c r="GC43" s="17"/>
      <c r="GD43" s="17"/>
      <c r="GE43" s="17"/>
      <c r="GF43" s="20"/>
      <c r="GG43" s="92"/>
      <c r="GH43" s="93"/>
      <c r="GI43" s="92"/>
      <c r="GJ43" s="94"/>
      <c r="GK43" s="95"/>
      <c r="GL43" s="17"/>
      <c r="GM43" s="17"/>
      <c r="GN43" s="17"/>
      <c r="GO43" s="20"/>
      <c r="GP43" s="92"/>
      <c r="GQ43" s="93"/>
      <c r="GR43" s="92"/>
      <c r="GS43" s="94"/>
      <c r="GT43" s="95"/>
      <c r="GU43" s="97"/>
      <c r="GV43" s="98"/>
      <c r="GW43" s="130"/>
      <c r="GX43" s="74"/>
      <c r="GY43" s="74"/>
      <c r="GZ43" s="167"/>
      <c r="HA43" s="86"/>
    </row>
    <row r="44" spans="1:209" x14ac:dyDescent="0.25">
      <c r="A44"/>
      <c r="D44" s="35"/>
      <c r="E44" s="36"/>
      <c r="F44" s="37"/>
      <c r="G44" s="38"/>
      <c r="H44" s="39"/>
      <c r="I44" s="40"/>
      <c r="J44" s="68"/>
      <c r="K44" s="69"/>
      <c r="L44" s="69"/>
      <c r="M44" s="70"/>
      <c r="N44" s="71"/>
      <c r="O44" s="56"/>
      <c r="P44" s="72"/>
      <c r="Q44" s="113">
        <f t="shared" si="1"/>
        <v>0</v>
      </c>
      <c r="R44" s="117"/>
      <c r="S44" s="117"/>
      <c r="T44" s="117"/>
      <c r="U44" s="39">
        <f>R44*P44</f>
        <v>0</v>
      </c>
      <c r="V44" s="138"/>
      <c r="W44" s="139"/>
      <c r="X44" s="121"/>
      <c r="Y44" s="17"/>
      <c r="Z44" s="20"/>
      <c r="AA44" s="92"/>
      <c r="AB44" s="93"/>
      <c r="AC44" s="92"/>
      <c r="AD44" s="94"/>
      <c r="AE44" s="95"/>
      <c r="AF44" s="17"/>
      <c r="AG44" s="17"/>
      <c r="AH44" s="17"/>
      <c r="AI44" s="20"/>
      <c r="AJ44" s="92"/>
      <c r="AK44" s="93"/>
      <c r="AL44" s="92"/>
      <c r="AM44" s="94"/>
      <c r="AN44" s="95"/>
      <c r="AO44" s="17"/>
      <c r="AP44" s="17"/>
      <c r="AQ44" s="17"/>
      <c r="AR44" s="20"/>
      <c r="AS44" s="92"/>
      <c r="AT44" s="93"/>
      <c r="AU44" s="92"/>
      <c r="AV44" s="94"/>
      <c r="AW44" s="95"/>
      <c r="AX44" s="17"/>
      <c r="AY44" s="17"/>
      <c r="AZ44" s="17"/>
      <c r="BA44" s="20"/>
      <c r="BB44" s="92"/>
      <c r="BC44" s="93"/>
      <c r="BD44" s="92"/>
      <c r="BE44" s="94"/>
      <c r="BF44" s="95"/>
      <c r="BG44" s="17"/>
      <c r="BH44" s="17"/>
      <c r="BI44" s="17"/>
      <c r="BJ44" s="20"/>
      <c r="BK44" s="92"/>
      <c r="BL44" s="93"/>
      <c r="BM44" s="92"/>
      <c r="BN44" s="94"/>
      <c r="BO44" s="95"/>
      <c r="BP44" s="17"/>
      <c r="BQ44" s="17"/>
      <c r="BR44" s="17"/>
      <c r="BS44" s="20"/>
      <c r="BT44" s="92"/>
      <c r="BU44" s="93"/>
      <c r="BV44" s="92"/>
      <c r="BW44" s="94"/>
      <c r="BX44" s="95"/>
      <c r="BY44" s="17"/>
      <c r="BZ44" s="17"/>
      <c r="CA44" s="17"/>
      <c r="CB44" s="20"/>
      <c r="CC44" s="92"/>
      <c r="CD44" s="93"/>
      <c r="CE44" s="92"/>
      <c r="CF44" s="94"/>
      <c r="CG44" s="95"/>
      <c r="CH44" s="17"/>
      <c r="CI44" s="17"/>
      <c r="CJ44" s="17"/>
      <c r="CK44" s="20"/>
      <c r="CL44" s="92"/>
      <c r="CM44" s="93"/>
      <c r="CN44" s="92"/>
      <c r="CO44" s="94"/>
      <c r="CP44" s="95"/>
      <c r="CQ44" s="17"/>
      <c r="CR44" s="17"/>
      <c r="CS44" s="17"/>
      <c r="CT44" s="20"/>
      <c r="CU44" s="92"/>
      <c r="CV44" s="93"/>
      <c r="CW44" s="92"/>
      <c r="CX44" s="94"/>
      <c r="CY44" s="95"/>
      <c r="CZ44" s="17"/>
      <c r="DA44" s="17"/>
      <c r="DB44" s="17"/>
      <c r="DC44" s="20"/>
      <c r="DD44" s="92"/>
      <c r="DE44" s="93"/>
      <c r="DF44" s="92"/>
      <c r="DG44" s="94"/>
      <c r="DH44" s="95"/>
      <c r="DI44" s="17"/>
      <c r="DJ44" s="17"/>
      <c r="DK44" s="17"/>
      <c r="DL44" s="20"/>
      <c r="DM44" s="92"/>
      <c r="DN44" s="93"/>
      <c r="DO44" s="92"/>
      <c r="DP44" s="94"/>
      <c r="DQ44" s="95"/>
      <c r="DR44" s="17"/>
      <c r="DS44" s="17"/>
      <c r="DT44" s="17"/>
      <c r="DU44" s="20"/>
      <c r="DV44" s="92"/>
      <c r="DW44" s="93"/>
      <c r="DX44" s="92"/>
      <c r="DY44" s="94"/>
      <c r="DZ44" s="95"/>
      <c r="EA44" s="17"/>
      <c r="EB44" s="17"/>
      <c r="EC44" s="17"/>
      <c r="ED44" s="20"/>
      <c r="EE44" s="92"/>
      <c r="EF44" s="93"/>
      <c r="EG44" s="92"/>
      <c r="EH44" s="94"/>
      <c r="EI44" s="95"/>
      <c r="EJ44" s="17"/>
      <c r="EK44" s="17"/>
      <c r="EL44" s="17"/>
      <c r="EM44" s="20"/>
      <c r="EN44" s="92"/>
      <c r="EO44" s="93"/>
      <c r="EP44" s="92"/>
      <c r="EQ44" s="94"/>
      <c r="ER44" s="95"/>
      <c r="ES44" s="17"/>
      <c r="ET44" s="17"/>
      <c r="EU44" s="17"/>
      <c r="EV44" s="20"/>
      <c r="EW44" s="92"/>
      <c r="EX44" s="93"/>
      <c r="EY44" s="92"/>
      <c r="EZ44" s="94"/>
      <c r="FA44" s="95"/>
      <c r="FB44" s="17"/>
      <c r="FC44" s="17"/>
      <c r="FD44" s="17"/>
      <c r="FE44" s="20"/>
      <c r="FF44" s="92"/>
      <c r="FG44" s="93"/>
      <c r="FH44" s="92"/>
      <c r="FI44" s="94"/>
      <c r="FJ44" s="95"/>
      <c r="FK44" s="17"/>
      <c r="FL44" s="17"/>
      <c r="FM44" s="17"/>
      <c r="FN44" s="20"/>
      <c r="FO44" s="92"/>
      <c r="FP44" s="93"/>
      <c r="FQ44" s="92"/>
      <c r="FR44" s="94"/>
      <c r="FS44" s="95"/>
      <c r="FT44" s="17"/>
      <c r="FU44" s="17"/>
      <c r="FV44" s="17"/>
      <c r="FW44" s="20"/>
      <c r="FX44" s="92"/>
      <c r="FY44" s="93"/>
      <c r="FZ44" s="92"/>
      <c r="GA44" s="94"/>
      <c r="GB44" s="95"/>
      <c r="GC44" s="17"/>
      <c r="GD44" s="17"/>
      <c r="GE44" s="17"/>
      <c r="GF44" s="20"/>
      <c r="GG44" s="92"/>
      <c r="GH44" s="93"/>
      <c r="GI44" s="92"/>
      <c r="GJ44" s="94"/>
      <c r="GK44" s="95"/>
      <c r="GL44" s="17"/>
      <c r="GM44" s="17"/>
      <c r="GN44" s="17"/>
      <c r="GO44" s="20"/>
      <c r="GP44" s="92"/>
      <c r="GQ44" s="93"/>
      <c r="GR44" s="92"/>
      <c r="GS44" s="94"/>
      <c r="GT44" s="95"/>
      <c r="GU44" s="97"/>
      <c r="GV44" s="98"/>
      <c r="GW44" s="130"/>
      <c r="GX44" s="74"/>
      <c r="GY44" s="74"/>
      <c r="GZ44" s="167"/>
      <c r="HA44" s="86"/>
    </row>
    <row r="45" spans="1:209" x14ac:dyDescent="0.25">
      <c r="A45"/>
      <c r="D45" s="35"/>
      <c r="E45" s="36"/>
      <c r="F45" s="37"/>
      <c r="G45" s="38"/>
      <c r="H45" s="39"/>
      <c r="I45" s="40"/>
      <c r="J45" s="68"/>
      <c r="K45" s="69"/>
      <c r="L45" s="69"/>
      <c r="M45" s="70"/>
      <c r="N45" s="71"/>
      <c r="O45" s="56"/>
      <c r="P45" s="72"/>
      <c r="Q45" s="113">
        <f t="shared" si="1"/>
        <v>0</v>
      </c>
      <c r="R45" s="117"/>
      <c r="S45" s="117"/>
      <c r="T45" s="140"/>
      <c r="U45" s="39">
        <f t="shared" si="0"/>
        <v>0</v>
      </c>
      <c r="V45" s="138"/>
      <c r="W45" s="112"/>
      <c r="X45" s="121"/>
      <c r="Y45" s="17"/>
      <c r="Z45" s="20"/>
      <c r="AA45" s="92"/>
      <c r="AB45" s="93"/>
      <c r="AC45" s="92"/>
      <c r="AD45" s="94"/>
      <c r="AE45" s="95"/>
      <c r="AF45" s="17"/>
      <c r="AG45" s="17"/>
      <c r="AH45" s="17"/>
      <c r="AI45" s="20"/>
      <c r="AJ45" s="92"/>
      <c r="AK45" s="93"/>
      <c r="AL45" s="92"/>
      <c r="AM45" s="94"/>
      <c r="AN45" s="95"/>
      <c r="AO45" s="17"/>
      <c r="AP45" s="17"/>
      <c r="AQ45" s="17"/>
      <c r="AR45" s="20"/>
      <c r="AS45" s="92"/>
      <c r="AT45" s="93"/>
      <c r="AU45" s="92"/>
      <c r="AV45" s="94"/>
      <c r="AW45" s="95"/>
      <c r="AX45" s="17"/>
      <c r="AY45" s="17"/>
      <c r="AZ45" s="17"/>
      <c r="BA45" s="20"/>
      <c r="BB45" s="92"/>
      <c r="BC45" s="93"/>
      <c r="BD45" s="92"/>
      <c r="BE45" s="94"/>
      <c r="BF45" s="95"/>
      <c r="BG45" s="17"/>
      <c r="BH45" s="17"/>
      <c r="BI45" s="17"/>
      <c r="BJ45" s="20"/>
      <c r="BK45" s="92"/>
      <c r="BL45" s="93"/>
      <c r="BM45" s="92"/>
      <c r="BN45" s="94"/>
      <c r="BO45" s="95"/>
      <c r="BP45" s="17"/>
      <c r="BQ45" s="17"/>
      <c r="BR45" s="17"/>
      <c r="BS45" s="20"/>
      <c r="BT45" s="92"/>
      <c r="BU45" s="93"/>
      <c r="BV45" s="92"/>
      <c r="BW45" s="94"/>
      <c r="BX45" s="95"/>
      <c r="BY45" s="17"/>
      <c r="BZ45" s="17"/>
      <c r="CA45" s="17"/>
      <c r="CB45" s="20"/>
      <c r="CC45" s="92"/>
      <c r="CD45" s="93"/>
      <c r="CE45" s="92"/>
      <c r="CF45" s="94"/>
      <c r="CG45" s="95"/>
      <c r="CH45" s="17"/>
      <c r="CI45" s="17"/>
      <c r="CJ45" s="17"/>
      <c r="CK45" s="20"/>
      <c r="CL45" s="92"/>
      <c r="CM45" s="93"/>
      <c r="CN45" s="92"/>
      <c r="CO45" s="94"/>
      <c r="CP45" s="95"/>
      <c r="CQ45" s="17"/>
      <c r="CR45" s="17"/>
      <c r="CS45" s="17"/>
      <c r="CT45" s="20"/>
      <c r="CU45" s="92"/>
      <c r="CV45" s="93"/>
      <c r="CW45" s="92"/>
      <c r="CX45" s="94"/>
      <c r="CY45" s="95"/>
      <c r="CZ45" s="17"/>
      <c r="DA45" s="17"/>
      <c r="DB45" s="17"/>
      <c r="DC45" s="20"/>
      <c r="DD45" s="92"/>
      <c r="DE45" s="93"/>
      <c r="DF45" s="92"/>
      <c r="DG45" s="94"/>
      <c r="DH45" s="95"/>
      <c r="DI45" s="17"/>
      <c r="DJ45" s="17"/>
      <c r="DK45" s="17"/>
      <c r="DL45" s="20"/>
      <c r="DM45" s="92"/>
      <c r="DN45" s="93"/>
      <c r="DO45" s="92"/>
      <c r="DP45" s="94"/>
      <c r="DQ45" s="95"/>
      <c r="DR45" s="17"/>
      <c r="DS45" s="17"/>
      <c r="DT45" s="17"/>
      <c r="DU45" s="20"/>
      <c r="DV45" s="92"/>
      <c r="DW45" s="93"/>
      <c r="DX45" s="92"/>
      <c r="DY45" s="94"/>
      <c r="DZ45" s="95"/>
      <c r="EA45" s="17"/>
      <c r="EB45" s="17"/>
      <c r="EC45" s="17"/>
      <c r="ED45" s="20"/>
      <c r="EE45" s="92"/>
      <c r="EF45" s="93"/>
      <c r="EG45" s="92"/>
      <c r="EH45" s="94"/>
      <c r="EI45" s="95"/>
      <c r="EJ45" s="17"/>
      <c r="EK45" s="17"/>
      <c r="EL45" s="17"/>
      <c r="EM45" s="20"/>
      <c r="EN45" s="92"/>
      <c r="EO45" s="93"/>
      <c r="EP45" s="92"/>
      <c r="EQ45" s="94"/>
      <c r="ER45" s="95"/>
      <c r="ES45" s="17"/>
      <c r="ET45" s="17"/>
      <c r="EU45" s="17"/>
      <c r="EV45" s="20"/>
      <c r="EW45" s="92"/>
      <c r="EX45" s="93"/>
      <c r="EY45" s="92"/>
      <c r="EZ45" s="94"/>
      <c r="FA45" s="95"/>
      <c r="FB45" s="17"/>
      <c r="FC45" s="17"/>
      <c r="FD45" s="17"/>
      <c r="FE45" s="20"/>
      <c r="FF45" s="92"/>
      <c r="FG45" s="93"/>
      <c r="FH45" s="92"/>
      <c r="FI45" s="94"/>
      <c r="FJ45" s="95"/>
      <c r="FK45" s="17"/>
      <c r="FL45" s="17"/>
      <c r="FM45" s="17"/>
      <c r="FN45" s="20"/>
      <c r="FO45" s="92"/>
      <c r="FP45" s="93"/>
      <c r="FQ45" s="92"/>
      <c r="FR45" s="94"/>
      <c r="FS45" s="95"/>
      <c r="FT45" s="17"/>
      <c r="FU45" s="17"/>
      <c r="FV45" s="17"/>
      <c r="FW45" s="20"/>
      <c r="FX45" s="92"/>
      <c r="FY45" s="93"/>
      <c r="FZ45" s="92"/>
      <c r="GA45" s="94"/>
      <c r="GB45" s="95"/>
      <c r="GC45" s="17"/>
      <c r="GD45" s="17"/>
      <c r="GE45" s="17"/>
      <c r="GF45" s="20"/>
      <c r="GG45" s="92"/>
      <c r="GH45" s="93"/>
      <c r="GI45" s="92"/>
      <c r="GJ45" s="94"/>
      <c r="GK45" s="95"/>
      <c r="GL45" s="17"/>
      <c r="GM45" s="17"/>
      <c r="GN45" s="17"/>
      <c r="GO45" s="20"/>
      <c r="GP45" s="92"/>
      <c r="GQ45" s="93"/>
      <c r="GR45" s="92"/>
      <c r="GS45" s="94"/>
      <c r="GT45" s="95"/>
      <c r="GU45" s="97"/>
      <c r="GV45" s="98"/>
      <c r="GW45" s="130"/>
      <c r="GX45" s="74"/>
      <c r="GY45" s="74"/>
      <c r="GZ45" s="167"/>
      <c r="HA45" s="86"/>
    </row>
    <row r="46" spans="1:209" x14ac:dyDescent="0.25">
      <c r="A46"/>
      <c r="D46" s="35"/>
      <c r="E46" s="36"/>
      <c r="F46" s="37"/>
      <c r="G46" s="38"/>
      <c r="H46" s="39"/>
      <c r="I46" s="40"/>
      <c r="J46" s="68"/>
      <c r="K46" s="69"/>
      <c r="L46" s="69"/>
      <c r="M46" s="70"/>
      <c r="N46" s="71"/>
      <c r="O46" s="56"/>
      <c r="P46" s="72"/>
      <c r="Q46" s="113">
        <f t="shared" si="1"/>
        <v>0</v>
      </c>
      <c r="R46" s="117"/>
      <c r="S46" s="117"/>
      <c r="T46" s="117"/>
      <c r="U46" s="39">
        <f t="shared" si="0"/>
        <v>0</v>
      </c>
      <c r="V46" s="138"/>
      <c r="W46" s="112"/>
      <c r="X46" s="121"/>
      <c r="Y46" s="17"/>
      <c r="Z46" s="20"/>
      <c r="AA46" s="92"/>
      <c r="AB46" s="93"/>
      <c r="AC46" s="92"/>
      <c r="AD46" s="94"/>
      <c r="AE46" s="95"/>
      <c r="AF46" s="17"/>
      <c r="AG46" s="17"/>
      <c r="AH46" s="17"/>
      <c r="AI46" s="20"/>
      <c r="AJ46" s="92"/>
      <c r="AK46" s="93"/>
      <c r="AL46" s="92"/>
      <c r="AM46" s="94"/>
      <c r="AN46" s="95"/>
      <c r="AO46" s="17"/>
      <c r="AP46" s="17"/>
      <c r="AQ46" s="17"/>
      <c r="AR46" s="20"/>
      <c r="AS46" s="92"/>
      <c r="AT46" s="93"/>
      <c r="AU46" s="92"/>
      <c r="AV46" s="94"/>
      <c r="AW46" s="95"/>
      <c r="AX46" s="17"/>
      <c r="AY46" s="17"/>
      <c r="AZ46" s="17"/>
      <c r="BA46" s="20"/>
      <c r="BB46" s="92"/>
      <c r="BC46" s="93"/>
      <c r="BD46" s="92"/>
      <c r="BE46" s="94"/>
      <c r="BF46" s="95"/>
      <c r="BG46" s="17"/>
      <c r="BH46" s="17"/>
      <c r="BI46" s="17"/>
      <c r="BJ46" s="20"/>
      <c r="BK46" s="92"/>
      <c r="BL46" s="93"/>
      <c r="BM46" s="92"/>
      <c r="BN46" s="94"/>
      <c r="BO46" s="95"/>
      <c r="BP46" s="17"/>
      <c r="BQ46" s="17"/>
      <c r="BR46" s="17"/>
      <c r="BS46" s="20"/>
      <c r="BT46" s="92"/>
      <c r="BU46" s="93"/>
      <c r="BV46" s="92"/>
      <c r="BW46" s="94"/>
      <c r="BX46" s="95"/>
      <c r="BY46" s="17"/>
      <c r="BZ46" s="17"/>
      <c r="CA46" s="17"/>
      <c r="CB46" s="20"/>
      <c r="CC46" s="92"/>
      <c r="CD46" s="93"/>
      <c r="CE46" s="92"/>
      <c r="CF46" s="94"/>
      <c r="CG46" s="95"/>
      <c r="CH46" s="17"/>
      <c r="CI46" s="17"/>
      <c r="CJ46" s="17"/>
      <c r="CK46" s="20"/>
      <c r="CL46" s="92"/>
      <c r="CM46" s="93"/>
      <c r="CN46" s="92"/>
      <c r="CO46" s="94"/>
      <c r="CP46" s="95"/>
      <c r="CQ46" s="17"/>
      <c r="CR46" s="17"/>
      <c r="CS46" s="17"/>
      <c r="CT46" s="20"/>
      <c r="CU46" s="92"/>
      <c r="CV46" s="93"/>
      <c r="CW46" s="92"/>
      <c r="CX46" s="94"/>
      <c r="CY46" s="95"/>
      <c r="CZ46" s="17"/>
      <c r="DA46" s="17"/>
      <c r="DB46" s="17"/>
      <c r="DC46" s="20"/>
      <c r="DD46" s="92"/>
      <c r="DE46" s="93"/>
      <c r="DF46" s="92"/>
      <c r="DG46" s="94"/>
      <c r="DH46" s="95"/>
      <c r="DI46" s="17"/>
      <c r="DJ46" s="17"/>
      <c r="DK46" s="17"/>
      <c r="DL46" s="20"/>
      <c r="DM46" s="92"/>
      <c r="DN46" s="93"/>
      <c r="DO46" s="92"/>
      <c r="DP46" s="94"/>
      <c r="DQ46" s="95"/>
      <c r="DR46" s="17"/>
      <c r="DS46" s="17"/>
      <c r="DT46" s="17"/>
      <c r="DU46" s="20"/>
      <c r="DV46" s="92"/>
      <c r="DW46" s="93"/>
      <c r="DX46" s="92"/>
      <c r="DY46" s="94"/>
      <c r="DZ46" s="95"/>
      <c r="EA46" s="17"/>
      <c r="EB46" s="17"/>
      <c r="EC46" s="17"/>
      <c r="ED46" s="20"/>
      <c r="EE46" s="92"/>
      <c r="EF46" s="93"/>
      <c r="EG46" s="92"/>
      <c r="EH46" s="94"/>
      <c r="EI46" s="95"/>
      <c r="EJ46" s="17"/>
      <c r="EK46" s="17"/>
      <c r="EL46" s="17"/>
      <c r="EM46" s="20"/>
      <c r="EN46" s="92"/>
      <c r="EO46" s="93"/>
      <c r="EP46" s="92"/>
      <c r="EQ46" s="94"/>
      <c r="ER46" s="95"/>
      <c r="ES46" s="17"/>
      <c r="ET46" s="17"/>
      <c r="EU46" s="17"/>
      <c r="EV46" s="20"/>
      <c r="EW46" s="92"/>
      <c r="EX46" s="93"/>
      <c r="EY46" s="92"/>
      <c r="EZ46" s="94"/>
      <c r="FA46" s="95"/>
      <c r="FB46" s="17"/>
      <c r="FC46" s="17"/>
      <c r="FD46" s="17"/>
      <c r="FE46" s="20"/>
      <c r="FF46" s="92"/>
      <c r="FG46" s="93"/>
      <c r="FH46" s="92"/>
      <c r="FI46" s="94"/>
      <c r="FJ46" s="95"/>
      <c r="FK46" s="17"/>
      <c r="FL46" s="17"/>
      <c r="FM46" s="17"/>
      <c r="FN46" s="20"/>
      <c r="FO46" s="92"/>
      <c r="FP46" s="93"/>
      <c r="FQ46" s="92"/>
      <c r="FR46" s="94"/>
      <c r="FS46" s="95"/>
      <c r="FT46" s="17"/>
      <c r="FU46" s="17"/>
      <c r="FV46" s="17"/>
      <c r="FW46" s="20"/>
      <c r="FX46" s="92"/>
      <c r="FY46" s="93"/>
      <c r="FZ46" s="92"/>
      <c r="GA46" s="94"/>
      <c r="GB46" s="95"/>
      <c r="GC46" s="17"/>
      <c r="GD46" s="17"/>
      <c r="GE46" s="17"/>
      <c r="GF46" s="20"/>
      <c r="GG46" s="92"/>
      <c r="GH46" s="93"/>
      <c r="GI46" s="92"/>
      <c r="GJ46" s="94"/>
      <c r="GK46" s="95"/>
      <c r="GL46" s="17"/>
      <c r="GM46" s="17"/>
      <c r="GN46" s="17"/>
      <c r="GO46" s="20"/>
      <c r="GP46" s="92"/>
      <c r="GQ46" s="93"/>
      <c r="GR46" s="92"/>
      <c r="GS46" s="94"/>
      <c r="GT46" s="95"/>
      <c r="GU46" s="97"/>
      <c r="GV46" s="98"/>
      <c r="GW46" s="130"/>
      <c r="GX46" s="141"/>
      <c r="GY46" s="141"/>
      <c r="GZ46" s="167"/>
      <c r="HA46" s="86"/>
    </row>
    <row r="47" spans="1:209" x14ac:dyDescent="0.25">
      <c r="A47"/>
      <c r="D47" s="35"/>
      <c r="E47" s="36"/>
      <c r="F47" s="37"/>
      <c r="G47" s="38"/>
      <c r="H47" s="39"/>
      <c r="I47" s="40"/>
      <c r="J47" s="68"/>
      <c r="K47" s="69"/>
      <c r="L47" s="69"/>
      <c r="M47" s="70"/>
      <c r="N47" s="71"/>
      <c r="O47" s="56"/>
      <c r="P47" s="72"/>
      <c r="Q47" s="113">
        <f t="shared" si="1"/>
        <v>0</v>
      </c>
      <c r="R47" s="117"/>
      <c r="S47" s="117"/>
      <c r="T47" s="117"/>
      <c r="U47" s="39">
        <f t="shared" si="0"/>
        <v>0</v>
      </c>
      <c r="V47" s="138"/>
      <c r="W47" s="112"/>
      <c r="X47" s="121"/>
      <c r="Y47" s="17"/>
      <c r="Z47" s="20"/>
      <c r="AA47" s="92"/>
      <c r="AB47" s="93"/>
      <c r="AC47" s="92"/>
      <c r="AD47" s="94"/>
      <c r="AE47" s="95"/>
      <c r="AF47" s="17"/>
      <c r="AG47" s="17"/>
      <c r="AH47" s="17"/>
      <c r="AI47" s="20"/>
      <c r="AJ47" s="92"/>
      <c r="AK47" s="93"/>
      <c r="AL47" s="92"/>
      <c r="AM47" s="94"/>
      <c r="AN47" s="95"/>
      <c r="AO47" s="17"/>
      <c r="AP47" s="17"/>
      <c r="AQ47" s="17"/>
      <c r="AR47" s="20"/>
      <c r="AS47" s="92"/>
      <c r="AT47" s="93"/>
      <c r="AU47" s="92"/>
      <c r="AV47" s="94"/>
      <c r="AW47" s="95"/>
      <c r="AX47" s="17"/>
      <c r="AY47" s="17"/>
      <c r="AZ47" s="17"/>
      <c r="BA47" s="20"/>
      <c r="BB47" s="92"/>
      <c r="BC47" s="93"/>
      <c r="BD47" s="92"/>
      <c r="BE47" s="94"/>
      <c r="BF47" s="95"/>
      <c r="BG47" s="17"/>
      <c r="BH47" s="17"/>
      <c r="BI47" s="17"/>
      <c r="BJ47" s="20"/>
      <c r="BK47" s="92"/>
      <c r="BL47" s="93"/>
      <c r="BM47" s="92"/>
      <c r="BN47" s="94"/>
      <c r="BO47" s="95"/>
      <c r="BP47" s="17"/>
      <c r="BQ47" s="17"/>
      <c r="BR47" s="17"/>
      <c r="BS47" s="20"/>
      <c r="BT47" s="92"/>
      <c r="BU47" s="93"/>
      <c r="BV47" s="92"/>
      <c r="BW47" s="94"/>
      <c r="BX47" s="95"/>
      <c r="BY47" s="17"/>
      <c r="BZ47" s="17"/>
      <c r="CA47" s="17"/>
      <c r="CB47" s="20"/>
      <c r="CC47" s="92"/>
      <c r="CD47" s="93"/>
      <c r="CE47" s="92"/>
      <c r="CF47" s="94"/>
      <c r="CG47" s="95"/>
      <c r="CH47" s="17"/>
      <c r="CI47" s="17"/>
      <c r="CJ47" s="17"/>
      <c r="CK47" s="20"/>
      <c r="CL47" s="92"/>
      <c r="CM47" s="93"/>
      <c r="CN47" s="92"/>
      <c r="CO47" s="94"/>
      <c r="CP47" s="95"/>
      <c r="CQ47" s="17"/>
      <c r="CR47" s="17"/>
      <c r="CS47" s="17"/>
      <c r="CT47" s="20"/>
      <c r="CU47" s="92"/>
      <c r="CV47" s="93"/>
      <c r="CW47" s="92"/>
      <c r="CX47" s="94"/>
      <c r="CY47" s="95"/>
      <c r="CZ47" s="17"/>
      <c r="DA47" s="17"/>
      <c r="DB47" s="17"/>
      <c r="DC47" s="20"/>
      <c r="DD47" s="92"/>
      <c r="DE47" s="93"/>
      <c r="DF47" s="92"/>
      <c r="DG47" s="94"/>
      <c r="DH47" s="95"/>
      <c r="DI47" s="17"/>
      <c r="DJ47" s="17"/>
      <c r="DK47" s="17"/>
      <c r="DL47" s="20"/>
      <c r="DM47" s="92"/>
      <c r="DN47" s="93"/>
      <c r="DO47" s="92"/>
      <c r="DP47" s="94"/>
      <c r="DQ47" s="95"/>
      <c r="DR47" s="17"/>
      <c r="DS47" s="17"/>
      <c r="DT47" s="17"/>
      <c r="DU47" s="20"/>
      <c r="DV47" s="92"/>
      <c r="DW47" s="93"/>
      <c r="DX47" s="92"/>
      <c r="DY47" s="94"/>
      <c r="DZ47" s="95"/>
      <c r="EA47" s="17"/>
      <c r="EB47" s="17"/>
      <c r="EC47" s="17"/>
      <c r="ED47" s="20"/>
      <c r="EE47" s="92"/>
      <c r="EF47" s="93"/>
      <c r="EG47" s="92"/>
      <c r="EH47" s="94"/>
      <c r="EI47" s="95"/>
      <c r="EJ47" s="17"/>
      <c r="EK47" s="17"/>
      <c r="EL47" s="17"/>
      <c r="EM47" s="20"/>
      <c r="EN47" s="92"/>
      <c r="EO47" s="93"/>
      <c r="EP47" s="92"/>
      <c r="EQ47" s="94"/>
      <c r="ER47" s="95"/>
      <c r="ES47" s="17"/>
      <c r="ET47" s="17"/>
      <c r="EU47" s="17"/>
      <c r="EV47" s="20"/>
      <c r="EW47" s="92"/>
      <c r="EX47" s="93"/>
      <c r="EY47" s="92"/>
      <c r="EZ47" s="94"/>
      <c r="FA47" s="95"/>
      <c r="FB47" s="17"/>
      <c r="FC47" s="17"/>
      <c r="FD47" s="17"/>
      <c r="FE47" s="20"/>
      <c r="FF47" s="92"/>
      <c r="FG47" s="93"/>
      <c r="FH47" s="92"/>
      <c r="FI47" s="94"/>
      <c r="FJ47" s="95"/>
      <c r="FK47" s="17"/>
      <c r="FL47" s="17"/>
      <c r="FM47" s="17"/>
      <c r="FN47" s="20"/>
      <c r="FO47" s="92"/>
      <c r="FP47" s="93"/>
      <c r="FQ47" s="92"/>
      <c r="FR47" s="94"/>
      <c r="FS47" s="95"/>
      <c r="FT47" s="17"/>
      <c r="FU47" s="17"/>
      <c r="FV47" s="17"/>
      <c r="FW47" s="20"/>
      <c r="FX47" s="92"/>
      <c r="FY47" s="93"/>
      <c r="FZ47" s="92"/>
      <c r="GA47" s="94"/>
      <c r="GB47" s="95"/>
      <c r="GC47" s="17"/>
      <c r="GD47" s="17"/>
      <c r="GE47" s="17"/>
      <c r="GF47" s="20"/>
      <c r="GG47" s="92"/>
      <c r="GH47" s="93"/>
      <c r="GI47" s="92"/>
      <c r="GJ47" s="94"/>
      <c r="GK47" s="95"/>
      <c r="GL47" s="17"/>
      <c r="GM47" s="17"/>
      <c r="GN47" s="17"/>
      <c r="GO47" s="20"/>
      <c r="GP47" s="92"/>
      <c r="GQ47" s="93"/>
      <c r="GR47" s="92"/>
      <c r="GS47" s="94"/>
      <c r="GT47" s="95"/>
      <c r="GU47" s="97"/>
      <c r="GV47" s="98"/>
      <c r="GW47" s="130"/>
      <c r="GX47" s="141"/>
      <c r="GY47" s="141"/>
      <c r="GZ47" s="167"/>
      <c r="HA47" s="86"/>
    </row>
    <row r="48" spans="1:209" x14ac:dyDescent="0.25">
      <c r="A48"/>
      <c r="D48" s="35"/>
      <c r="E48" s="36"/>
      <c r="F48" s="37"/>
      <c r="G48" s="38"/>
      <c r="H48" s="39"/>
      <c r="I48" s="40"/>
      <c r="J48" s="76"/>
      <c r="K48" s="69"/>
      <c r="L48" s="69"/>
      <c r="M48" s="70"/>
      <c r="N48" s="71"/>
      <c r="O48" s="142"/>
      <c r="P48" s="72"/>
      <c r="Q48" s="113">
        <f t="shared" si="1"/>
        <v>0</v>
      </c>
      <c r="R48" s="117"/>
      <c r="S48" s="117"/>
      <c r="T48" s="117"/>
      <c r="U48" s="39">
        <f t="shared" si="0"/>
        <v>0</v>
      </c>
      <c r="V48" s="143"/>
      <c r="W48" s="144"/>
      <c r="X48" s="145"/>
      <c r="Y48" s="146"/>
      <c r="Z48" s="147"/>
      <c r="AA48" s="148"/>
      <c r="AB48" s="149"/>
      <c r="AC48" s="148"/>
      <c r="AD48" s="150"/>
      <c r="AE48" s="151"/>
      <c r="AF48" s="146"/>
      <c r="AG48" s="146"/>
      <c r="AH48" s="146"/>
      <c r="AI48" s="147"/>
      <c r="AJ48" s="148"/>
      <c r="AK48" s="149"/>
      <c r="AL48" s="148"/>
      <c r="AM48" s="150"/>
      <c r="AN48" s="151"/>
      <c r="AO48" s="146"/>
      <c r="AP48" s="146"/>
      <c r="AQ48" s="146"/>
      <c r="AR48" s="147"/>
      <c r="AS48" s="148"/>
      <c r="AT48" s="149"/>
      <c r="AU48" s="148"/>
      <c r="AV48" s="150"/>
      <c r="AW48" s="151"/>
      <c r="AX48" s="146"/>
      <c r="AY48" s="146"/>
      <c r="AZ48" s="146"/>
      <c r="BA48" s="147"/>
      <c r="BB48" s="148"/>
      <c r="BC48" s="149"/>
      <c r="BD48" s="148"/>
      <c r="BE48" s="150"/>
      <c r="BF48" s="151"/>
      <c r="BG48" s="146"/>
      <c r="BH48" s="146"/>
      <c r="BI48" s="146"/>
      <c r="BJ48" s="147"/>
      <c r="BK48" s="148"/>
      <c r="BL48" s="149"/>
      <c r="BM48" s="148"/>
      <c r="BN48" s="150"/>
      <c r="BO48" s="151"/>
      <c r="BP48" s="146"/>
      <c r="BQ48" s="146"/>
      <c r="BR48" s="146"/>
      <c r="BS48" s="147"/>
      <c r="BT48" s="148"/>
      <c r="BU48" s="149"/>
      <c r="BV48" s="148"/>
      <c r="BW48" s="150"/>
      <c r="BX48" s="151"/>
      <c r="BY48" s="146"/>
      <c r="BZ48" s="146"/>
      <c r="CA48" s="146"/>
      <c r="CB48" s="147"/>
      <c r="CC48" s="148"/>
      <c r="CD48" s="149"/>
      <c r="CE48" s="148"/>
      <c r="CF48" s="150"/>
      <c r="CG48" s="151"/>
      <c r="CH48" s="146"/>
      <c r="CI48" s="146"/>
      <c r="CJ48" s="146"/>
      <c r="CK48" s="147"/>
      <c r="CL48" s="148"/>
      <c r="CM48" s="149"/>
      <c r="CN48" s="148"/>
      <c r="CO48" s="150"/>
      <c r="CP48" s="151"/>
      <c r="CQ48" s="146"/>
      <c r="CR48" s="146"/>
      <c r="CS48" s="146"/>
      <c r="CT48" s="147"/>
      <c r="CU48" s="148"/>
      <c r="CV48" s="149"/>
      <c r="CW48" s="148"/>
      <c r="CX48" s="150"/>
      <c r="CY48" s="151"/>
      <c r="CZ48" s="146"/>
      <c r="DA48" s="146"/>
      <c r="DB48" s="146"/>
      <c r="DC48" s="147"/>
      <c r="DD48" s="148"/>
      <c r="DE48" s="149"/>
      <c r="DF48" s="148"/>
      <c r="DG48" s="150"/>
      <c r="DH48" s="151"/>
      <c r="DI48" s="146"/>
      <c r="DJ48" s="146"/>
      <c r="DK48" s="146"/>
      <c r="DL48" s="147"/>
      <c r="DM48" s="148"/>
      <c r="DN48" s="149"/>
      <c r="DO48" s="148"/>
      <c r="DP48" s="150"/>
      <c r="DQ48" s="151"/>
      <c r="DR48" s="146"/>
      <c r="DS48" s="146"/>
      <c r="DT48" s="146"/>
      <c r="DU48" s="147"/>
      <c r="DV48" s="148"/>
      <c r="DW48" s="149"/>
      <c r="DX48" s="148"/>
      <c r="DY48" s="150"/>
      <c r="DZ48" s="151"/>
      <c r="EA48" s="146"/>
      <c r="EB48" s="146"/>
      <c r="EC48" s="146"/>
      <c r="ED48" s="147"/>
      <c r="EE48" s="148"/>
      <c r="EF48" s="149"/>
      <c r="EG48" s="148"/>
      <c r="EH48" s="150"/>
      <c r="EI48" s="151"/>
      <c r="EJ48" s="146"/>
      <c r="EK48" s="146"/>
      <c r="EL48" s="146"/>
      <c r="EM48" s="147"/>
      <c r="EN48" s="148"/>
      <c r="EO48" s="149"/>
      <c r="EP48" s="148"/>
      <c r="EQ48" s="150"/>
      <c r="ER48" s="151"/>
      <c r="ES48" s="146"/>
      <c r="ET48" s="146"/>
      <c r="EU48" s="146"/>
      <c r="EV48" s="147"/>
      <c r="EW48" s="148"/>
      <c r="EX48" s="149"/>
      <c r="EY48" s="148"/>
      <c r="EZ48" s="150"/>
      <c r="FA48" s="151"/>
      <c r="FB48" s="146"/>
      <c r="FC48" s="146"/>
      <c r="FD48" s="146"/>
      <c r="FE48" s="147"/>
      <c r="FF48" s="148"/>
      <c r="FG48" s="149"/>
      <c r="FH48" s="148"/>
      <c r="FI48" s="150"/>
      <c r="FJ48" s="151"/>
      <c r="FK48" s="146"/>
      <c r="FL48" s="146"/>
      <c r="FM48" s="146"/>
      <c r="FN48" s="147"/>
      <c r="FO48" s="148"/>
      <c r="FP48" s="149"/>
      <c r="FQ48" s="148"/>
      <c r="FR48" s="150"/>
      <c r="FS48" s="151"/>
      <c r="FT48" s="146"/>
      <c r="FU48" s="146"/>
      <c r="FV48" s="146"/>
      <c r="FW48" s="147"/>
      <c r="FX48" s="148"/>
      <c r="FY48" s="149"/>
      <c r="FZ48" s="148"/>
      <c r="GA48" s="150"/>
      <c r="GB48" s="151"/>
      <c r="GC48" s="146"/>
      <c r="GD48" s="146"/>
      <c r="GE48" s="146"/>
      <c r="GF48" s="147"/>
      <c r="GG48" s="148"/>
      <c r="GH48" s="149"/>
      <c r="GI48" s="148"/>
      <c r="GJ48" s="150"/>
      <c r="GK48" s="151"/>
      <c r="GL48" s="146"/>
      <c r="GM48" s="146"/>
      <c r="GN48" s="146"/>
      <c r="GO48" s="147"/>
      <c r="GP48" s="148"/>
      <c r="GQ48" s="149"/>
      <c r="GR48" s="148"/>
      <c r="GS48" s="150"/>
      <c r="GT48" s="151"/>
      <c r="GU48" s="152"/>
      <c r="GV48" s="131"/>
      <c r="GW48" s="153"/>
      <c r="GX48" s="141"/>
      <c r="GY48" s="141"/>
      <c r="GZ48" s="167"/>
      <c r="HA48" s="86"/>
    </row>
    <row r="49" spans="1:209" x14ac:dyDescent="0.25">
      <c r="A49"/>
      <c r="D49" s="35"/>
      <c r="E49" s="36"/>
      <c r="F49" s="37"/>
      <c r="G49" s="38"/>
      <c r="H49" s="39"/>
      <c r="I49" s="40"/>
      <c r="J49" s="68"/>
      <c r="K49" s="69"/>
      <c r="L49" s="69"/>
      <c r="M49" s="70"/>
      <c r="N49" s="71"/>
      <c r="O49" s="142"/>
      <c r="P49" s="72"/>
      <c r="Q49" s="113">
        <f t="shared" si="1"/>
        <v>0</v>
      </c>
      <c r="R49" s="117"/>
      <c r="S49" s="117"/>
      <c r="T49" s="117"/>
      <c r="U49" s="39">
        <f t="shared" si="0"/>
        <v>0</v>
      </c>
      <c r="V49" s="143"/>
      <c r="W49" s="154"/>
      <c r="X49" s="155"/>
      <c r="Y49" s="146"/>
      <c r="Z49" s="147"/>
      <c r="AA49" s="148"/>
      <c r="AB49" s="149"/>
      <c r="AC49" s="148"/>
      <c r="AD49" s="150"/>
      <c r="AE49" s="151"/>
      <c r="AF49" s="146"/>
      <c r="AG49" s="146"/>
      <c r="AH49" s="146"/>
      <c r="AI49" s="147"/>
      <c r="AJ49" s="148"/>
      <c r="AK49" s="149"/>
      <c r="AL49" s="148"/>
      <c r="AM49" s="150"/>
      <c r="AN49" s="151"/>
      <c r="AO49" s="146"/>
      <c r="AP49" s="146"/>
      <c r="AQ49" s="146"/>
      <c r="AR49" s="147"/>
      <c r="AS49" s="148"/>
      <c r="AT49" s="149"/>
      <c r="AU49" s="148"/>
      <c r="AV49" s="150"/>
      <c r="AW49" s="151"/>
      <c r="AX49" s="146"/>
      <c r="AY49" s="146"/>
      <c r="AZ49" s="146"/>
      <c r="BA49" s="147"/>
      <c r="BB49" s="148"/>
      <c r="BC49" s="149"/>
      <c r="BD49" s="148"/>
      <c r="BE49" s="150"/>
      <c r="BF49" s="151"/>
      <c r="BG49" s="146"/>
      <c r="BH49" s="146"/>
      <c r="BI49" s="146"/>
      <c r="BJ49" s="147"/>
      <c r="BK49" s="148"/>
      <c r="BL49" s="149"/>
      <c r="BM49" s="148"/>
      <c r="BN49" s="150"/>
      <c r="BO49" s="151"/>
      <c r="BP49" s="146"/>
      <c r="BQ49" s="146"/>
      <c r="BR49" s="146"/>
      <c r="BS49" s="147"/>
      <c r="BT49" s="148"/>
      <c r="BU49" s="149"/>
      <c r="BV49" s="148"/>
      <c r="BW49" s="150"/>
      <c r="BX49" s="151"/>
      <c r="BY49" s="146"/>
      <c r="BZ49" s="146"/>
      <c r="CA49" s="146"/>
      <c r="CB49" s="147"/>
      <c r="CC49" s="148"/>
      <c r="CD49" s="149"/>
      <c r="CE49" s="148"/>
      <c r="CF49" s="150"/>
      <c r="CG49" s="151"/>
      <c r="CH49" s="146"/>
      <c r="CI49" s="146"/>
      <c r="CJ49" s="146"/>
      <c r="CK49" s="147"/>
      <c r="CL49" s="148"/>
      <c r="CM49" s="149"/>
      <c r="CN49" s="148"/>
      <c r="CO49" s="150"/>
      <c r="CP49" s="151"/>
      <c r="CQ49" s="146"/>
      <c r="CR49" s="146"/>
      <c r="CS49" s="146"/>
      <c r="CT49" s="147"/>
      <c r="CU49" s="148"/>
      <c r="CV49" s="149"/>
      <c r="CW49" s="148"/>
      <c r="CX49" s="150"/>
      <c r="CY49" s="151"/>
      <c r="CZ49" s="146"/>
      <c r="DA49" s="146"/>
      <c r="DB49" s="146"/>
      <c r="DC49" s="147"/>
      <c r="DD49" s="148"/>
      <c r="DE49" s="149"/>
      <c r="DF49" s="148"/>
      <c r="DG49" s="150"/>
      <c r="DH49" s="151"/>
      <c r="DI49" s="146"/>
      <c r="DJ49" s="146"/>
      <c r="DK49" s="146"/>
      <c r="DL49" s="147"/>
      <c r="DM49" s="148"/>
      <c r="DN49" s="149"/>
      <c r="DO49" s="148"/>
      <c r="DP49" s="150"/>
      <c r="DQ49" s="151"/>
      <c r="DR49" s="146"/>
      <c r="DS49" s="146"/>
      <c r="DT49" s="146"/>
      <c r="DU49" s="147"/>
      <c r="DV49" s="148"/>
      <c r="DW49" s="149"/>
      <c r="DX49" s="148"/>
      <c r="DY49" s="150"/>
      <c r="DZ49" s="151"/>
      <c r="EA49" s="146"/>
      <c r="EB49" s="146"/>
      <c r="EC49" s="146"/>
      <c r="ED49" s="147"/>
      <c r="EE49" s="148"/>
      <c r="EF49" s="149"/>
      <c r="EG49" s="148"/>
      <c r="EH49" s="150"/>
      <c r="EI49" s="151"/>
      <c r="EJ49" s="146"/>
      <c r="EK49" s="146"/>
      <c r="EL49" s="146"/>
      <c r="EM49" s="147"/>
      <c r="EN49" s="148"/>
      <c r="EO49" s="149"/>
      <c r="EP49" s="148"/>
      <c r="EQ49" s="150"/>
      <c r="ER49" s="151"/>
      <c r="ES49" s="146"/>
      <c r="ET49" s="146"/>
      <c r="EU49" s="146"/>
      <c r="EV49" s="147"/>
      <c r="EW49" s="148"/>
      <c r="EX49" s="149"/>
      <c r="EY49" s="148"/>
      <c r="EZ49" s="150"/>
      <c r="FA49" s="151"/>
      <c r="FB49" s="146"/>
      <c r="FC49" s="146"/>
      <c r="FD49" s="146"/>
      <c r="FE49" s="147"/>
      <c r="FF49" s="148"/>
      <c r="FG49" s="149"/>
      <c r="FH49" s="148"/>
      <c r="FI49" s="150"/>
      <c r="FJ49" s="151"/>
      <c r="FK49" s="146"/>
      <c r="FL49" s="146"/>
      <c r="FM49" s="146"/>
      <c r="FN49" s="147"/>
      <c r="FO49" s="148"/>
      <c r="FP49" s="149"/>
      <c r="FQ49" s="148"/>
      <c r="FR49" s="150"/>
      <c r="FS49" s="151"/>
      <c r="FT49" s="146"/>
      <c r="FU49" s="146"/>
      <c r="FV49" s="146"/>
      <c r="FW49" s="147"/>
      <c r="FX49" s="148"/>
      <c r="FY49" s="149"/>
      <c r="FZ49" s="148"/>
      <c r="GA49" s="150"/>
      <c r="GB49" s="151"/>
      <c r="GC49" s="146"/>
      <c r="GD49" s="146"/>
      <c r="GE49" s="146"/>
      <c r="GF49" s="147"/>
      <c r="GG49" s="148"/>
      <c r="GH49" s="149"/>
      <c r="GI49" s="148"/>
      <c r="GJ49" s="150"/>
      <c r="GK49" s="151"/>
      <c r="GL49" s="146"/>
      <c r="GM49" s="146"/>
      <c r="GN49" s="146"/>
      <c r="GO49" s="147"/>
      <c r="GP49" s="148"/>
      <c r="GQ49" s="149"/>
      <c r="GR49" s="148"/>
      <c r="GS49" s="150"/>
      <c r="GT49" s="151"/>
      <c r="GU49" s="154"/>
      <c r="GV49" s="156"/>
      <c r="GW49" s="153"/>
      <c r="GX49" s="141"/>
      <c r="GY49" s="141"/>
      <c r="GZ49" s="167"/>
      <c r="HA49" s="86"/>
    </row>
    <row r="50" spans="1:209" x14ac:dyDescent="0.25">
      <c r="A50"/>
      <c r="D50" s="35"/>
      <c r="E50" s="36"/>
      <c r="F50" s="37"/>
      <c r="G50" s="38"/>
      <c r="H50" s="39"/>
      <c r="I50" s="40"/>
      <c r="J50" s="68"/>
      <c r="K50" s="69"/>
      <c r="L50" s="69"/>
      <c r="M50" s="70"/>
      <c r="N50" s="71"/>
      <c r="O50" s="142"/>
      <c r="P50" s="72"/>
      <c r="Q50" s="113">
        <f t="shared" si="1"/>
        <v>0</v>
      </c>
      <c r="R50" s="117"/>
      <c r="S50" s="117"/>
      <c r="T50" s="117"/>
      <c r="U50" s="39">
        <f t="shared" si="0"/>
        <v>0</v>
      </c>
      <c r="V50" s="143"/>
      <c r="W50" s="154"/>
      <c r="X50" s="157"/>
      <c r="Y50" s="146"/>
      <c r="Z50" s="147"/>
      <c r="AA50" s="148"/>
      <c r="AB50" s="149"/>
      <c r="AC50" s="148"/>
      <c r="AD50" s="150"/>
      <c r="AE50" s="151"/>
      <c r="AF50" s="146"/>
      <c r="AG50" s="146"/>
      <c r="AH50" s="146"/>
      <c r="AI50" s="147"/>
      <c r="AJ50" s="148"/>
      <c r="AK50" s="149"/>
      <c r="AL50" s="148"/>
      <c r="AM50" s="150"/>
      <c r="AN50" s="151"/>
      <c r="AO50" s="146"/>
      <c r="AP50" s="146"/>
      <c r="AQ50" s="146"/>
      <c r="AR50" s="147"/>
      <c r="AS50" s="148"/>
      <c r="AT50" s="149"/>
      <c r="AU50" s="148"/>
      <c r="AV50" s="150"/>
      <c r="AW50" s="151"/>
      <c r="AX50" s="146"/>
      <c r="AY50" s="146"/>
      <c r="AZ50" s="146"/>
      <c r="BA50" s="147"/>
      <c r="BB50" s="148"/>
      <c r="BC50" s="149"/>
      <c r="BD50" s="148"/>
      <c r="BE50" s="150"/>
      <c r="BF50" s="151"/>
      <c r="BG50" s="146"/>
      <c r="BH50" s="146"/>
      <c r="BI50" s="146"/>
      <c r="BJ50" s="147"/>
      <c r="BK50" s="148"/>
      <c r="BL50" s="149"/>
      <c r="BM50" s="148"/>
      <c r="BN50" s="150"/>
      <c r="BO50" s="151"/>
      <c r="BP50" s="146"/>
      <c r="BQ50" s="146"/>
      <c r="BR50" s="146"/>
      <c r="BS50" s="147"/>
      <c r="BT50" s="148"/>
      <c r="BU50" s="149"/>
      <c r="BV50" s="148"/>
      <c r="BW50" s="150"/>
      <c r="BX50" s="151"/>
      <c r="BY50" s="146"/>
      <c r="BZ50" s="146"/>
      <c r="CA50" s="146"/>
      <c r="CB50" s="147"/>
      <c r="CC50" s="148"/>
      <c r="CD50" s="149"/>
      <c r="CE50" s="148"/>
      <c r="CF50" s="150"/>
      <c r="CG50" s="151"/>
      <c r="CH50" s="146"/>
      <c r="CI50" s="146"/>
      <c r="CJ50" s="146"/>
      <c r="CK50" s="147"/>
      <c r="CL50" s="148"/>
      <c r="CM50" s="149"/>
      <c r="CN50" s="148"/>
      <c r="CO50" s="150"/>
      <c r="CP50" s="151"/>
      <c r="CQ50" s="146"/>
      <c r="CR50" s="146"/>
      <c r="CS50" s="146"/>
      <c r="CT50" s="147"/>
      <c r="CU50" s="148"/>
      <c r="CV50" s="149"/>
      <c r="CW50" s="148"/>
      <c r="CX50" s="150"/>
      <c r="CY50" s="151"/>
      <c r="CZ50" s="146"/>
      <c r="DA50" s="146"/>
      <c r="DB50" s="146"/>
      <c r="DC50" s="147"/>
      <c r="DD50" s="148"/>
      <c r="DE50" s="149"/>
      <c r="DF50" s="148"/>
      <c r="DG50" s="150"/>
      <c r="DH50" s="151"/>
      <c r="DI50" s="146"/>
      <c r="DJ50" s="146"/>
      <c r="DK50" s="146"/>
      <c r="DL50" s="147"/>
      <c r="DM50" s="148"/>
      <c r="DN50" s="149"/>
      <c r="DO50" s="148"/>
      <c r="DP50" s="150"/>
      <c r="DQ50" s="151"/>
      <c r="DR50" s="146"/>
      <c r="DS50" s="146"/>
      <c r="DT50" s="146"/>
      <c r="DU50" s="147"/>
      <c r="DV50" s="148"/>
      <c r="DW50" s="149"/>
      <c r="DX50" s="148"/>
      <c r="DY50" s="150"/>
      <c r="DZ50" s="151"/>
      <c r="EA50" s="146"/>
      <c r="EB50" s="146"/>
      <c r="EC50" s="146"/>
      <c r="ED50" s="147"/>
      <c r="EE50" s="148"/>
      <c r="EF50" s="149"/>
      <c r="EG50" s="148"/>
      <c r="EH50" s="150"/>
      <c r="EI50" s="151"/>
      <c r="EJ50" s="146"/>
      <c r="EK50" s="146"/>
      <c r="EL50" s="146"/>
      <c r="EM50" s="147"/>
      <c r="EN50" s="148"/>
      <c r="EO50" s="149"/>
      <c r="EP50" s="148"/>
      <c r="EQ50" s="150"/>
      <c r="ER50" s="151"/>
      <c r="ES50" s="146"/>
      <c r="ET50" s="146"/>
      <c r="EU50" s="146"/>
      <c r="EV50" s="147"/>
      <c r="EW50" s="148"/>
      <c r="EX50" s="149"/>
      <c r="EY50" s="148"/>
      <c r="EZ50" s="150"/>
      <c r="FA50" s="151"/>
      <c r="FB50" s="146"/>
      <c r="FC50" s="146"/>
      <c r="FD50" s="146"/>
      <c r="FE50" s="147"/>
      <c r="FF50" s="148"/>
      <c r="FG50" s="149"/>
      <c r="FH50" s="148"/>
      <c r="FI50" s="150"/>
      <c r="FJ50" s="151"/>
      <c r="FK50" s="146"/>
      <c r="FL50" s="146"/>
      <c r="FM50" s="146"/>
      <c r="FN50" s="147"/>
      <c r="FO50" s="148"/>
      <c r="FP50" s="149"/>
      <c r="FQ50" s="148"/>
      <c r="FR50" s="150"/>
      <c r="FS50" s="151"/>
      <c r="FT50" s="146"/>
      <c r="FU50" s="146"/>
      <c r="FV50" s="146"/>
      <c r="FW50" s="147"/>
      <c r="FX50" s="148"/>
      <c r="FY50" s="149"/>
      <c r="FZ50" s="148"/>
      <c r="GA50" s="150"/>
      <c r="GB50" s="151"/>
      <c r="GC50" s="146"/>
      <c r="GD50" s="146"/>
      <c r="GE50" s="146"/>
      <c r="GF50" s="147"/>
      <c r="GG50" s="148"/>
      <c r="GH50" s="149"/>
      <c r="GI50" s="148"/>
      <c r="GJ50" s="150"/>
      <c r="GK50" s="151"/>
      <c r="GL50" s="146"/>
      <c r="GM50" s="146"/>
      <c r="GN50" s="146"/>
      <c r="GO50" s="147"/>
      <c r="GP50" s="148"/>
      <c r="GQ50" s="149"/>
      <c r="GR50" s="148"/>
      <c r="GS50" s="150"/>
      <c r="GT50" s="151"/>
      <c r="GU50" s="154"/>
      <c r="GV50" s="156"/>
      <c r="GW50" s="153"/>
      <c r="GX50" s="141"/>
      <c r="GY50" s="141"/>
      <c r="GZ50" s="167"/>
      <c r="HA50" s="86"/>
    </row>
    <row r="51" spans="1:209" x14ac:dyDescent="0.25">
      <c r="A51"/>
      <c r="D51" s="35"/>
      <c r="E51" s="36"/>
      <c r="F51" s="37"/>
      <c r="G51" s="38"/>
      <c r="H51" s="39"/>
      <c r="I51" s="40"/>
      <c r="J51" s="68"/>
      <c r="K51" s="69"/>
      <c r="L51" s="69"/>
      <c r="M51" s="70"/>
      <c r="N51" s="71"/>
      <c r="O51" s="142"/>
      <c r="P51" s="72"/>
      <c r="Q51" s="113">
        <f t="shared" si="1"/>
        <v>0</v>
      </c>
      <c r="R51" s="117"/>
      <c r="S51" s="117"/>
      <c r="T51" s="117"/>
      <c r="U51" s="39">
        <f t="shared" si="0"/>
        <v>0</v>
      </c>
      <c r="V51" s="143"/>
      <c r="W51" s="154"/>
      <c r="X51" s="155"/>
      <c r="Y51" s="146"/>
      <c r="Z51" s="147"/>
      <c r="AA51" s="148"/>
      <c r="AB51" s="149"/>
      <c r="AC51" s="148"/>
      <c r="AD51" s="150"/>
      <c r="AE51" s="151"/>
      <c r="AF51" s="146"/>
      <c r="AG51" s="146"/>
      <c r="AH51" s="146"/>
      <c r="AI51" s="147"/>
      <c r="AJ51" s="148"/>
      <c r="AK51" s="149"/>
      <c r="AL51" s="148"/>
      <c r="AM51" s="150"/>
      <c r="AN51" s="151"/>
      <c r="AO51" s="146"/>
      <c r="AP51" s="146"/>
      <c r="AQ51" s="146"/>
      <c r="AR51" s="147"/>
      <c r="AS51" s="148"/>
      <c r="AT51" s="149"/>
      <c r="AU51" s="148"/>
      <c r="AV51" s="150"/>
      <c r="AW51" s="151"/>
      <c r="AX51" s="146"/>
      <c r="AY51" s="146"/>
      <c r="AZ51" s="146"/>
      <c r="BA51" s="147"/>
      <c r="BB51" s="148"/>
      <c r="BC51" s="149"/>
      <c r="BD51" s="148"/>
      <c r="BE51" s="150"/>
      <c r="BF51" s="151"/>
      <c r="BG51" s="146"/>
      <c r="BH51" s="146"/>
      <c r="BI51" s="146"/>
      <c r="BJ51" s="147"/>
      <c r="BK51" s="148"/>
      <c r="BL51" s="149"/>
      <c r="BM51" s="148"/>
      <c r="BN51" s="150"/>
      <c r="BO51" s="151"/>
      <c r="BP51" s="146"/>
      <c r="BQ51" s="146"/>
      <c r="BR51" s="146"/>
      <c r="BS51" s="147"/>
      <c r="BT51" s="148"/>
      <c r="BU51" s="149"/>
      <c r="BV51" s="148"/>
      <c r="BW51" s="150"/>
      <c r="BX51" s="151"/>
      <c r="BY51" s="146"/>
      <c r="BZ51" s="146"/>
      <c r="CA51" s="146"/>
      <c r="CB51" s="147"/>
      <c r="CC51" s="148"/>
      <c r="CD51" s="149"/>
      <c r="CE51" s="148"/>
      <c r="CF51" s="150"/>
      <c r="CG51" s="151"/>
      <c r="CH51" s="146"/>
      <c r="CI51" s="146"/>
      <c r="CJ51" s="146"/>
      <c r="CK51" s="147"/>
      <c r="CL51" s="148"/>
      <c r="CM51" s="149"/>
      <c r="CN51" s="148"/>
      <c r="CO51" s="150"/>
      <c r="CP51" s="151"/>
      <c r="CQ51" s="146"/>
      <c r="CR51" s="146"/>
      <c r="CS51" s="146"/>
      <c r="CT51" s="147"/>
      <c r="CU51" s="148"/>
      <c r="CV51" s="149"/>
      <c r="CW51" s="148"/>
      <c r="CX51" s="150"/>
      <c r="CY51" s="151"/>
      <c r="CZ51" s="146"/>
      <c r="DA51" s="146"/>
      <c r="DB51" s="146"/>
      <c r="DC51" s="147"/>
      <c r="DD51" s="148"/>
      <c r="DE51" s="149"/>
      <c r="DF51" s="148"/>
      <c r="DG51" s="150"/>
      <c r="DH51" s="151"/>
      <c r="DI51" s="146"/>
      <c r="DJ51" s="146"/>
      <c r="DK51" s="146"/>
      <c r="DL51" s="147"/>
      <c r="DM51" s="148"/>
      <c r="DN51" s="149"/>
      <c r="DO51" s="148"/>
      <c r="DP51" s="150"/>
      <c r="DQ51" s="151"/>
      <c r="DR51" s="146"/>
      <c r="DS51" s="146"/>
      <c r="DT51" s="146"/>
      <c r="DU51" s="147"/>
      <c r="DV51" s="148"/>
      <c r="DW51" s="149"/>
      <c r="DX51" s="148"/>
      <c r="DY51" s="150"/>
      <c r="DZ51" s="151"/>
      <c r="EA51" s="146"/>
      <c r="EB51" s="146"/>
      <c r="EC51" s="146"/>
      <c r="ED51" s="147"/>
      <c r="EE51" s="148"/>
      <c r="EF51" s="149"/>
      <c r="EG51" s="148"/>
      <c r="EH51" s="150"/>
      <c r="EI51" s="151"/>
      <c r="EJ51" s="146"/>
      <c r="EK51" s="146"/>
      <c r="EL51" s="146"/>
      <c r="EM51" s="147"/>
      <c r="EN51" s="148"/>
      <c r="EO51" s="149"/>
      <c r="EP51" s="148"/>
      <c r="EQ51" s="150"/>
      <c r="ER51" s="151"/>
      <c r="ES51" s="146"/>
      <c r="ET51" s="146"/>
      <c r="EU51" s="146"/>
      <c r="EV51" s="147"/>
      <c r="EW51" s="148"/>
      <c r="EX51" s="149"/>
      <c r="EY51" s="148"/>
      <c r="EZ51" s="150"/>
      <c r="FA51" s="151"/>
      <c r="FB51" s="146"/>
      <c r="FC51" s="146"/>
      <c r="FD51" s="146"/>
      <c r="FE51" s="147"/>
      <c r="FF51" s="148"/>
      <c r="FG51" s="149"/>
      <c r="FH51" s="148"/>
      <c r="FI51" s="150"/>
      <c r="FJ51" s="151"/>
      <c r="FK51" s="146"/>
      <c r="FL51" s="146"/>
      <c r="FM51" s="146"/>
      <c r="FN51" s="147"/>
      <c r="FO51" s="148"/>
      <c r="FP51" s="149"/>
      <c r="FQ51" s="148"/>
      <c r="FR51" s="150"/>
      <c r="FS51" s="151"/>
      <c r="FT51" s="146"/>
      <c r="FU51" s="146"/>
      <c r="FV51" s="146"/>
      <c r="FW51" s="147"/>
      <c r="FX51" s="148"/>
      <c r="FY51" s="149"/>
      <c r="FZ51" s="148"/>
      <c r="GA51" s="150"/>
      <c r="GB51" s="151"/>
      <c r="GC51" s="146"/>
      <c r="GD51" s="146"/>
      <c r="GE51" s="146"/>
      <c r="GF51" s="147"/>
      <c r="GG51" s="148"/>
      <c r="GH51" s="149"/>
      <c r="GI51" s="148"/>
      <c r="GJ51" s="150"/>
      <c r="GK51" s="151"/>
      <c r="GL51" s="146"/>
      <c r="GM51" s="146"/>
      <c r="GN51" s="146"/>
      <c r="GO51" s="147"/>
      <c r="GP51" s="148"/>
      <c r="GQ51" s="149"/>
      <c r="GR51" s="148"/>
      <c r="GS51" s="150"/>
      <c r="GT51" s="151"/>
      <c r="GU51" s="154"/>
      <c r="GV51" s="156"/>
      <c r="GW51" s="153"/>
      <c r="GX51" s="141"/>
      <c r="GY51" s="141"/>
      <c r="GZ51" s="167"/>
      <c r="HA51" s="86"/>
    </row>
    <row r="52" spans="1:209" x14ac:dyDescent="0.25">
      <c r="A52"/>
      <c r="D52" s="35"/>
      <c r="E52" s="36"/>
      <c r="F52" s="37"/>
      <c r="G52" s="38"/>
      <c r="H52" s="39"/>
      <c r="I52" s="40"/>
      <c r="J52" s="68"/>
      <c r="K52" s="69"/>
      <c r="L52" s="69"/>
      <c r="M52" s="70"/>
      <c r="N52" s="71"/>
      <c r="O52" s="142"/>
      <c r="P52" s="72"/>
      <c r="Q52" s="113">
        <f t="shared" si="1"/>
        <v>0</v>
      </c>
      <c r="R52" s="117"/>
      <c r="S52" s="117"/>
      <c r="T52" s="117"/>
      <c r="U52" s="39">
        <f t="shared" si="0"/>
        <v>0</v>
      </c>
      <c r="V52" s="143"/>
      <c r="W52" s="154"/>
      <c r="X52" s="155"/>
      <c r="Y52" s="158"/>
      <c r="Z52" s="159"/>
      <c r="AA52" s="160"/>
      <c r="AB52" s="161"/>
      <c r="AC52" s="160"/>
      <c r="AD52" s="162"/>
      <c r="AE52" s="163"/>
      <c r="AF52" s="158"/>
      <c r="AG52" s="158"/>
      <c r="AH52" s="158"/>
      <c r="AI52" s="159"/>
      <c r="AJ52" s="160"/>
      <c r="AK52" s="161"/>
      <c r="AL52" s="160"/>
      <c r="AM52" s="162"/>
      <c r="AN52" s="163"/>
      <c r="AO52" s="158"/>
      <c r="AP52" s="158"/>
      <c r="AQ52" s="158"/>
      <c r="AR52" s="159"/>
      <c r="AS52" s="160"/>
      <c r="AT52" s="161"/>
      <c r="AU52" s="160"/>
      <c r="AV52" s="162"/>
      <c r="AW52" s="163"/>
      <c r="AX52" s="158"/>
      <c r="AY52" s="158"/>
      <c r="AZ52" s="158"/>
      <c r="BA52" s="159"/>
      <c r="BB52" s="160"/>
      <c r="BC52" s="161"/>
      <c r="BD52" s="160"/>
      <c r="BE52" s="162"/>
      <c r="BF52" s="163"/>
      <c r="BG52" s="158"/>
      <c r="BH52" s="158"/>
      <c r="BI52" s="158"/>
      <c r="BJ52" s="159"/>
      <c r="BK52" s="160"/>
      <c r="BL52" s="161"/>
      <c r="BM52" s="160"/>
      <c r="BN52" s="162"/>
      <c r="BO52" s="163"/>
      <c r="BP52" s="158"/>
      <c r="BQ52" s="158"/>
      <c r="BR52" s="158"/>
      <c r="BS52" s="159"/>
      <c r="BT52" s="160"/>
      <c r="BU52" s="161"/>
      <c r="BV52" s="160"/>
      <c r="BW52" s="162"/>
      <c r="BX52" s="163"/>
      <c r="BY52" s="158"/>
      <c r="BZ52" s="158"/>
      <c r="CA52" s="158"/>
      <c r="CB52" s="159"/>
      <c r="CC52" s="160"/>
      <c r="CD52" s="161"/>
      <c r="CE52" s="160"/>
      <c r="CF52" s="162"/>
      <c r="CG52" s="163"/>
      <c r="CH52" s="158"/>
      <c r="CI52" s="158"/>
      <c r="CJ52" s="158"/>
      <c r="CK52" s="159"/>
      <c r="CL52" s="160"/>
      <c r="CM52" s="161"/>
      <c r="CN52" s="160"/>
      <c r="CO52" s="162"/>
      <c r="CP52" s="163"/>
      <c r="CQ52" s="158"/>
      <c r="CR52" s="158"/>
      <c r="CS52" s="158"/>
      <c r="CT52" s="159"/>
      <c r="CU52" s="160"/>
      <c r="CV52" s="161"/>
      <c r="CW52" s="160"/>
      <c r="CX52" s="162"/>
      <c r="CY52" s="163"/>
      <c r="CZ52" s="158"/>
      <c r="DA52" s="158"/>
      <c r="DB52" s="158"/>
      <c r="DC52" s="159"/>
      <c r="DD52" s="160"/>
      <c r="DE52" s="161"/>
      <c r="DF52" s="160"/>
      <c r="DG52" s="162"/>
      <c r="DH52" s="163"/>
      <c r="DI52" s="158"/>
      <c r="DJ52" s="158"/>
      <c r="DK52" s="158"/>
      <c r="DL52" s="159"/>
      <c r="DM52" s="160"/>
      <c r="DN52" s="161"/>
      <c r="DO52" s="160"/>
      <c r="DP52" s="162"/>
      <c r="DQ52" s="163"/>
      <c r="DR52" s="158"/>
      <c r="DS52" s="158"/>
      <c r="DT52" s="158"/>
      <c r="DU52" s="159"/>
      <c r="DV52" s="160"/>
      <c r="DW52" s="161"/>
      <c r="DX52" s="160"/>
      <c r="DY52" s="162"/>
      <c r="DZ52" s="163"/>
      <c r="EA52" s="158"/>
      <c r="EB52" s="158"/>
      <c r="EC52" s="158"/>
      <c r="ED52" s="159"/>
      <c r="EE52" s="160"/>
      <c r="EF52" s="161"/>
      <c r="EG52" s="160"/>
      <c r="EH52" s="162"/>
      <c r="EI52" s="163"/>
      <c r="EJ52" s="158"/>
      <c r="EK52" s="158"/>
      <c r="EL52" s="158"/>
      <c r="EM52" s="159"/>
      <c r="EN52" s="160"/>
      <c r="EO52" s="161"/>
      <c r="EP52" s="160"/>
      <c r="EQ52" s="162"/>
      <c r="ER52" s="163"/>
      <c r="ES52" s="158"/>
      <c r="ET52" s="158"/>
      <c r="EU52" s="158"/>
      <c r="EV52" s="159"/>
      <c r="EW52" s="160"/>
      <c r="EX52" s="161"/>
      <c r="EY52" s="160"/>
      <c r="EZ52" s="162"/>
      <c r="FA52" s="163"/>
      <c r="FB52" s="158"/>
      <c r="FC52" s="158"/>
      <c r="FD52" s="158"/>
      <c r="FE52" s="159"/>
      <c r="FF52" s="160"/>
      <c r="FG52" s="161"/>
      <c r="FH52" s="160"/>
      <c r="FI52" s="162"/>
      <c r="FJ52" s="163"/>
      <c r="FK52" s="158"/>
      <c r="FL52" s="158"/>
      <c r="FM52" s="158"/>
      <c r="FN52" s="159"/>
      <c r="FO52" s="160"/>
      <c r="FP52" s="161"/>
      <c r="FQ52" s="160"/>
      <c r="FR52" s="162"/>
      <c r="FS52" s="163"/>
      <c r="FT52" s="158"/>
      <c r="FU52" s="158"/>
      <c r="FV52" s="158"/>
      <c r="FW52" s="159"/>
      <c r="FX52" s="160"/>
      <c r="FY52" s="161"/>
      <c r="FZ52" s="160"/>
      <c r="GA52" s="162"/>
      <c r="GB52" s="163"/>
      <c r="GC52" s="158"/>
      <c r="GD52" s="158"/>
      <c r="GE52" s="158"/>
      <c r="GF52" s="159"/>
      <c r="GG52" s="160"/>
      <c r="GH52" s="161"/>
      <c r="GI52" s="160"/>
      <c r="GJ52" s="162"/>
      <c r="GK52" s="163"/>
      <c r="GL52" s="158"/>
      <c r="GM52" s="158"/>
      <c r="GN52" s="158"/>
      <c r="GO52" s="159"/>
      <c r="GP52" s="160"/>
      <c r="GQ52" s="161"/>
      <c r="GR52" s="160"/>
      <c r="GS52" s="162"/>
      <c r="GT52" s="163"/>
      <c r="GU52" s="154"/>
      <c r="GV52" s="156"/>
      <c r="GW52" s="153"/>
      <c r="GX52" s="141"/>
      <c r="GY52" s="141"/>
      <c r="GZ52" s="167"/>
      <c r="HA52" s="86"/>
    </row>
    <row r="53" spans="1:209" x14ac:dyDescent="0.25">
      <c r="A53"/>
      <c r="D53" s="35"/>
      <c r="E53" s="36"/>
      <c r="F53" s="37"/>
      <c r="G53" s="38"/>
      <c r="H53" s="39"/>
      <c r="I53" s="40"/>
      <c r="J53" s="68"/>
      <c r="K53" s="69"/>
      <c r="L53" s="69"/>
      <c r="M53" s="70"/>
      <c r="N53" s="71"/>
      <c r="O53" s="164"/>
      <c r="P53" s="72"/>
      <c r="Q53" s="113">
        <f t="shared" si="1"/>
        <v>0</v>
      </c>
      <c r="R53" s="117"/>
      <c r="S53" s="117"/>
      <c r="T53" s="117"/>
      <c r="U53" s="39">
        <f t="shared" si="0"/>
        <v>0</v>
      </c>
      <c r="V53" s="143"/>
      <c r="W53" s="154"/>
      <c r="X53" s="165"/>
      <c r="Y53" s="158"/>
      <c r="Z53" s="159"/>
      <c r="AA53" s="160"/>
      <c r="AB53" s="161"/>
      <c r="AC53" s="160"/>
      <c r="AD53" s="162"/>
      <c r="AE53" s="163"/>
      <c r="AF53" s="158"/>
      <c r="AG53" s="158"/>
      <c r="AH53" s="158"/>
      <c r="AI53" s="159"/>
      <c r="AJ53" s="160"/>
      <c r="AK53" s="161"/>
      <c r="AL53" s="160"/>
      <c r="AM53" s="162"/>
      <c r="AN53" s="163"/>
      <c r="AO53" s="158"/>
      <c r="AP53" s="158"/>
      <c r="AQ53" s="158"/>
      <c r="AR53" s="159"/>
      <c r="AS53" s="160"/>
      <c r="AT53" s="161"/>
      <c r="AU53" s="160"/>
      <c r="AV53" s="162"/>
      <c r="AW53" s="163"/>
      <c r="AX53" s="158"/>
      <c r="AY53" s="158"/>
      <c r="AZ53" s="158"/>
      <c r="BA53" s="159"/>
      <c r="BB53" s="160"/>
      <c r="BC53" s="161"/>
      <c r="BD53" s="160"/>
      <c r="BE53" s="162"/>
      <c r="BF53" s="163"/>
      <c r="BG53" s="158"/>
      <c r="BH53" s="158"/>
      <c r="BI53" s="158"/>
      <c r="BJ53" s="159"/>
      <c r="BK53" s="160"/>
      <c r="BL53" s="161"/>
      <c r="BM53" s="160"/>
      <c r="BN53" s="162"/>
      <c r="BO53" s="163"/>
      <c r="BP53" s="158"/>
      <c r="BQ53" s="158"/>
      <c r="BR53" s="158"/>
      <c r="BS53" s="159"/>
      <c r="BT53" s="160"/>
      <c r="BU53" s="161"/>
      <c r="BV53" s="160"/>
      <c r="BW53" s="162"/>
      <c r="BX53" s="163"/>
      <c r="BY53" s="158"/>
      <c r="BZ53" s="158"/>
      <c r="CA53" s="158"/>
      <c r="CB53" s="159"/>
      <c r="CC53" s="160"/>
      <c r="CD53" s="161"/>
      <c r="CE53" s="160"/>
      <c r="CF53" s="162"/>
      <c r="CG53" s="163"/>
      <c r="CH53" s="158"/>
      <c r="CI53" s="158"/>
      <c r="CJ53" s="158"/>
      <c r="CK53" s="159"/>
      <c r="CL53" s="160"/>
      <c r="CM53" s="161"/>
      <c r="CN53" s="160"/>
      <c r="CO53" s="162"/>
      <c r="CP53" s="163"/>
      <c r="CQ53" s="158"/>
      <c r="CR53" s="158"/>
      <c r="CS53" s="158"/>
      <c r="CT53" s="159"/>
      <c r="CU53" s="160"/>
      <c r="CV53" s="161"/>
      <c r="CW53" s="160"/>
      <c r="CX53" s="162"/>
      <c r="CY53" s="163"/>
      <c r="CZ53" s="158"/>
      <c r="DA53" s="158"/>
      <c r="DB53" s="158"/>
      <c r="DC53" s="159"/>
      <c r="DD53" s="160"/>
      <c r="DE53" s="161"/>
      <c r="DF53" s="160"/>
      <c r="DG53" s="162"/>
      <c r="DH53" s="163"/>
      <c r="DI53" s="158"/>
      <c r="DJ53" s="158"/>
      <c r="DK53" s="158"/>
      <c r="DL53" s="159"/>
      <c r="DM53" s="160"/>
      <c r="DN53" s="161"/>
      <c r="DO53" s="160"/>
      <c r="DP53" s="162"/>
      <c r="DQ53" s="163"/>
      <c r="DR53" s="158"/>
      <c r="DS53" s="158"/>
      <c r="DT53" s="158"/>
      <c r="DU53" s="159"/>
      <c r="DV53" s="160"/>
      <c r="DW53" s="161"/>
      <c r="DX53" s="160"/>
      <c r="DY53" s="162"/>
      <c r="DZ53" s="163"/>
      <c r="EA53" s="158"/>
      <c r="EB53" s="158"/>
      <c r="EC53" s="158"/>
      <c r="ED53" s="159"/>
      <c r="EE53" s="160"/>
      <c r="EF53" s="161"/>
      <c r="EG53" s="160"/>
      <c r="EH53" s="162"/>
      <c r="EI53" s="163"/>
      <c r="EJ53" s="158"/>
      <c r="EK53" s="158"/>
      <c r="EL53" s="158"/>
      <c r="EM53" s="159"/>
      <c r="EN53" s="160"/>
      <c r="EO53" s="161"/>
      <c r="EP53" s="160"/>
      <c r="EQ53" s="162"/>
      <c r="ER53" s="163"/>
      <c r="ES53" s="158"/>
      <c r="ET53" s="158"/>
      <c r="EU53" s="158"/>
      <c r="EV53" s="159"/>
      <c r="EW53" s="160"/>
      <c r="EX53" s="161"/>
      <c r="EY53" s="160"/>
      <c r="EZ53" s="162"/>
      <c r="FA53" s="163"/>
      <c r="FB53" s="158"/>
      <c r="FC53" s="158"/>
      <c r="FD53" s="158"/>
      <c r="FE53" s="159"/>
      <c r="FF53" s="160"/>
      <c r="FG53" s="161"/>
      <c r="FH53" s="160"/>
      <c r="FI53" s="162"/>
      <c r="FJ53" s="163"/>
      <c r="FK53" s="158"/>
      <c r="FL53" s="158"/>
      <c r="FM53" s="158"/>
      <c r="FN53" s="159"/>
      <c r="FO53" s="160"/>
      <c r="FP53" s="161"/>
      <c r="FQ53" s="160"/>
      <c r="FR53" s="162"/>
      <c r="FS53" s="163"/>
      <c r="FT53" s="158"/>
      <c r="FU53" s="158"/>
      <c r="FV53" s="158"/>
      <c r="FW53" s="159"/>
      <c r="FX53" s="160"/>
      <c r="FY53" s="161"/>
      <c r="FZ53" s="160"/>
      <c r="GA53" s="162"/>
      <c r="GB53" s="163"/>
      <c r="GC53" s="158"/>
      <c r="GD53" s="158"/>
      <c r="GE53" s="158"/>
      <c r="GF53" s="159"/>
      <c r="GG53" s="160"/>
      <c r="GH53" s="161"/>
      <c r="GI53" s="160"/>
      <c r="GJ53" s="162"/>
      <c r="GK53" s="163"/>
      <c r="GL53" s="158"/>
      <c r="GM53" s="158"/>
      <c r="GN53" s="158"/>
      <c r="GO53" s="159"/>
      <c r="GP53" s="160"/>
      <c r="GQ53" s="161"/>
      <c r="GR53" s="160"/>
      <c r="GS53" s="162"/>
      <c r="GT53" s="163"/>
      <c r="GU53" s="154"/>
      <c r="GV53" s="156"/>
      <c r="GW53" s="153"/>
      <c r="GX53" s="66"/>
      <c r="GY53" s="66"/>
      <c r="GZ53" s="167"/>
      <c r="HA53" s="86"/>
    </row>
    <row r="54" spans="1:209" x14ac:dyDescent="0.25">
      <c r="A54"/>
      <c r="D54" s="35"/>
      <c r="E54" s="36"/>
      <c r="F54" s="37"/>
      <c r="G54" s="38"/>
      <c r="H54" s="39"/>
      <c r="I54" s="40"/>
      <c r="J54" s="68"/>
      <c r="K54" s="82"/>
      <c r="L54" s="82"/>
      <c r="M54" s="70"/>
      <c r="N54" s="71"/>
      <c r="O54" s="56"/>
      <c r="P54" s="72"/>
      <c r="Q54" s="113">
        <f t="shared" si="1"/>
        <v>0</v>
      </c>
      <c r="R54" s="117"/>
      <c r="S54" s="117"/>
      <c r="T54" s="117"/>
      <c r="U54" s="39">
        <f t="shared" si="0"/>
        <v>0</v>
      </c>
      <c r="V54" s="138"/>
      <c r="W54" s="166"/>
      <c r="X54" s="86"/>
      <c r="Y54" s="68"/>
      <c r="Z54" s="167"/>
      <c r="AA54" s="168"/>
      <c r="AB54" s="169"/>
      <c r="AC54" s="168"/>
      <c r="AD54" s="170"/>
      <c r="AE54" s="171"/>
      <c r="AF54" s="68"/>
      <c r="AG54" s="68"/>
      <c r="AH54" s="68"/>
      <c r="AI54" s="167"/>
      <c r="AJ54" s="168"/>
      <c r="AK54" s="169"/>
      <c r="AL54" s="168"/>
      <c r="AM54" s="170"/>
      <c r="AN54" s="171"/>
      <c r="AO54" s="68"/>
      <c r="AP54" s="68"/>
      <c r="AQ54" s="68"/>
      <c r="AR54" s="167"/>
      <c r="AS54" s="168"/>
      <c r="AT54" s="169"/>
      <c r="AU54" s="168"/>
      <c r="AV54" s="170"/>
      <c r="AW54" s="171"/>
      <c r="AX54" s="68"/>
      <c r="AY54" s="68"/>
      <c r="AZ54" s="68"/>
      <c r="BA54" s="167"/>
      <c r="BB54" s="168"/>
      <c r="BC54" s="169"/>
      <c r="BD54" s="168"/>
      <c r="BE54" s="170"/>
      <c r="BF54" s="171"/>
      <c r="BG54" s="68"/>
      <c r="BH54" s="68"/>
      <c r="BI54" s="68"/>
      <c r="BJ54" s="167"/>
      <c r="BK54" s="168"/>
      <c r="BL54" s="169"/>
      <c r="BM54" s="168"/>
      <c r="BN54" s="170"/>
      <c r="BO54" s="171"/>
      <c r="BP54" s="68"/>
      <c r="BQ54" s="68"/>
      <c r="BR54" s="68"/>
      <c r="BS54" s="167"/>
      <c r="BT54" s="168"/>
      <c r="BU54" s="169"/>
      <c r="BV54" s="168"/>
      <c r="BW54" s="170"/>
      <c r="BX54" s="171"/>
      <c r="BY54" s="68"/>
      <c r="BZ54" s="68"/>
      <c r="CA54" s="68"/>
      <c r="CB54" s="167"/>
      <c r="CC54" s="168"/>
      <c r="CD54" s="169"/>
      <c r="CE54" s="168"/>
      <c r="CF54" s="170"/>
      <c r="CG54" s="171"/>
      <c r="CH54" s="68"/>
      <c r="CI54" s="68"/>
      <c r="CJ54" s="68"/>
      <c r="CK54" s="167"/>
      <c r="CL54" s="168"/>
      <c r="CM54" s="169"/>
      <c r="CN54" s="168"/>
      <c r="CO54" s="170"/>
      <c r="CP54" s="171"/>
      <c r="CQ54" s="68"/>
      <c r="CR54" s="68"/>
      <c r="CS54" s="68"/>
      <c r="CT54" s="167"/>
      <c r="CU54" s="168"/>
      <c r="CV54" s="169"/>
      <c r="CW54" s="168"/>
      <c r="CX54" s="170"/>
      <c r="CY54" s="171"/>
      <c r="CZ54" s="68"/>
      <c r="DA54" s="68"/>
      <c r="DB54" s="68"/>
      <c r="DC54" s="167"/>
      <c r="DD54" s="168"/>
      <c r="DE54" s="169"/>
      <c r="DF54" s="168"/>
      <c r="DG54" s="170"/>
      <c r="DH54" s="171"/>
      <c r="DI54" s="68"/>
      <c r="DJ54" s="68"/>
      <c r="DK54" s="68"/>
      <c r="DL54" s="167"/>
      <c r="DM54" s="168"/>
      <c r="DN54" s="169"/>
      <c r="DO54" s="168"/>
      <c r="DP54" s="170"/>
      <c r="DQ54" s="171"/>
      <c r="DR54" s="68"/>
      <c r="DS54" s="68"/>
      <c r="DT54" s="68"/>
      <c r="DU54" s="167"/>
      <c r="DV54" s="168"/>
      <c r="DW54" s="169"/>
      <c r="DX54" s="168"/>
      <c r="DY54" s="170"/>
      <c r="DZ54" s="171"/>
      <c r="EA54" s="68"/>
      <c r="EB54" s="68"/>
      <c r="EC54" s="68"/>
      <c r="ED54" s="167"/>
      <c r="EE54" s="168"/>
      <c r="EF54" s="169"/>
      <c r="EG54" s="168"/>
      <c r="EH54" s="170"/>
      <c r="EI54" s="171"/>
      <c r="EJ54" s="68"/>
      <c r="EK54" s="68"/>
      <c r="EL54" s="68"/>
      <c r="EM54" s="167"/>
      <c r="EN54" s="168"/>
      <c r="EO54" s="169"/>
      <c r="EP54" s="168"/>
      <c r="EQ54" s="170"/>
      <c r="ER54" s="171"/>
      <c r="ES54" s="68"/>
      <c r="ET54" s="68"/>
      <c r="EU54" s="68"/>
      <c r="EV54" s="167"/>
      <c r="EW54" s="168"/>
      <c r="EX54" s="169"/>
      <c r="EY54" s="168"/>
      <c r="EZ54" s="170"/>
      <c r="FA54" s="171"/>
      <c r="FB54" s="68"/>
      <c r="FC54" s="68"/>
      <c r="FD54" s="68"/>
      <c r="FE54" s="167"/>
      <c r="FF54" s="168"/>
      <c r="FG54" s="169"/>
      <c r="FH54" s="168"/>
      <c r="FI54" s="170"/>
      <c r="FJ54" s="171"/>
      <c r="FK54" s="68"/>
      <c r="FL54" s="68"/>
      <c r="FM54" s="68"/>
      <c r="FN54" s="167"/>
      <c r="FO54" s="168"/>
      <c r="FP54" s="169"/>
      <c r="FQ54" s="168"/>
      <c r="FR54" s="170"/>
      <c r="FS54" s="171"/>
      <c r="FT54" s="68"/>
      <c r="FU54" s="68"/>
      <c r="FV54" s="68"/>
      <c r="FW54" s="167"/>
      <c r="FX54" s="168"/>
      <c r="FY54" s="169"/>
      <c r="FZ54" s="168"/>
      <c r="GA54" s="170"/>
      <c r="GB54" s="171"/>
      <c r="GC54" s="68"/>
      <c r="GD54" s="68"/>
      <c r="GE54" s="68"/>
      <c r="GF54" s="167"/>
      <c r="GG54" s="168"/>
      <c r="GH54" s="169"/>
      <c r="GI54" s="168"/>
      <c r="GJ54" s="170"/>
      <c r="GK54" s="171"/>
      <c r="GL54" s="68"/>
      <c r="GM54" s="68"/>
      <c r="GN54" s="68"/>
      <c r="GO54" s="167"/>
      <c r="GP54" s="168"/>
      <c r="GQ54" s="169"/>
      <c r="GR54" s="168"/>
      <c r="GS54" s="170"/>
      <c r="GT54" s="171"/>
      <c r="GU54" s="166"/>
      <c r="GV54" s="64"/>
      <c r="GW54" s="65"/>
      <c r="GX54" s="66"/>
      <c r="GY54" s="66"/>
      <c r="GZ54" s="167"/>
      <c r="HA54" s="86"/>
    </row>
    <row r="55" spans="1:209" x14ac:dyDescent="0.25">
      <c r="A55"/>
      <c r="D55" s="35"/>
      <c r="E55" s="36"/>
      <c r="F55" s="37"/>
      <c r="G55" s="38"/>
      <c r="H55" s="39"/>
      <c r="I55" s="40"/>
      <c r="J55" s="68"/>
      <c r="K55" s="69"/>
      <c r="L55" s="69"/>
      <c r="M55" s="70"/>
      <c r="N55" s="71"/>
      <c r="O55" s="56"/>
      <c r="P55" s="72"/>
      <c r="Q55" s="113">
        <f t="shared" si="1"/>
        <v>0</v>
      </c>
      <c r="R55" s="117"/>
      <c r="S55" s="117"/>
      <c r="T55" s="117"/>
      <c r="U55" s="39">
        <f t="shared" si="0"/>
        <v>0</v>
      </c>
      <c r="V55" s="138"/>
      <c r="W55" s="166"/>
      <c r="X55" s="86"/>
      <c r="Y55" s="68"/>
      <c r="Z55" s="167"/>
      <c r="AA55" s="168"/>
      <c r="AB55" s="169"/>
      <c r="AC55" s="168"/>
      <c r="AD55" s="170"/>
      <c r="AE55" s="171"/>
      <c r="AF55" s="68"/>
      <c r="AG55" s="68"/>
      <c r="AH55" s="68"/>
      <c r="AI55" s="167"/>
      <c r="AJ55" s="168"/>
      <c r="AK55" s="169"/>
      <c r="AL55" s="168"/>
      <c r="AM55" s="170"/>
      <c r="AN55" s="171"/>
      <c r="AO55" s="68"/>
      <c r="AP55" s="68"/>
      <c r="AQ55" s="68"/>
      <c r="AR55" s="167"/>
      <c r="AS55" s="168"/>
      <c r="AT55" s="169"/>
      <c r="AU55" s="168"/>
      <c r="AV55" s="170"/>
      <c r="AW55" s="171"/>
      <c r="AX55" s="68"/>
      <c r="AY55" s="68"/>
      <c r="AZ55" s="68"/>
      <c r="BA55" s="167"/>
      <c r="BB55" s="168"/>
      <c r="BC55" s="169"/>
      <c r="BD55" s="168"/>
      <c r="BE55" s="170"/>
      <c r="BF55" s="171"/>
      <c r="BG55" s="68"/>
      <c r="BH55" s="68"/>
      <c r="BI55" s="68"/>
      <c r="BJ55" s="167"/>
      <c r="BK55" s="168"/>
      <c r="BL55" s="169"/>
      <c r="BM55" s="168"/>
      <c r="BN55" s="170"/>
      <c r="BO55" s="171"/>
      <c r="BP55" s="68"/>
      <c r="BQ55" s="68"/>
      <c r="BR55" s="68"/>
      <c r="BS55" s="167"/>
      <c r="BT55" s="168"/>
      <c r="BU55" s="169"/>
      <c r="BV55" s="168"/>
      <c r="BW55" s="170"/>
      <c r="BX55" s="171"/>
      <c r="BY55" s="68"/>
      <c r="BZ55" s="68"/>
      <c r="CA55" s="68"/>
      <c r="CB55" s="167"/>
      <c r="CC55" s="168"/>
      <c r="CD55" s="169"/>
      <c r="CE55" s="168"/>
      <c r="CF55" s="170"/>
      <c r="CG55" s="171"/>
      <c r="CH55" s="68"/>
      <c r="CI55" s="68"/>
      <c r="CJ55" s="68"/>
      <c r="CK55" s="167"/>
      <c r="CL55" s="168"/>
      <c r="CM55" s="169"/>
      <c r="CN55" s="168"/>
      <c r="CO55" s="170"/>
      <c r="CP55" s="171"/>
      <c r="CQ55" s="68"/>
      <c r="CR55" s="68"/>
      <c r="CS55" s="68"/>
      <c r="CT55" s="167"/>
      <c r="CU55" s="168"/>
      <c r="CV55" s="169"/>
      <c r="CW55" s="168"/>
      <c r="CX55" s="170"/>
      <c r="CY55" s="171"/>
      <c r="CZ55" s="68"/>
      <c r="DA55" s="68"/>
      <c r="DB55" s="68"/>
      <c r="DC55" s="167"/>
      <c r="DD55" s="168"/>
      <c r="DE55" s="169"/>
      <c r="DF55" s="168"/>
      <c r="DG55" s="170"/>
      <c r="DH55" s="171"/>
      <c r="DI55" s="68"/>
      <c r="DJ55" s="68"/>
      <c r="DK55" s="68"/>
      <c r="DL55" s="167"/>
      <c r="DM55" s="168"/>
      <c r="DN55" s="169"/>
      <c r="DO55" s="168"/>
      <c r="DP55" s="170"/>
      <c r="DQ55" s="171"/>
      <c r="DR55" s="68"/>
      <c r="DS55" s="68"/>
      <c r="DT55" s="68"/>
      <c r="DU55" s="167"/>
      <c r="DV55" s="168"/>
      <c r="DW55" s="169"/>
      <c r="DX55" s="168"/>
      <c r="DY55" s="170"/>
      <c r="DZ55" s="171"/>
      <c r="EA55" s="68"/>
      <c r="EB55" s="68"/>
      <c r="EC55" s="68"/>
      <c r="ED55" s="167"/>
      <c r="EE55" s="168"/>
      <c r="EF55" s="169"/>
      <c r="EG55" s="168"/>
      <c r="EH55" s="170"/>
      <c r="EI55" s="171"/>
      <c r="EJ55" s="68"/>
      <c r="EK55" s="68"/>
      <c r="EL55" s="68"/>
      <c r="EM55" s="167"/>
      <c r="EN55" s="168"/>
      <c r="EO55" s="169"/>
      <c r="EP55" s="168"/>
      <c r="EQ55" s="170"/>
      <c r="ER55" s="171"/>
      <c r="ES55" s="68"/>
      <c r="ET55" s="68"/>
      <c r="EU55" s="68"/>
      <c r="EV55" s="167"/>
      <c r="EW55" s="168"/>
      <c r="EX55" s="169"/>
      <c r="EY55" s="168"/>
      <c r="EZ55" s="170"/>
      <c r="FA55" s="171"/>
      <c r="FB55" s="68"/>
      <c r="FC55" s="68"/>
      <c r="FD55" s="68"/>
      <c r="FE55" s="167"/>
      <c r="FF55" s="168"/>
      <c r="FG55" s="169"/>
      <c r="FH55" s="168"/>
      <c r="FI55" s="170"/>
      <c r="FJ55" s="171"/>
      <c r="FK55" s="68"/>
      <c r="FL55" s="68"/>
      <c r="FM55" s="68"/>
      <c r="FN55" s="167"/>
      <c r="FO55" s="168"/>
      <c r="FP55" s="169"/>
      <c r="FQ55" s="168"/>
      <c r="FR55" s="170"/>
      <c r="FS55" s="171"/>
      <c r="FT55" s="68"/>
      <c r="FU55" s="68"/>
      <c r="FV55" s="68"/>
      <c r="FW55" s="167"/>
      <c r="FX55" s="168"/>
      <c r="FY55" s="169"/>
      <c r="FZ55" s="168"/>
      <c r="GA55" s="170"/>
      <c r="GB55" s="171"/>
      <c r="GC55" s="68"/>
      <c r="GD55" s="68"/>
      <c r="GE55" s="68"/>
      <c r="GF55" s="167"/>
      <c r="GG55" s="168"/>
      <c r="GH55" s="169"/>
      <c r="GI55" s="168"/>
      <c r="GJ55" s="170"/>
      <c r="GK55" s="171"/>
      <c r="GL55" s="68"/>
      <c r="GM55" s="68"/>
      <c r="GN55" s="68"/>
      <c r="GO55" s="167"/>
      <c r="GP55" s="168"/>
      <c r="GQ55" s="169"/>
      <c r="GR55" s="168"/>
      <c r="GS55" s="170"/>
      <c r="GT55" s="171"/>
      <c r="GU55" s="166"/>
      <c r="GV55" s="64"/>
      <c r="GW55" s="65"/>
      <c r="GX55" s="66"/>
      <c r="GY55" s="66"/>
      <c r="GZ55" s="167"/>
      <c r="HA55" s="86"/>
    </row>
    <row r="56" spans="1:209" x14ac:dyDescent="0.25">
      <c r="A56"/>
      <c r="D56" s="35"/>
      <c r="E56" s="36"/>
      <c r="F56" s="37"/>
      <c r="G56" s="38"/>
      <c r="H56" s="39"/>
      <c r="I56" s="40"/>
      <c r="J56" s="68"/>
      <c r="K56" s="69"/>
      <c r="L56" s="69"/>
      <c r="M56" s="70"/>
      <c r="N56" s="71"/>
      <c r="O56" s="56"/>
      <c r="P56" s="72"/>
      <c r="Q56" s="113">
        <f t="shared" si="1"/>
        <v>0</v>
      </c>
      <c r="R56" s="117"/>
      <c r="S56" s="117"/>
      <c r="T56" s="117"/>
      <c r="U56" s="39">
        <f t="shared" si="0"/>
        <v>0</v>
      </c>
      <c r="V56" s="138"/>
      <c r="W56" s="166"/>
      <c r="X56" s="86"/>
      <c r="Y56" s="68"/>
      <c r="Z56" s="167"/>
      <c r="AA56" s="168"/>
      <c r="AB56" s="169"/>
      <c r="AC56" s="168"/>
      <c r="AD56" s="170"/>
      <c r="AE56" s="171"/>
      <c r="AF56" s="68"/>
      <c r="AG56" s="68"/>
      <c r="AH56" s="68"/>
      <c r="AI56" s="167"/>
      <c r="AJ56" s="168"/>
      <c r="AK56" s="169"/>
      <c r="AL56" s="168"/>
      <c r="AM56" s="170"/>
      <c r="AN56" s="171"/>
      <c r="AO56" s="68"/>
      <c r="AP56" s="68"/>
      <c r="AQ56" s="68"/>
      <c r="AR56" s="167"/>
      <c r="AS56" s="168"/>
      <c r="AT56" s="169"/>
      <c r="AU56" s="168"/>
      <c r="AV56" s="170"/>
      <c r="AW56" s="171"/>
      <c r="AX56" s="68"/>
      <c r="AY56" s="68"/>
      <c r="AZ56" s="68"/>
      <c r="BA56" s="167"/>
      <c r="BB56" s="168"/>
      <c r="BC56" s="169"/>
      <c r="BD56" s="168"/>
      <c r="BE56" s="170"/>
      <c r="BF56" s="171"/>
      <c r="BG56" s="68"/>
      <c r="BH56" s="68"/>
      <c r="BI56" s="68"/>
      <c r="BJ56" s="167"/>
      <c r="BK56" s="168"/>
      <c r="BL56" s="169"/>
      <c r="BM56" s="168"/>
      <c r="BN56" s="170"/>
      <c r="BO56" s="171"/>
      <c r="BP56" s="68"/>
      <c r="BQ56" s="68"/>
      <c r="BR56" s="68"/>
      <c r="BS56" s="167"/>
      <c r="BT56" s="168"/>
      <c r="BU56" s="169"/>
      <c r="BV56" s="168"/>
      <c r="BW56" s="170"/>
      <c r="BX56" s="171"/>
      <c r="BY56" s="68"/>
      <c r="BZ56" s="68"/>
      <c r="CA56" s="68"/>
      <c r="CB56" s="167"/>
      <c r="CC56" s="168"/>
      <c r="CD56" s="169"/>
      <c r="CE56" s="168"/>
      <c r="CF56" s="170"/>
      <c r="CG56" s="171"/>
      <c r="CH56" s="68"/>
      <c r="CI56" s="68"/>
      <c r="CJ56" s="68"/>
      <c r="CK56" s="167"/>
      <c r="CL56" s="168"/>
      <c r="CM56" s="169"/>
      <c r="CN56" s="168"/>
      <c r="CO56" s="170"/>
      <c r="CP56" s="171"/>
      <c r="CQ56" s="68"/>
      <c r="CR56" s="68"/>
      <c r="CS56" s="68"/>
      <c r="CT56" s="167"/>
      <c r="CU56" s="168"/>
      <c r="CV56" s="169"/>
      <c r="CW56" s="168"/>
      <c r="CX56" s="170"/>
      <c r="CY56" s="171"/>
      <c r="CZ56" s="68"/>
      <c r="DA56" s="68"/>
      <c r="DB56" s="68"/>
      <c r="DC56" s="167"/>
      <c r="DD56" s="168"/>
      <c r="DE56" s="169"/>
      <c r="DF56" s="168"/>
      <c r="DG56" s="170"/>
      <c r="DH56" s="171"/>
      <c r="DI56" s="68"/>
      <c r="DJ56" s="68"/>
      <c r="DK56" s="68"/>
      <c r="DL56" s="167"/>
      <c r="DM56" s="168"/>
      <c r="DN56" s="169"/>
      <c r="DO56" s="168"/>
      <c r="DP56" s="170"/>
      <c r="DQ56" s="171"/>
      <c r="DR56" s="68"/>
      <c r="DS56" s="68"/>
      <c r="DT56" s="68"/>
      <c r="DU56" s="167"/>
      <c r="DV56" s="168"/>
      <c r="DW56" s="169"/>
      <c r="DX56" s="168"/>
      <c r="DY56" s="170"/>
      <c r="DZ56" s="171"/>
      <c r="EA56" s="68"/>
      <c r="EB56" s="68"/>
      <c r="EC56" s="68"/>
      <c r="ED56" s="167"/>
      <c r="EE56" s="168"/>
      <c r="EF56" s="169"/>
      <c r="EG56" s="168"/>
      <c r="EH56" s="170"/>
      <c r="EI56" s="171"/>
      <c r="EJ56" s="68"/>
      <c r="EK56" s="68"/>
      <c r="EL56" s="68"/>
      <c r="EM56" s="167"/>
      <c r="EN56" s="168"/>
      <c r="EO56" s="169"/>
      <c r="EP56" s="168"/>
      <c r="EQ56" s="170"/>
      <c r="ER56" s="171"/>
      <c r="ES56" s="68"/>
      <c r="ET56" s="68"/>
      <c r="EU56" s="68"/>
      <c r="EV56" s="167"/>
      <c r="EW56" s="168"/>
      <c r="EX56" s="169"/>
      <c r="EY56" s="168"/>
      <c r="EZ56" s="170"/>
      <c r="FA56" s="171"/>
      <c r="FB56" s="68"/>
      <c r="FC56" s="68"/>
      <c r="FD56" s="68"/>
      <c r="FE56" s="167"/>
      <c r="FF56" s="168"/>
      <c r="FG56" s="169"/>
      <c r="FH56" s="168"/>
      <c r="FI56" s="170"/>
      <c r="FJ56" s="171"/>
      <c r="FK56" s="68"/>
      <c r="FL56" s="68"/>
      <c r="FM56" s="68"/>
      <c r="FN56" s="167"/>
      <c r="FO56" s="168"/>
      <c r="FP56" s="169"/>
      <c r="FQ56" s="168"/>
      <c r="FR56" s="170"/>
      <c r="FS56" s="171"/>
      <c r="FT56" s="68"/>
      <c r="FU56" s="68"/>
      <c r="FV56" s="68"/>
      <c r="FW56" s="167"/>
      <c r="FX56" s="168"/>
      <c r="FY56" s="169"/>
      <c r="FZ56" s="168"/>
      <c r="GA56" s="170"/>
      <c r="GB56" s="171"/>
      <c r="GC56" s="68"/>
      <c r="GD56" s="68"/>
      <c r="GE56" s="68"/>
      <c r="GF56" s="167"/>
      <c r="GG56" s="168"/>
      <c r="GH56" s="169"/>
      <c r="GI56" s="168"/>
      <c r="GJ56" s="170"/>
      <c r="GK56" s="171"/>
      <c r="GL56" s="68"/>
      <c r="GM56" s="68"/>
      <c r="GN56" s="68"/>
      <c r="GO56" s="167"/>
      <c r="GP56" s="168"/>
      <c r="GQ56" s="169"/>
      <c r="GR56" s="168"/>
      <c r="GS56" s="170"/>
      <c r="GT56" s="171"/>
      <c r="GU56" s="171"/>
      <c r="GV56" s="64"/>
      <c r="GW56" s="65"/>
      <c r="GX56" s="66"/>
      <c r="GY56" s="66"/>
      <c r="GZ56" s="167"/>
      <c r="HA56" s="86"/>
    </row>
    <row r="57" spans="1:209" x14ac:dyDescent="0.25">
      <c r="A57"/>
      <c r="D57" s="35"/>
      <c r="E57" s="36"/>
      <c r="F57" s="37"/>
      <c r="G57" s="38"/>
      <c r="H57" s="39"/>
      <c r="I57" s="40"/>
      <c r="J57" s="68"/>
      <c r="K57" s="69"/>
      <c r="L57" s="69"/>
      <c r="M57" s="70"/>
      <c r="N57" s="71"/>
      <c r="O57" s="56"/>
      <c r="P57" s="72"/>
      <c r="Q57" s="113">
        <f t="shared" si="1"/>
        <v>0</v>
      </c>
      <c r="R57" s="117"/>
      <c r="S57" s="117"/>
      <c r="T57" s="117"/>
      <c r="U57" s="39">
        <f t="shared" si="0"/>
        <v>0</v>
      </c>
      <c r="V57" s="138"/>
      <c r="W57" s="166"/>
      <c r="X57" s="86"/>
      <c r="Y57" s="68"/>
      <c r="Z57" s="167"/>
      <c r="AA57" s="168"/>
      <c r="AB57" s="169"/>
      <c r="AC57" s="168"/>
      <c r="AD57" s="170"/>
      <c r="AE57" s="171"/>
      <c r="AF57" s="68"/>
      <c r="AG57" s="68"/>
      <c r="AH57" s="68"/>
      <c r="AI57" s="167"/>
      <c r="AJ57" s="168"/>
      <c r="AK57" s="169"/>
      <c r="AL57" s="168"/>
      <c r="AM57" s="170"/>
      <c r="AN57" s="171"/>
      <c r="AO57" s="68"/>
      <c r="AP57" s="68"/>
      <c r="AQ57" s="68"/>
      <c r="AR57" s="167"/>
      <c r="AS57" s="168"/>
      <c r="AT57" s="169"/>
      <c r="AU57" s="168"/>
      <c r="AV57" s="170"/>
      <c r="AW57" s="171"/>
      <c r="AX57" s="68"/>
      <c r="AY57" s="68"/>
      <c r="AZ57" s="68"/>
      <c r="BA57" s="167"/>
      <c r="BB57" s="168"/>
      <c r="BC57" s="169"/>
      <c r="BD57" s="168"/>
      <c r="BE57" s="170"/>
      <c r="BF57" s="171"/>
      <c r="BG57" s="68"/>
      <c r="BH57" s="68"/>
      <c r="BI57" s="68"/>
      <c r="BJ57" s="167"/>
      <c r="BK57" s="168"/>
      <c r="BL57" s="169"/>
      <c r="BM57" s="168"/>
      <c r="BN57" s="170"/>
      <c r="BO57" s="171"/>
      <c r="BP57" s="68"/>
      <c r="BQ57" s="68"/>
      <c r="BR57" s="68"/>
      <c r="BS57" s="167"/>
      <c r="BT57" s="168"/>
      <c r="BU57" s="169"/>
      <c r="BV57" s="168"/>
      <c r="BW57" s="170"/>
      <c r="BX57" s="171"/>
      <c r="BY57" s="68"/>
      <c r="BZ57" s="68"/>
      <c r="CA57" s="68"/>
      <c r="CB57" s="167"/>
      <c r="CC57" s="168"/>
      <c r="CD57" s="169"/>
      <c r="CE57" s="168"/>
      <c r="CF57" s="170"/>
      <c r="CG57" s="171"/>
      <c r="CH57" s="68"/>
      <c r="CI57" s="68"/>
      <c r="CJ57" s="68"/>
      <c r="CK57" s="167"/>
      <c r="CL57" s="168"/>
      <c r="CM57" s="169"/>
      <c r="CN57" s="168"/>
      <c r="CO57" s="170"/>
      <c r="CP57" s="171"/>
      <c r="CQ57" s="68"/>
      <c r="CR57" s="68"/>
      <c r="CS57" s="68"/>
      <c r="CT57" s="167"/>
      <c r="CU57" s="168"/>
      <c r="CV57" s="169"/>
      <c r="CW57" s="168"/>
      <c r="CX57" s="170"/>
      <c r="CY57" s="171"/>
      <c r="CZ57" s="68"/>
      <c r="DA57" s="68"/>
      <c r="DB57" s="68"/>
      <c r="DC57" s="167"/>
      <c r="DD57" s="168"/>
      <c r="DE57" s="169"/>
      <c r="DF57" s="168"/>
      <c r="DG57" s="170"/>
      <c r="DH57" s="171"/>
      <c r="DI57" s="68"/>
      <c r="DJ57" s="68"/>
      <c r="DK57" s="68"/>
      <c r="DL57" s="167"/>
      <c r="DM57" s="168"/>
      <c r="DN57" s="169"/>
      <c r="DO57" s="168"/>
      <c r="DP57" s="170"/>
      <c r="DQ57" s="171"/>
      <c r="DR57" s="68"/>
      <c r="DS57" s="68"/>
      <c r="DT57" s="68"/>
      <c r="DU57" s="167"/>
      <c r="DV57" s="168"/>
      <c r="DW57" s="169"/>
      <c r="DX57" s="168"/>
      <c r="DY57" s="170"/>
      <c r="DZ57" s="171"/>
      <c r="EA57" s="68"/>
      <c r="EB57" s="68"/>
      <c r="EC57" s="68"/>
      <c r="ED57" s="167"/>
      <c r="EE57" s="168"/>
      <c r="EF57" s="169"/>
      <c r="EG57" s="168"/>
      <c r="EH57" s="170"/>
      <c r="EI57" s="171"/>
      <c r="EJ57" s="68"/>
      <c r="EK57" s="68"/>
      <c r="EL57" s="68"/>
      <c r="EM57" s="167"/>
      <c r="EN57" s="168"/>
      <c r="EO57" s="169"/>
      <c r="EP57" s="168"/>
      <c r="EQ57" s="170"/>
      <c r="ER57" s="171"/>
      <c r="ES57" s="68"/>
      <c r="ET57" s="68"/>
      <c r="EU57" s="68"/>
      <c r="EV57" s="167"/>
      <c r="EW57" s="168"/>
      <c r="EX57" s="169"/>
      <c r="EY57" s="168"/>
      <c r="EZ57" s="170"/>
      <c r="FA57" s="171"/>
      <c r="FB57" s="68"/>
      <c r="FC57" s="68"/>
      <c r="FD57" s="68"/>
      <c r="FE57" s="167"/>
      <c r="FF57" s="168"/>
      <c r="FG57" s="169"/>
      <c r="FH57" s="168"/>
      <c r="FI57" s="170"/>
      <c r="FJ57" s="171"/>
      <c r="FK57" s="68"/>
      <c r="FL57" s="68"/>
      <c r="FM57" s="68"/>
      <c r="FN57" s="167"/>
      <c r="FO57" s="168"/>
      <c r="FP57" s="169"/>
      <c r="FQ57" s="168"/>
      <c r="FR57" s="170"/>
      <c r="FS57" s="171"/>
      <c r="FT57" s="68"/>
      <c r="FU57" s="68"/>
      <c r="FV57" s="68"/>
      <c r="FW57" s="167"/>
      <c r="FX57" s="168"/>
      <c r="FY57" s="169"/>
      <c r="FZ57" s="168"/>
      <c r="GA57" s="170"/>
      <c r="GB57" s="171"/>
      <c r="GC57" s="68"/>
      <c r="GD57" s="68"/>
      <c r="GE57" s="68"/>
      <c r="GF57" s="167"/>
      <c r="GG57" s="168"/>
      <c r="GH57" s="169"/>
      <c r="GI57" s="168"/>
      <c r="GJ57" s="170"/>
      <c r="GK57" s="171"/>
      <c r="GL57" s="68"/>
      <c r="GM57" s="68"/>
      <c r="GN57" s="68"/>
      <c r="GO57" s="167"/>
      <c r="GP57" s="168"/>
      <c r="GQ57" s="169"/>
      <c r="GR57" s="168"/>
      <c r="GS57" s="170"/>
      <c r="GT57" s="171"/>
      <c r="GU57" s="171"/>
      <c r="GV57" s="64"/>
      <c r="GW57" s="65"/>
      <c r="GX57" s="66"/>
      <c r="GY57" s="66"/>
      <c r="GZ57" s="167"/>
      <c r="HA57" s="86"/>
    </row>
    <row r="58" spans="1:209" x14ac:dyDescent="0.25">
      <c r="A58"/>
      <c r="D58" s="35"/>
      <c r="E58" s="36"/>
      <c r="F58" s="37"/>
      <c r="G58" s="38"/>
      <c r="H58" s="39"/>
      <c r="I58" s="40"/>
      <c r="J58" s="68"/>
      <c r="K58" s="69"/>
      <c r="L58" s="69"/>
      <c r="M58" s="70"/>
      <c r="N58" s="71"/>
      <c r="O58" s="56"/>
      <c r="P58" s="72"/>
      <c r="Q58" s="113">
        <f t="shared" si="1"/>
        <v>0</v>
      </c>
      <c r="R58" s="117"/>
      <c r="S58" s="117"/>
      <c r="T58" s="117"/>
      <c r="U58" s="39">
        <f t="shared" si="0"/>
        <v>0</v>
      </c>
      <c r="V58" s="138"/>
      <c r="W58" s="166"/>
      <c r="X58" s="86"/>
      <c r="Y58" s="68"/>
      <c r="Z58" s="167"/>
      <c r="AA58" s="168"/>
      <c r="AB58" s="169"/>
      <c r="AC58" s="168"/>
      <c r="AD58" s="170"/>
      <c r="AE58" s="171"/>
      <c r="AF58" s="68"/>
      <c r="AG58" s="68"/>
      <c r="AH58" s="68"/>
      <c r="AI58" s="167"/>
      <c r="AJ58" s="168"/>
      <c r="AK58" s="169"/>
      <c r="AL58" s="168"/>
      <c r="AM58" s="170"/>
      <c r="AN58" s="171"/>
      <c r="AO58" s="68"/>
      <c r="AP58" s="68"/>
      <c r="AQ58" s="68"/>
      <c r="AR58" s="167"/>
      <c r="AS58" s="168"/>
      <c r="AT58" s="169"/>
      <c r="AU58" s="168"/>
      <c r="AV58" s="170"/>
      <c r="AW58" s="171"/>
      <c r="AX58" s="68"/>
      <c r="AY58" s="68"/>
      <c r="AZ58" s="68"/>
      <c r="BA58" s="167"/>
      <c r="BB58" s="168"/>
      <c r="BC58" s="169"/>
      <c r="BD58" s="168"/>
      <c r="BE58" s="170"/>
      <c r="BF58" s="171"/>
      <c r="BG58" s="68"/>
      <c r="BH58" s="68"/>
      <c r="BI58" s="68"/>
      <c r="BJ58" s="167"/>
      <c r="BK58" s="168"/>
      <c r="BL58" s="169"/>
      <c r="BM58" s="168"/>
      <c r="BN58" s="170"/>
      <c r="BO58" s="171"/>
      <c r="BP58" s="68"/>
      <c r="BQ58" s="68"/>
      <c r="BR58" s="68"/>
      <c r="BS58" s="167"/>
      <c r="BT58" s="168"/>
      <c r="BU58" s="169"/>
      <c r="BV58" s="168"/>
      <c r="BW58" s="170"/>
      <c r="BX58" s="171"/>
      <c r="BY58" s="68"/>
      <c r="BZ58" s="68"/>
      <c r="CA58" s="68"/>
      <c r="CB58" s="167"/>
      <c r="CC58" s="168"/>
      <c r="CD58" s="169"/>
      <c r="CE58" s="168"/>
      <c r="CF58" s="170"/>
      <c r="CG58" s="171"/>
      <c r="CH58" s="68"/>
      <c r="CI58" s="68"/>
      <c r="CJ58" s="68"/>
      <c r="CK58" s="167"/>
      <c r="CL58" s="168"/>
      <c r="CM58" s="169"/>
      <c r="CN58" s="168"/>
      <c r="CO58" s="170"/>
      <c r="CP58" s="171"/>
      <c r="CQ58" s="68"/>
      <c r="CR58" s="68"/>
      <c r="CS58" s="68"/>
      <c r="CT58" s="167"/>
      <c r="CU58" s="168"/>
      <c r="CV58" s="169"/>
      <c r="CW58" s="168"/>
      <c r="CX58" s="170"/>
      <c r="CY58" s="171"/>
      <c r="CZ58" s="68"/>
      <c r="DA58" s="68"/>
      <c r="DB58" s="68"/>
      <c r="DC58" s="167"/>
      <c r="DD58" s="168"/>
      <c r="DE58" s="169"/>
      <c r="DF58" s="168"/>
      <c r="DG58" s="170"/>
      <c r="DH58" s="171"/>
      <c r="DI58" s="68"/>
      <c r="DJ58" s="68"/>
      <c r="DK58" s="68"/>
      <c r="DL58" s="167"/>
      <c r="DM58" s="168"/>
      <c r="DN58" s="169"/>
      <c r="DO58" s="168"/>
      <c r="DP58" s="170"/>
      <c r="DQ58" s="171"/>
      <c r="DR58" s="68"/>
      <c r="DS58" s="68"/>
      <c r="DT58" s="68"/>
      <c r="DU58" s="167"/>
      <c r="DV58" s="168"/>
      <c r="DW58" s="169"/>
      <c r="DX58" s="168"/>
      <c r="DY58" s="170"/>
      <c r="DZ58" s="171"/>
      <c r="EA58" s="68"/>
      <c r="EB58" s="68"/>
      <c r="EC58" s="68"/>
      <c r="ED58" s="167"/>
      <c r="EE58" s="168"/>
      <c r="EF58" s="169"/>
      <c r="EG58" s="168"/>
      <c r="EH58" s="170"/>
      <c r="EI58" s="171"/>
      <c r="EJ58" s="68"/>
      <c r="EK58" s="68"/>
      <c r="EL58" s="68"/>
      <c r="EM58" s="167"/>
      <c r="EN58" s="168"/>
      <c r="EO58" s="169"/>
      <c r="EP58" s="168"/>
      <c r="EQ58" s="170"/>
      <c r="ER58" s="171"/>
      <c r="ES58" s="68"/>
      <c r="ET58" s="68"/>
      <c r="EU58" s="68"/>
      <c r="EV58" s="167"/>
      <c r="EW58" s="168"/>
      <c r="EX58" s="169"/>
      <c r="EY58" s="168"/>
      <c r="EZ58" s="170"/>
      <c r="FA58" s="171"/>
      <c r="FB58" s="68"/>
      <c r="FC58" s="68"/>
      <c r="FD58" s="68"/>
      <c r="FE58" s="167"/>
      <c r="FF58" s="168"/>
      <c r="FG58" s="169"/>
      <c r="FH58" s="168"/>
      <c r="FI58" s="170"/>
      <c r="FJ58" s="171"/>
      <c r="FK58" s="68"/>
      <c r="FL58" s="68"/>
      <c r="FM58" s="68"/>
      <c r="FN58" s="167"/>
      <c r="FO58" s="168"/>
      <c r="FP58" s="169"/>
      <c r="FQ58" s="168"/>
      <c r="FR58" s="170"/>
      <c r="FS58" s="171"/>
      <c r="FT58" s="68"/>
      <c r="FU58" s="68"/>
      <c r="FV58" s="68"/>
      <c r="FW58" s="167"/>
      <c r="FX58" s="168"/>
      <c r="FY58" s="169"/>
      <c r="FZ58" s="168"/>
      <c r="GA58" s="170"/>
      <c r="GB58" s="171"/>
      <c r="GC58" s="68"/>
      <c r="GD58" s="68"/>
      <c r="GE58" s="68"/>
      <c r="GF58" s="167"/>
      <c r="GG58" s="168"/>
      <c r="GH58" s="169"/>
      <c r="GI58" s="168"/>
      <c r="GJ58" s="170"/>
      <c r="GK58" s="171"/>
      <c r="GL58" s="68"/>
      <c r="GM58" s="68"/>
      <c r="GN58" s="68"/>
      <c r="GO58" s="167"/>
      <c r="GP58" s="168"/>
      <c r="GQ58" s="169"/>
      <c r="GR58" s="168"/>
      <c r="GS58" s="170"/>
      <c r="GT58" s="171"/>
      <c r="GU58" s="171"/>
      <c r="GV58" s="64"/>
      <c r="GW58" s="65"/>
      <c r="GX58" s="66"/>
      <c r="GY58" s="66"/>
      <c r="GZ58" s="167"/>
      <c r="HA58" s="86"/>
    </row>
    <row r="59" spans="1:209" x14ac:dyDescent="0.25">
      <c r="A59"/>
      <c r="D59" s="35"/>
      <c r="E59" s="36"/>
      <c r="F59" s="37"/>
      <c r="G59" s="38"/>
      <c r="H59" s="39"/>
      <c r="I59" s="40"/>
      <c r="J59" s="68"/>
      <c r="K59" s="69"/>
      <c r="L59" s="69"/>
      <c r="M59" s="70"/>
      <c r="N59" s="71"/>
      <c r="O59" s="56"/>
      <c r="P59" s="72"/>
      <c r="Q59" s="113">
        <f t="shared" si="1"/>
        <v>0</v>
      </c>
      <c r="R59" s="117"/>
      <c r="S59" s="117"/>
      <c r="T59" s="117"/>
      <c r="U59" s="39">
        <f t="shared" si="0"/>
        <v>0</v>
      </c>
      <c r="V59" s="138"/>
      <c r="W59" s="166"/>
      <c r="X59" s="86"/>
      <c r="Y59" s="68"/>
      <c r="Z59" s="167"/>
      <c r="AA59" s="168"/>
      <c r="AB59" s="169"/>
      <c r="AC59" s="168"/>
      <c r="AD59" s="170"/>
      <c r="AE59" s="171"/>
      <c r="AF59" s="68"/>
      <c r="AG59" s="68"/>
      <c r="AH59" s="68"/>
      <c r="AI59" s="167"/>
      <c r="AJ59" s="168"/>
      <c r="AK59" s="169"/>
      <c r="AL59" s="168"/>
      <c r="AM59" s="170"/>
      <c r="AN59" s="171"/>
      <c r="AO59" s="68"/>
      <c r="AP59" s="68"/>
      <c r="AQ59" s="68"/>
      <c r="AR59" s="167"/>
      <c r="AS59" s="168"/>
      <c r="AT59" s="169"/>
      <c r="AU59" s="168"/>
      <c r="AV59" s="170"/>
      <c r="AW59" s="171"/>
      <c r="AX59" s="68"/>
      <c r="AY59" s="68"/>
      <c r="AZ59" s="68"/>
      <c r="BA59" s="167"/>
      <c r="BB59" s="168"/>
      <c r="BC59" s="169"/>
      <c r="BD59" s="168"/>
      <c r="BE59" s="170"/>
      <c r="BF59" s="171"/>
      <c r="BG59" s="68"/>
      <c r="BH59" s="68"/>
      <c r="BI59" s="68"/>
      <c r="BJ59" s="167"/>
      <c r="BK59" s="168"/>
      <c r="BL59" s="169"/>
      <c r="BM59" s="168"/>
      <c r="BN59" s="170"/>
      <c r="BO59" s="171"/>
      <c r="BP59" s="68"/>
      <c r="BQ59" s="68"/>
      <c r="BR59" s="68"/>
      <c r="BS59" s="167"/>
      <c r="BT59" s="168"/>
      <c r="BU59" s="169"/>
      <c r="BV59" s="168"/>
      <c r="BW59" s="170"/>
      <c r="BX59" s="171"/>
      <c r="BY59" s="68"/>
      <c r="BZ59" s="68"/>
      <c r="CA59" s="68"/>
      <c r="CB59" s="167"/>
      <c r="CC59" s="168"/>
      <c r="CD59" s="169"/>
      <c r="CE59" s="168"/>
      <c r="CF59" s="170"/>
      <c r="CG59" s="171"/>
      <c r="CH59" s="68"/>
      <c r="CI59" s="68"/>
      <c r="CJ59" s="68"/>
      <c r="CK59" s="167"/>
      <c r="CL59" s="168"/>
      <c r="CM59" s="169"/>
      <c r="CN59" s="168"/>
      <c r="CO59" s="170"/>
      <c r="CP59" s="171"/>
      <c r="CQ59" s="68"/>
      <c r="CR59" s="68"/>
      <c r="CS59" s="68"/>
      <c r="CT59" s="167"/>
      <c r="CU59" s="168"/>
      <c r="CV59" s="169"/>
      <c r="CW59" s="168"/>
      <c r="CX59" s="170"/>
      <c r="CY59" s="171"/>
      <c r="CZ59" s="68"/>
      <c r="DA59" s="68"/>
      <c r="DB59" s="68"/>
      <c r="DC59" s="167"/>
      <c r="DD59" s="168"/>
      <c r="DE59" s="169"/>
      <c r="DF59" s="168"/>
      <c r="DG59" s="170"/>
      <c r="DH59" s="171"/>
      <c r="DI59" s="68"/>
      <c r="DJ59" s="68"/>
      <c r="DK59" s="68"/>
      <c r="DL59" s="167"/>
      <c r="DM59" s="168"/>
      <c r="DN59" s="169"/>
      <c r="DO59" s="168"/>
      <c r="DP59" s="170"/>
      <c r="DQ59" s="171"/>
      <c r="DR59" s="68"/>
      <c r="DS59" s="68"/>
      <c r="DT59" s="68"/>
      <c r="DU59" s="167"/>
      <c r="DV59" s="168"/>
      <c r="DW59" s="169"/>
      <c r="DX59" s="168"/>
      <c r="DY59" s="170"/>
      <c r="DZ59" s="171"/>
      <c r="EA59" s="68"/>
      <c r="EB59" s="68"/>
      <c r="EC59" s="68"/>
      <c r="ED59" s="167"/>
      <c r="EE59" s="168"/>
      <c r="EF59" s="169"/>
      <c r="EG59" s="168"/>
      <c r="EH59" s="170"/>
      <c r="EI59" s="171"/>
      <c r="EJ59" s="68"/>
      <c r="EK59" s="68"/>
      <c r="EL59" s="68"/>
      <c r="EM59" s="167"/>
      <c r="EN59" s="168"/>
      <c r="EO59" s="169"/>
      <c r="EP59" s="168"/>
      <c r="EQ59" s="170"/>
      <c r="ER59" s="171"/>
      <c r="ES59" s="68"/>
      <c r="ET59" s="68"/>
      <c r="EU59" s="68"/>
      <c r="EV59" s="167"/>
      <c r="EW59" s="168"/>
      <c r="EX59" s="169"/>
      <c r="EY59" s="168"/>
      <c r="EZ59" s="170"/>
      <c r="FA59" s="171"/>
      <c r="FB59" s="68"/>
      <c r="FC59" s="68"/>
      <c r="FD59" s="68"/>
      <c r="FE59" s="167"/>
      <c r="FF59" s="168"/>
      <c r="FG59" s="169"/>
      <c r="FH59" s="168"/>
      <c r="FI59" s="170"/>
      <c r="FJ59" s="171"/>
      <c r="FK59" s="68"/>
      <c r="FL59" s="68"/>
      <c r="FM59" s="68"/>
      <c r="FN59" s="167"/>
      <c r="FO59" s="168"/>
      <c r="FP59" s="169"/>
      <c r="FQ59" s="168"/>
      <c r="FR59" s="170"/>
      <c r="FS59" s="171"/>
      <c r="FT59" s="68"/>
      <c r="FU59" s="68"/>
      <c r="FV59" s="68"/>
      <c r="FW59" s="167"/>
      <c r="FX59" s="168"/>
      <c r="FY59" s="169"/>
      <c r="FZ59" s="168"/>
      <c r="GA59" s="170"/>
      <c r="GB59" s="171"/>
      <c r="GC59" s="68"/>
      <c r="GD59" s="68"/>
      <c r="GE59" s="68"/>
      <c r="GF59" s="167"/>
      <c r="GG59" s="168"/>
      <c r="GH59" s="169"/>
      <c r="GI59" s="168"/>
      <c r="GJ59" s="170"/>
      <c r="GK59" s="171"/>
      <c r="GL59" s="68"/>
      <c r="GM59" s="68"/>
      <c r="GN59" s="68"/>
      <c r="GO59" s="167"/>
      <c r="GP59" s="168"/>
      <c r="GQ59" s="169"/>
      <c r="GR59" s="168"/>
      <c r="GS59" s="170"/>
      <c r="GT59" s="171"/>
      <c r="GU59" s="171"/>
      <c r="GV59" s="64"/>
      <c r="GW59" s="65"/>
      <c r="GX59" s="66"/>
      <c r="GY59" s="66"/>
      <c r="GZ59" s="167"/>
      <c r="HA59" s="86"/>
    </row>
    <row r="60" spans="1:209" x14ac:dyDescent="0.25">
      <c r="A60"/>
      <c r="D60" s="35"/>
      <c r="E60" s="36"/>
      <c r="F60" s="37"/>
      <c r="G60" s="38"/>
      <c r="H60" s="39"/>
      <c r="I60" s="40"/>
      <c r="J60" s="68"/>
      <c r="K60" s="69"/>
      <c r="L60" s="69"/>
      <c r="M60" s="70"/>
      <c r="N60" s="71"/>
      <c r="O60" s="56"/>
      <c r="P60" s="72"/>
      <c r="Q60" s="113">
        <f t="shared" si="1"/>
        <v>0</v>
      </c>
      <c r="R60" s="117"/>
      <c r="S60" s="117"/>
      <c r="T60" s="117"/>
      <c r="U60" s="39">
        <f t="shared" si="0"/>
        <v>0</v>
      </c>
      <c r="V60" s="138"/>
      <c r="W60" s="172"/>
      <c r="X60" s="86"/>
      <c r="Y60" s="68"/>
      <c r="Z60" s="167"/>
      <c r="AA60" s="168"/>
      <c r="AB60" s="169"/>
      <c r="AC60" s="168"/>
      <c r="AD60" s="170"/>
      <c r="AE60" s="171"/>
      <c r="AF60" s="68"/>
      <c r="AG60" s="68"/>
      <c r="AH60" s="68"/>
      <c r="AI60" s="167"/>
      <c r="AJ60" s="168"/>
      <c r="AK60" s="169"/>
      <c r="AL60" s="168"/>
      <c r="AM60" s="170"/>
      <c r="AN60" s="171"/>
      <c r="AO60" s="68"/>
      <c r="AP60" s="68"/>
      <c r="AQ60" s="68"/>
      <c r="AR60" s="167"/>
      <c r="AS60" s="168"/>
      <c r="AT60" s="169"/>
      <c r="AU60" s="168"/>
      <c r="AV60" s="170"/>
      <c r="AW60" s="171"/>
      <c r="AX60" s="68"/>
      <c r="AY60" s="68"/>
      <c r="AZ60" s="68"/>
      <c r="BA60" s="167"/>
      <c r="BB60" s="168"/>
      <c r="BC60" s="169"/>
      <c r="BD60" s="168"/>
      <c r="BE60" s="170"/>
      <c r="BF60" s="171"/>
      <c r="BG60" s="68"/>
      <c r="BH60" s="68"/>
      <c r="BI60" s="68"/>
      <c r="BJ60" s="167"/>
      <c r="BK60" s="168"/>
      <c r="BL60" s="169"/>
      <c r="BM60" s="168"/>
      <c r="BN60" s="170"/>
      <c r="BO60" s="171"/>
      <c r="BP60" s="68"/>
      <c r="BQ60" s="68"/>
      <c r="BR60" s="68"/>
      <c r="BS60" s="167"/>
      <c r="BT60" s="168"/>
      <c r="BU60" s="169"/>
      <c r="BV60" s="168"/>
      <c r="BW60" s="170"/>
      <c r="BX60" s="171"/>
      <c r="BY60" s="68"/>
      <c r="BZ60" s="68"/>
      <c r="CA60" s="68"/>
      <c r="CB60" s="167"/>
      <c r="CC60" s="168"/>
      <c r="CD60" s="169"/>
      <c r="CE60" s="168"/>
      <c r="CF60" s="170"/>
      <c r="CG60" s="171"/>
      <c r="CH60" s="68"/>
      <c r="CI60" s="68"/>
      <c r="CJ60" s="68"/>
      <c r="CK60" s="167"/>
      <c r="CL60" s="168"/>
      <c r="CM60" s="169"/>
      <c r="CN60" s="168"/>
      <c r="CO60" s="170"/>
      <c r="CP60" s="171"/>
      <c r="CQ60" s="68"/>
      <c r="CR60" s="68"/>
      <c r="CS60" s="68"/>
      <c r="CT60" s="167"/>
      <c r="CU60" s="168"/>
      <c r="CV60" s="169"/>
      <c r="CW60" s="168"/>
      <c r="CX60" s="170"/>
      <c r="CY60" s="171"/>
      <c r="CZ60" s="68"/>
      <c r="DA60" s="68"/>
      <c r="DB60" s="68"/>
      <c r="DC60" s="167"/>
      <c r="DD60" s="168"/>
      <c r="DE60" s="169"/>
      <c r="DF60" s="168"/>
      <c r="DG60" s="170"/>
      <c r="DH60" s="171"/>
      <c r="DI60" s="68"/>
      <c r="DJ60" s="68"/>
      <c r="DK60" s="68"/>
      <c r="DL60" s="167"/>
      <c r="DM60" s="168"/>
      <c r="DN60" s="169"/>
      <c r="DO60" s="168"/>
      <c r="DP60" s="170"/>
      <c r="DQ60" s="171"/>
      <c r="DR60" s="68"/>
      <c r="DS60" s="68"/>
      <c r="DT60" s="68"/>
      <c r="DU60" s="167"/>
      <c r="DV60" s="168"/>
      <c r="DW60" s="169"/>
      <c r="DX60" s="168"/>
      <c r="DY60" s="170"/>
      <c r="DZ60" s="171"/>
      <c r="EA60" s="68"/>
      <c r="EB60" s="68"/>
      <c r="EC60" s="68"/>
      <c r="ED60" s="167"/>
      <c r="EE60" s="168"/>
      <c r="EF60" s="169"/>
      <c r="EG60" s="168"/>
      <c r="EH60" s="170"/>
      <c r="EI60" s="171"/>
      <c r="EJ60" s="68"/>
      <c r="EK60" s="68"/>
      <c r="EL60" s="68"/>
      <c r="EM60" s="167"/>
      <c r="EN60" s="168"/>
      <c r="EO60" s="169"/>
      <c r="EP60" s="168"/>
      <c r="EQ60" s="170"/>
      <c r="ER60" s="171"/>
      <c r="ES60" s="68"/>
      <c r="ET60" s="68"/>
      <c r="EU60" s="68"/>
      <c r="EV60" s="167"/>
      <c r="EW60" s="168"/>
      <c r="EX60" s="169"/>
      <c r="EY60" s="168"/>
      <c r="EZ60" s="170"/>
      <c r="FA60" s="171"/>
      <c r="FB60" s="68"/>
      <c r="FC60" s="68"/>
      <c r="FD60" s="68"/>
      <c r="FE60" s="167"/>
      <c r="FF60" s="168"/>
      <c r="FG60" s="169"/>
      <c r="FH60" s="168"/>
      <c r="FI60" s="170"/>
      <c r="FJ60" s="171"/>
      <c r="FK60" s="68"/>
      <c r="FL60" s="68"/>
      <c r="FM60" s="68"/>
      <c r="FN60" s="167"/>
      <c r="FO60" s="168"/>
      <c r="FP60" s="169"/>
      <c r="FQ60" s="168"/>
      <c r="FR60" s="170"/>
      <c r="FS60" s="171"/>
      <c r="FT60" s="68"/>
      <c r="FU60" s="68"/>
      <c r="FV60" s="68"/>
      <c r="FW60" s="167"/>
      <c r="FX60" s="168"/>
      <c r="FY60" s="169"/>
      <c r="FZ60" s="168"/>
      <c r="GA60" s="170"/>
      <c r="GB60" s="171"/>
      <c r="GC60" s="68"/>
      <c r="GD60" s="68"/>
      <c r="GE60" s="68"/>
      <c r="GF60" s="167"/>
      <c r="GG60" s="168"/>
      <c r="GH60" s="169"/>
      <c r="GI60" s="168"/>
      <c r="GJ60" s="170"/>
      <c r="GK60" s="171"/>
      <c r="GL60" s="68"/>
      <c r="GM60" s="68"/>
      <c r="GN60" s="68"/>
      <c r="GO60" s="167"/>
      <c r="GP60" s="168"/>
      <c r="GQ60" s="169"/>
      <c r="GR60" s="168"/>
      <c r="GS60" s="170"/>
      <c r="GT60" s="171"/>
      <c r="GU60" s="171"/>
      <c r="GV60" s="64"/>
      <c r="GW60" s="65"/>
      <c r="GX60" s="66"/>
      <c r="GY60" s="66"/>
      <c r="GZ60" s="167"/>
      <c r="HA60" s="86"/>
    </row>
    <row r="61" spans="1:209" x14ac:dyDescent="0.25">
      <c r="A61"/>
      <c r="D61" s="35"/>
      <c r="E61" s="36"/>
      <c r="F61" s="37"/>
      <c r="G61" s="38"/>
      <c r="H61" s="39"/>
      <c r="I61" s="40"/>
      <c r="J61" s="68"/>
      <c r="K61" s="69"/>
      <c r="L61" s="69"/>
      <c r="M61" s="70"/>
      <c r="N61" s="71"/>
      <c r="O61" s="173"/>
      <c r="P61" s="72"/>
      <c r="Q61" s="113">
        <f t="shared" si="1"/>
        <v>0</v>
      </c>
      <c r="R61" s="117"/>
      <c r="S61" s="117"/>
      <c r="T61" s="117"/>
      <c r="U61" s="39">
        <f t="shared" si="0"/>
        <v>0</v>
      </c>
      <c r="V61" s="138"/>
      <c r="W61" s="172"/>
      <c r="X61" s="86"/>
      <c r="Y61" s="68"/>
      <c r="Z61" s="167"/>
      <c r="AA61" s="168"/>
      <c r="AB61" s="169"/>
      <c r="AC61" s="168"/>
      <c r="AD61" s="170"/>
      <c r="AE61" s="171"/>
      <c r="AF61" s="68"/>
      <c r="AG61" s="68"/>
      <c r="AH61" s="68"/>
      <c r="AI61" s="167"/>
      <c r="AJ61" s="168"/>
      <c r="AK61" s="169"/>
      <c r="AL61" s="168"/>
      <c r="AM61" s="170"/>
      <c r="AN61" s="171"/>
      <c r="AO61" s="68"/>
      <c r="AP61" s="68"/>
      <c r="AQ61" s="68"/>
      <c r="AR61" s="167"/>
      <c r="AS61" s="168"/>
      <c r="AT61" s="169"/>
      <c r="AU61" s="168"/>
      <c r="AV61" s="170"/>
      <c r="AW61" s="171"/>
      <c r="AX61" s="68"/>
      <c r="AY61" s="68"/>
      <c r="AZ61" s="68"/>
      <c r="BA61" s="167"/>
      <c r="BB61" s="168"/>
      <c r="BC61" s="169"/>
      <c r="BD61" s="168"/>
      <c r="BE61" s="170"/>
      <c r="BF61" s="171"/>
      <c r="BG61" s="68"/>
      <c r="BH61" s="68"/>
      <c r="BI61" s="68"/>
      <c r="BJ61" s="167"/>
      <c r="BK61" s="168"/>
      <c r="BL61" s="169"/>
      <c r="BM61" s="168"/>
      <c r="BN61" s="170"/>
      <c r="BO61" s="171"/>
      <c r="BP61" s="68"/>
      <c r="BQ61" s="68"/>
      <c r="BR61" s="68"/>
      <c r="BS61" s="167"/>
      <c r="BT61" s="168"/>
      <c r="BU61" s="169"/>
      <c r="BV61" s="168"/>
      <c r="BW61" s="170"/>
      <c r="BX61" s="171"/>
      <c r="BY61" s="68"/>
      <c r="BZ61" s="68"/>
      <c r="CA61" s="68"/>
      <c r="CB61" s="167"/>
      <c r="CC61" s="168"/>
      <c r="CD61" s="169"/>
      <c r="CE61" s="168"/>
      <c r="CF61" s="170"/>
      <c r="CG61" s="171"/>
      <c r="CH61" s="68"/>
      <c r="CI61" s="68"/>
      <c r="CJ61" s="68"/>
      <c r="CK61" s="167"/>
      <c r="CL61" s="168"/>
      <c r="CM61" s="169"/>
      <c r="CN61" s="168"/>
      <c r="CO61" s="170"/>
      <c r="CP61" s="171"/>
      <c r="CQ61" s="68"/>
      <c r="CR61" s="68"/>
      <c r="CS61" s="68"/>
      <c r="CT61" s="167"/>
      <c r="CU61" s="168"/>
      <c r="CV61" s="169"/>
      <c r="CW61" s="168"/>
      <c r="CX61" s="170"/>
      <c r="CY61" s="171"/>
      <c r="CZ61" s="68"/>
      <c r="DA61" s="68"/>
      <c r="DB61" s="68"/>
      <c r="DC61" s="167"/>
      <c r="DD61" s="168"/>
      <c r="DE61" s="169"/>
      <c r="DF61" s="168"/>
      <c r="DG61" s="170"/>
      <c r="DH61" s="171"/>
      <c r="DI61" s="68"/>
      <c r="DJ61" s="68"/>
      <c r="DK61" s="68"/>
      <c r="DL61" s="167"/>
      <c r="DM61" s="168"/>
      <c r="DN61" s="169"/>
      <c r="DO61" s="168"/>
      <c r="DP61" s="170"/>
      <c r="DQ61" s="171"/>
      <c r="DR61" s="68"/>
      <c r="DS61" s="68"/>
      <c r="DT61" s="68"/>
      <c r="DU61" s="167"/>
      <c r="DV61" s="168"/>
      <c r="DW61" s="169"/>
      <c r="DX61" s="168"/>
      <c r="DY61" s="170"/>
      <c r="DZ61" s="171"/>
      <c r="EA61" s="68"/>
      <c r="EB61" s="68"/>
      <c r="EC61" s="68"/>
      <c r="ED61" s="167"/>
      <c r="EE61" s="168"/>
      <c r="EF61" s="169"/>
      <c r="EG61" s="168"/>
      <c r="EH61" s="170"/>
      <c r="EI61" s="171"/>
      <c r="EJ61" s="68"/>
      <c r="EK61" s="68"/>
      <c r="EL61" s="68"/>
      <c r="EM61" s="167"/>
      <c r="EN61" s="168"/>
      <c r="EO61" s="169"/>
      <c r="EP61" s="168"/>
      <c r="EQ61" s="170"/>
      <c r="ER61" s="171"/>
      <c r="ES61" s="68"/>
      <c r="ET61" s="68"/>
      <c r="EU61" s="68"/>
      <c r="EV61" s="167"/>
      <c r="EW61" s="168"/>
      <c r="EX61" s="169"/>
      <c r="EY61" s="168"/>
      <c r="EZ61" s="170"/>
      <c r="FA61" s="171"/>
      <c r="FB61" s="68"/>
      <c r="FC61" s="68"/>
      <c r="FD61" s="68"/>
      <c r="FE61" s="167"/>
      <c r="FF61" s="168"/>
      <c r="FG61" s="169"/>
      <c r="FH61" s="168"/>
      <c r="FI61" s="170"/>
      <c r="FJ61" s="171"/>
      <c r="FK61" s="68"/>
      <c r="FL61" s="68"/>
      <c r="FM61" s="68"/>
      <c r="FN61" s="167"/>
      <c r="FO61" s="168"/>
      <c r="FP61" s="169"/>
      <c r="FQ61" s="168"/>
      <c r="FR61" s="170"/>
      <c r="FS61" s="171"/>
      <c r="FT61" s="68"/>
      <c r="FU61" s="68"/>
      <c r="FV61" s="68"/>
      <c r="FW61" s="167"/>
      <c r="FX61" s="168"/>
      <c r="FY61" s="169"/>
      <c r="FZ61" s="168"/>
      <c r="GA61" s="170"/>
      <c r="GB61" s="171"/>
      <c r="GC61" s="68"/>
      <c r="GD61" s="68"/>
      <c r="GE61" s="68"/>
      <c r="GF61" s="167"/>
      <c r="GG61" s="168"/>
      <c r="GH61" s="169"/>
      <c r="GI61" s="168"/>
      <c r="GJ61" s="170"/>
      <c r="GK61" s="171"/>
      <c r="GL61" s="68"/>
      <c r="GM61" s="68"/>
      <c r="GN61" s="68"/>
      <c r="GO61" s="167"/>
      <c r="GP61" s="168"/>
      <c r="GQ61" s="169"/>
      <c r="GR61" s="168"/>
      <c r="GS61" s="170"/>
      <c r="GT61" s="171"/>
      <c r="GU61" s="171"/>
      <c r="GV61" s="64"/>
      <c r="GW61" s="65"/>
      <c r="GX61" s="66"/>
      <c r="GY61" s="66"/>
      <c r="GZ61" s="167"/>
      <c r="HA61" s="86"/>
    </row>
    <row r="62" spans="1:209" x14ac:dyDescent="0.25">
      <c r="A62"/>
      <c r="D62" s="35"/>
      <c r="E62" s="36"/>
      <c r="F62" s="37"/>
      <c r="G62" s="38"/>
      <c r="H62" s="39"/>
      <c r="I62" s="40"/>
      <c r="J62" s="174"/>
      <c r="K62" s="69"/>
      <c r="L62" s="69"/>
      <c r="M62" s="70"/>
      <c r="N62" s="71"/>
      <c r="O62" s="175"/>
      <c r="P62" s="72"/>
      <c r="Q62" s="113">
        <f t="shared" si="1"/>
        <v>0</v>
      </c>
      <c r="R62" s="117"/>
      <c r="S62" s="117"/>
      <c r="T62" s="117"/>
      <c r="U62" s="39">
        <f t="shared" si="0"/>
        <v>0</v>
      </c>
      <c r="V62" s="138"/>
      <c r="W62" s="172"/>
      <c r="X62" s="86"/>
      <c r="Y62" s="68"/>
      <c r="Z62" s="167"/>
      <c r="AA62" s="168"/>
      <c r="AB62" s="169"/>
      <c r="AC62" s="168"/>
      <c r="AD62" s="170"/>
      <c r="AE62" s="171"/>
      <c r="AF62" s="68"/>
      <c r="AG62" s="68"/>
      <c r="AH62" s="68"/>
      <c r="AI62" s="167"/>
      <c r="AJ62" s="168"/>
      <c r="AK62" s="169"/>
      <c r="AL62" s="168"/>
      <c r="AM62" s="170"/>
      <c r="AN62" s="171"/>
      <c r="AO62" s="68"/>
      <c r="AP62" s="68"/>
      <c r="AQ62" s="68"/>
      <c r="AR62" s="167"/>
      <c r="AS62" s="168"/>
      <c r="AT62" s="169"/>
      <c r="AU62" s="168"/>
      <c r="AV62" s="170"/>
      <c r="AW62" s="171"/>
      <c r="AX62" s="68"/>
      <c r="AY62" s="68"/>
      <c r="AZ62" s="68"/>
      <c r="BA62" s="167"/>
      <c r="BB62" s="168"/>
      <c r="BC62" s="169"/>
      <c r="BD62" s="168"/>
      <c r="BE62" s="170"/>
      <c r="BF62" s="171"/>
      <c r="BG62" s="68"/>
      <c r="BH62" s="68"/>
      <c r="BI62" s="68"/>
      <c r="BJ62" s="167"/>
      <c r="BK62" s="168"/>
      <c r="BL62" s="169"/>
      <c r="BM62" s="168"/>
      <c r="BN62" s="170"/>
      <c r="BO62" s="171"/>
      <c r="BP62" s="68"/>
      <c r="BQ62" s="68"/>
      <c r="BR62" s="68"/>
      <c r="BS62" s="167"/>
      <c r="BT62" s="168"/>
      <c r="BU62" s="169"/>
      <c r="BV62" s="168"/>
      <c r="BW62" s="170"/>
      <c r="BX62" s="171"/>
      <c r="BY62" s="68"/>
      <c r="BZ62" s="68"/>
      <c r="CA62" s="68"/>
      <c r="CB62" s="167"/>
      <c r="CC62" s="168"/>
      <c r="CD62" s="169"/>
      <c r="CE62" s="168"/>
      <c r="CF62" s="170"/>
      <c r="CG62" s="171"/>
      <c r="CH62" s="68"/>
      <c r="CI62" s="68"/>
      <c r="CJ62" s="68"/>
      <c r="CK62" s="167"/>
      <c r="CL62" s="168"/>
      <c r="CM62" s="169"/>
      <c r="CN62" s="168"/>
      <c r="CO62" s="170"/>
      <c r="CP62" s="171"/>
      <c r="CQ62" s="68"/>
      <c r="CR62" s="68"/>
      <c r="CS62" s="68"/>
      <c r="CT62" s="167"/>
      <c r="CU62" s="168"/>
      <c r="CV62" s="169"/>
      <c r="CW62" s="168"/>
      <c r="CX62" s="170"/>
      <c r="CY62" s="171"/>
      <c r="CZ62" s="68"/>
      <c r="DA62" s="68"/>
      <c r="DB62" s="68"/>
      <c r="DC62" s="167"/>
      <c r="DD62" s="168"/>
      <c r="DE62" s="169"/>
      <c r="DF62" s="168"/>
      <c r="DG62" s="170"/>
      <c r="DH62" s="171"/>
      <c r="DI62" s="68"/>
      <c r="DJ62" s="68"/>
      <c r="DK62" s="68"/>
      <c r="DL62" s="167"/>
      <c r="DM62" s="168"/>
      <c r="DN62" s="169"/>
      <c r="DO62" s="168"/>
      <c r="DP62" s="170"/>
      <c r="DQ62" s="171"/>
      <c r="DR62" s="68"/>
      <c r="DS62" s="68"/>
      <c r="DT62" s="68"/>
      <c r="DU62" s="167"/>
      <c r="DV62" s="168"/>
      <c r="DW62" s="169"/>
      <c r="DX62" s="168"/>
      <c r="DY62" s="170"/>
      <c r="DZ62" s="171"/>
      <c r="EA62" s="68"/>
      <c r="EB62" s="68"/>
      <c r="EC62" s="68"/>
      <c r="ED62" s="167"/>
      <c r="EE62" s="168"/>
      <c r="EF62" s="169"/>
      <c r="EG62" s="168"/>
      <c r="EH62" s="170"/>
      <c r="EI62" s="171"/>
      <c r="EJ62" s="68"/>
      <c r="EK62" s="68"/>
      <c r="EL62" s="68"/>
      <c r="EM62" s="167"/>
      <c r="EN62" s="168"/>
      <c r="EO62" s="169"/>
      <c r="EP62" s="168"/>
      <c r="EQ62" s="170"/>
      <c r="ER62" s="171"/>
      <c r="ES62" s="68"/>
      <c r="ET62" s="68"/>
      <c r="EU62" s="68"/>
      <c r="EV62" s="167"/>
      <c r="EW62" s="168"/>
      <c r="EX62" s="169"/>
      <c r="EY62" s="168"/>
      <c r="EZ62" s="170"/>
      <c r="FA62" s="171"/>
      <c r="FB62" s="68"/>
      <c r="FC62" s="68"/>
      <c r="FD62" s="68"/>
      <c r="FE62" s="167"/>
      <c r="FF62" s="168"/>
      <c r="FG62" s="169"/>
      <c r="FH62" s="168"/>
      <c r="FI62" s="170"/>
      <c r="FJ62" s="171"/>
      <c r="FK62" s="68"/>
      <c r="FL62" s="68"/>
      <c r="FM62" s="68"/>
      <c r="FN62" s="167"/>
      <c r="FO62" s="168"/>
      <c r="FP62" s="169"/>
      <c r="FQ62" s="168"/>
      <c r="FR62" s="170"/>
      <c r="FS62" s="171"/>
      <c r="FT62" s="68"/>
      <c r="FU62" s="68"/>
      <c r="FV62" s="68"/>
      <c r="FW62" s="167"/>
      <c r="FX62" s="168"/>
      <c r="FY62" s="169"/>
      <c r="FZ62" s="168"/>
      <c r="GA62" s="170"/>
      <c r="GB62" s="171"/>
      <c r="GC62" s="68"/>
      <c r="GD62" s="68"/>
      <c r="GE62" s="68"/>
      <c r="GF62" s="167"/>
      <c r="GG62" s="168"/>
      <c r="GH62" s="169"/>
      <c r="GI62" s="168"/>
      <c r="GJ62" s="170"/>
      <c r="GK62" s="171"/>
      <c r="GL62" s="68"/>
      <c r="GM62" s="68"/>
      <c r="GN62" s="68"/>
      <c r="GO62" s="167"/>
      <c r="GP62" s="168"/>
      <c r="GQ62" s="169"/>
      <c r="GR62" s="168"/>
      <c r="GS62" s="170"/>
      <c r="GT62" s="171"/>
      <c r="GU62" s="171"/>
      <c r="GV62" s="64"/>
      <c r="GW62" s="65"/>
      <c r="GX62" s="66"/>
      <c r="GY62" s="66"/>
      <c r="GZ62" s="391"/>
      <c r="HA62" s="67"/>
    </row>
    <row r="63" spans="1:209" x14ac:dyDescent="0.25">
      <c r="A63"/>
      <c r="D63" s="35"/>
      <c r="E63" s="36"/>
      <c r="F63" s="37"/>
      <c r="G63" s="38"/>
      <c r="H63" s="39"/>
      <c r="I63" s="40"/>
      <c r="J63" s="177"/>
      <c r="K63" s="178"/>
      <c r="O63" s="179"/>
      <c r="Q63" s="27"/>
      <c r="R63" s="180"/>
      <c r="S63" s="180"/>
      <c r="T63" s="180"/>
      <c r="U63" s="39">
        <f t="shared" si="0"/>
        <v>0</v>
      </c>
      <c r="V63" s="181"/>
      <c r="W63" s="182"/>
      <c r="X63" s="30"/>
      <c r="Y63" s="8"/>
      <c r="Z63" s="183"/>
      <c r="AA63" s="184"/>
      <c r="AB63" s="185"/>
      <c r="AC63" s="184"/>
      <c r="AD63" s="186"/>
      <c r="AE63" s="187"/>
      <c r="AF63" s="8"/>
      <c r="AG63" s="8"/>
      <c r="AH63" s="188"/>
      <c r="AI63" s="183"/>
      <c r="AJ63" s="184"/>
      <c r="AK63" s="185"/>
      <c r="AL63" s="28"/>
      <c r="AM63" s="186"/>
      <c r="AN63" s="187"/>
      <c r="AO63" s="8"/>
      <c r="AP63" s="8"/>
      <c r="AQ63" s="188"/>
      <c r="AR63" s="183"/>
      <c r="AS63" s="184"/>
      <c r="AT63" s="185"/>
      <c r="AU63" s="184"/>
      <c r="AV63" s="186"/>
      <c r="AW63" s="187"/>
      <c r="AX63" s="8"/>
      <c r="AY63" s="8"/>
      <c r="AZ63" s="188"/>
      <c r="BA63" s="183"/>
      <c r="BB63" s="184"/>
      <c r="BC63" s="185"/>
      <c r="BD63" s="28"/>
      <c r="BE63" s="186"/>
      <c r="BF63" s="187"/>
      <c r="BG63" s="8"/>
      <c r="BH63" s="8"/>
      <c r="BI63" s="188"/>
      <c r="BJ63" s="183"/>
      <c r="BK63" s="184"/>
      <c r="BL63" s="185"/>
      <c r="BM63" s="28"/>
      <c r="BN63" s="186"/>
      <c r="BO63" s="187"/>
      <c r="BP63" s="8"/>
      <c r="BQ63" s="8"/>
      <c r="BR63" s="188"/>
      <c r="BS63" s="183"/>
      <c r="BT63" s="184"/>
      <c r="BU63" s="185"/>
      <c r="BV63" s="184"/>
      <c r="BW63" s="186"/>
      <c r="BX63" s="187"/>
      <c r="BY63" s="8"/>
      <c r="BZ63" s="8"/>
      <c r="CA63" s="188"/>
      <c r="CB63" s="183"/>
      <c r="CC63" s="184"/>
      <c r="CD63" s="185"/>
      <c r="CE63" s="184"/>
      <c r="CF63" s="186"/>
      <c r="CG63" s="187"/>
      <c r="CH63" s="8"/>
      <c r="CI63" s="8"/>
      <c r="CJ63" s="188"/>
      <c r="CK63" s="183"/>
      <c r="CL63" s="184"/>
      <c r="CM63" s="185"/>
      <c r="CN63" s="184"/>
      <c r="CO63" s="186"/>
      <c r="CP63" s="187"/>
      <c r="CQ63" s="8"/>
      <c r="CR63" s="8"/>
      <c r="CS63" s="188"/>
      <c r="CT63" s="183"/>
      <c r="CU63" s="184"/>
      <c r="CV63" s="189"/>
      <c r="CW63" s="28"/>
      <c r="CX63" s="190"/>
      <c r="CY63" s="187"/>
      <c r="CZ63" s="8"/>
      <c r="DA63" s="8"/>
      <c r="DB63" s="188"/>
      <c r="DC63" s="183"/>
      <c r="DD63" s="184"/>
      <c r="DE63" s="185"/>
      <c r="DF63" s="184"/>
      <c r="DG63" s="186"/>
      <c r="DH63" s="187"/>
      <c r="DI63" s="8"/>
      <c r="DJ63" s="8"/>
      <c r="DK63" s="188"/>
      <c r="DL63" s="183"/>
      <c r="DM63" s="184"/>
      <c r="DN63" s="189"/>
      <c r="DO63" s="28"/>
      <c r="DP63" s="190"/>
      <c r="DQ63" s="187"/>
      <c r="DR63" s="8"/>
      <c r="DS63" s="8"/>
      <c r="DT63" s="188"/>
      <c r="DU63" s="183"/>
      <c r="DV63" s="184"/>
      <c r="DW63" s="185"/>
      <c r="DX63" s="184"/>
      <c r="DY63" s="186"/>
      <c r="DZ63" s="187"/>
      <c r="EA63" s="8"/>
      <c r="EB63" s="8"/>
      <c r="EC63" s="188"/>
      <c r="ED63" s="183"/>
      <c r="EE63" s="184"/>
      <c r="EF63" s="189"/>
      <c r="EG63" s="28"/>
      <c r="EH63" s="190"/>
      <c r="EI63" s="187"/>
      <c r="EJ63" s="8"/>
      <c r="EK63" s="8"/>
      <c r="EL63" s="188"/>
      <c r="EM63" s="183"/>
      <c r="EN63" s="184"/>
      <c r="EO63" s="189"/>
      <c r="EP63" s="28"/>
      <c r="EQ63" s="190"/>
      <c r="ER63" s="187"/>
      <c r="ES63" s="8"/>
      <c r="ET63" s="8"/>
      <c r="EU63" s="188"/>
      <c r="EV63" s="183"/>
      <c r="EW63" s="184"/>
      <c r="EX63" s="185"/>
      <c r="EY63" s="184"/>
      <c r="EZ63" s="186"/>
      <c r="FA63" s="187"/>
      <c r="FB63" s="8"/>
      <c r="FC63" s="8"/>
      <c r="FD63" s="188"/>
      <c r="FE63" s="183"/>
      <c r="FF63" s="184"/>
      <c r="FG63" s="185"/>
      <c r="FH63" s="184"/>
      <c r="FI63" s="186"/>
      <c r="FJ63" s="187"/>
      <c r="FK63" s="8"/>
      <c r="FL63" s="8"/>
      <c r="FM63" s="188"/>
      <c r="FN63" s="183"/>
      <c r="FO63" s="184"/>
      <c r="FP63" s="185"/>
      <c r="FQ63" s="184"/>
      <c r="FR63" s="186"/>
      <c r="FS63" s="187"/>
      <c r="FT63" s="8"/>
      <c r="FU63" s="8"/>
      <c r="FV63" s="188"/>
      <c r="FW63" s="183"/>
      <c r="FX63" s="184"/>
      <c r="FY63" s="185"/>
      <c r="FZ63" s="184"/>
      <c r="GA63" s="186"/>
      <c r="GB63" s="187"/>
      <c r="GC63" s="8"/>
      <c r="GD63" s="8"/>
      <c r="GE63" s="188"/>
      <c r="GF63" s="183"/>
      <c r="GG63" s="184"/>
      <c r="GH63" s="185"/>
      <c r="GI63" s="184"/>
      <c r="GJ63" s="186"/>
      <c r="GK63" s="187"/>
      <c r="GL63" s="8"/>
      <c r="GM63" s="8"/>
      <c r="GN63" s="188"/>
      <c r="GO63" s="183"/>
      <c r="GP63" s="184"/>
      <c r="GQ63" s="185"/>
      <c r="GR63" s="184"/>
      <c r="GS63" s="186"/>
      <c r="GT63" s="187"/>
      <c r="GU63" s="187"/>
      <c r="GV63" s="29"/>
      <c r="GW63" s="191"/>
      <c r="GX63" s="31"/>
      <c r="GY63" s="31"/>
      <c r="GZ63" s="387"/>
      <c r="HA63" s="33"/>
    </row>
    <row r="64" spans="1:209" x14ac:dyDescent="0.25">
      <c r="A64"/>
      <c r="D64" s="35"/>
      <c r="E64" s="36"/>
      <c r="F64" s="37"/>
      <c r="G64" s="38"/>
      <c r="H64" s="39"/>
      <c r="I64" s="40"/>
      <c r="J64" s="177"/>
      <c r="K64" s="178"/>
      <c r="Q64" s="27"/>
      <c r="R64" s="180"/>
      <c r="S64" s="180"/>
      <c r="T64" s="180"/>
      <c r="U64" s="39">
        <f t="shared" si="0"/>
        <v>0</v>
      </c>
      <c r="V64" s="181"/>
      <c r="W64" s="182"/>
      <c r="X64" s="30"/>
      <c r="Y64" s="8"/>
      <c r="Z64" s="183"/>
      <c r="AA64" s="184"/>
      <c r="AB64" s="185"/>
      <c r="AC64" s="184"/>
      <c r="AD64" s="186"/>
      <c r="AE64" s="187"/>
      <c r="AF64" s="8"/>
      <c r="AG64" s="8"/>
      <c r="AH64" s="188"/>
      <c r="AI64" s="183"/>
      <c r="AJ64" s="184"/>
      <c r="AK64" s="185"/>
      <c r="AL64" s="28"/>
      <c r="AM64" s="186"/>
      <c r="AN64" s="187"/>
      <c r="AO64" s="8"/>
      <c r="AP64" s="8"/>
      <c r="AQ64" s="188"/>
      <c r="AR64" s="183"/>
      <c r="AS64" s="184"/>
      <c r="AT64" s="185"/>
      <c r="AU64" s="184"/>
      <c r="AV64" s="186"/>
      <c r="AW64" s="187"/>
      <c r="AX64" s="8"/>
      <c r="AY64" s="8"/>
      <c r="AZ64" s="188"/>
      <c r="BA64" s="183"/>
      <c r="BB64" s="184"/>
      <c r="BC64" s="185"/>
      <c r="BD64" s="28"/>
      <c r="BE64" s="186"/>
      <c r="BF64" s="187"/>
      <c r="BG64" s="8"/>
      <c r="BH64" s="8"/>
      <c r="BI64" s="188"/>
      <c r="BJ64" s="183"/>
      <c r="BK64" s="184"/>
      <c r="BL64" s="185"/>
      <c r="BM64" s="28"/>
      <c r="BN64" s="186"/>
      <c r="BO64" s="187"/>
      <c r="BP64" s="8"/>
      <c r="BQ64" s="8"/>
      <c r="BR64" s="188"/>
      <c r="BS64" s="183"/>
      <c r="BT64" s="184"/>
      <c r="BU64" s="185"/>
      <c r="BV64" s="184"/>
      <c r="BW64" s="186"/>
      <c r="BX64" s="187"/>
      <c r="BY64" s="8"/>
      <c r="BZ64" s="8"/>
      <c r="CA64" s="188"/>
      <c r="CB64" s="183"/>
      <c r="CC64" s="184"/>
      <c r="CD64" s="185"/>
      <c r="CE64" s="184"/>
      <c r="CF64" s="186"/>
      <c r="CG64" s="187"/>
      <c r="CH64" s="8"/>
      <c r="CI64" s="8"/>
      <c r="CJ64" s="188"/>
      <c r="CK64" s="183"/>
      <c r="CL64" s="184"/>
      <c r="CM64" s="185"/>
      <c r="CN64" s="184"/>
      <c r="CO64" s="186"/>
      <c r="CP64" s="187"/>
      <c r="CQ64" s="8"/>
      <c r="CR64" s="8"/>
      <c r="CS64" s="188"/>
      <c r="CT64" s="183"/>
      <c r="CU64" s="184"/>
      <c r="CV64" s="189"/>
      <c r="CW64" s="28"/>
      <c r="CX64" s="190"/>
      <c r="CY64" s="187"/>
      <c r="CZ64" s="8"/>
      <c r="DA64" s="8"/>
      <c r="DB64" s="188"/>
      <c r="DC64" s="183"/>
      <c r="DD64" s="184"/>
      <c r="DE64" s="185"/>
      <c r="DF64" s="184"/>
      <c r="DG64" s="186"/>
      <c r="DH64" s="187"/>
      <c r="DI64" s="8"/>
      <c r="DJ64" s="8"/>
      <c r="DK64" s="188"/>
      <c r="DL64" s="183"/>
      <c r="DM64" s="184"/>
      <c r="DN64" s="189"/>
      <c r="DO64" s="28"/>
      <c r="DP64" s="190"/>
      <c r="DQ64" s="187"/>
      <c r="DR64" s="8"/>
      <c r="DS64" s="8"/>
      <c r="DT64" s="188"/>
      <c r="DU64" s="183"/>
      <c r="DV64" s="184"/>
      <c r="DW64" s="185"/>
      <c r="DX64" s="184"/>
      <c r="DY64" s="186"/>
      <c r="DZ64" s="187"/>
      <c r="EA64" s="8"/>
      <c r="EB64" s="8"/>
      <c r="EC64" s="188"/>
      <c r="ED64" s="183"/>
      <c r="EE64" s="184"/>
      <c r="EF64" s="189"/>
      <c r="EG64" s="28"/>
      <c r="EH64" s="190"/>
      <c r="EI64" s="187"/>
      <c r="EJ64" s="8"/>
      <c r="EK64" s="8"/>
      <c r="EL64" s="188"/>
      <c r="EM64" s="183"/>
      <c r="EN64" s="184"/>
      <c r="EO64" s="189"/>
      <c r="EP64" s="28"/>
      <c r="EQ64" s="190"/>
      <c r="ER64" s="187"/>
      <c r="ES64" s="8"/>
      <c r="ET64" s="8"/>
      <c r="EU64" s="188"/>
      <c r="EV64" s="183"/>
      <c r="EW64" s="184"/>
      <c r="EX64" s="185"/>
      <c r="EY64" s="184"/>
      <c r="EZ64" s="186"/>
      <c r="FA64" s="187"/>
      <c r="FB64" s="8"/>
      <c r="FC64" s="8"/>
      <c r="FD64" s="188"/>
      <c r="FE64" s="183"/>
      <c r="FF64" s="184"/>
      <c r="FG64" s="185"/>
      <c r="FH64" s="184"/>
      <c r="FI64" s="186"/>
      <c r="FJ64" s="187"/>
      <c r="FK64" s="8"/>
      <c r="FL64" s="8"/>
      <c r="FM64" s="188"/>
      <c r="FN64" s="183"/>
      <c r="FO64" s="184"/>
      <c r="FP64" s="185"/>
      <c r="FQ64" s="184"/>
      <c r="FR64" s="186"/>
      <c r="FS64" s="187"/>
      <c r="FT64" s="8"/>
      <c r="FU64" s="8"/>
      <c r="FV64" s="188"/>
      <c r="FW64" s="183"/>
      <c r="FX64" s="184"/>
      <c r="FY64" s="185"/>
      <c r="FZ64" s="184"/>
      <c r="GA64" s="186"/>
      <c r="GB64" s="187"/>
      <c r="GC64" s="8"/>
      <c r="GD64" s="8"/>
      <c r="GE64" s="188"/>
      <c r="GF64" s="183"/>
      <c r="GG64" s="184"/>
      <c r="GH64" s="185"/>
      <c r="GI64" s="184"/>
      <c r="GJ64" s="186"/>
      <c r="GK64" s="187"/>
      <c r="GL64" s="8"/>
      <c r="GM64" s="8"/>
      <c r="GN64" s="188"/>
      <c r="GO64" s="183"/>
      <c r="GP64" s="184"/>
      <c r="GQ64" s="185"/>
      <c r="GR64" s="184"/>
      <c r="GS64" s="186"/>
      <c r="GT64" s="187"/>
      <c r="GU64" s="187"/>
      <c r="GV64" s="29"/>
      <c r="GW64" s="191"/>
      <c r="GX64" s="31"/>
      <c r="GY64" s="31"/>
      <c r="GZ64" s="387"/>
      <c r="HA64" s="33"/>
    </row>
    <row r="65" spans="1:209" ht="16.5" thickBot="1" x14ac:dyDescent="0.3">
      <c r="A65"/>
      <c r="D65" s="35"/>
      <c r="E65" s="36"/>
      <c r="F65" s="37"/>
      <c r="G65" s="38"/>
      <c r="H65" s="39"/>
      <c r="I65" s="40"/>
      <c r="J65" s="177"/>
      <c r="K65" s="178"/>
      <c r="P65" s="192"/>
      <c r="Q65" s="27"/>
      <c r="R65" s="180"/>
      <c r="S65" s="180"/>
      <c r="T65" s="180"/>
      <c r="U65" s="39">
        <f t="shared" si="0"/>
        <v>0</v>
      </c>
      <c r="V65" s="181"/>
      <c r="W65" s="182"/>
      <c r="X65" s="30"/>
      <c r="Y65" s="8"/>
      <c r="Z65" s="183"/>
      <c r="AA65" s="184"/>
      <c r="AB65" s="185"/>
      <c r="AC65" s="184"/>
      <c r="AD65" s="186"/>
      <c r="AE65" s="187"/>
      <c r="AF65" s="8"/>
      <c r="AG65" s="8"/>
      <c r="AH65" s="188"/>
      <c r="AI65" s="183"/>
      <c r="AJ65" s="184"/>
      <c r="AK65" s="185"/>
      <c r="AL65" s="28"/>
      <c r="AM65" s="186"/>
      <c r="AN65" s="187"/>
      <c r="AO65" s="8"/>
      <c r="AP65" s="8"/>
      <c r="AQ65" s="188"/>
      <c r="AR65" s="183"/>
      <c r="AS65" s="184"/>
      <c r="AT65" s="185"/>
      <c r="AU65" s="184"/>
      <c r="AV65" s="186"/>
      <c r="AW65" s="187"/>
      <c r="AX65" s="8"/>
      <c r="AY65" s="8"/>
      <c r="AZ65" s="188"/>
      <c r="BA65" s="183"/>
      <c r="BB65" s="184"/>
      <c r="BC65" s="185"/>
      <c r="BD65" s="28"/>
      <c r="BE65" s="186"/>
      <c r="BF65" s="187"/>
      <c r="BG65" s="8"/>
      <c r="BH65" s="8"/>
      <c r="BI65" s="188"/>
      <c r="BJ65" s="183"/>
      <c r="BK65" s="184"/>
      <c r="BL65" s="185"/>
      <c r="BM65" s="28"/>
      <c r="BN65" s="186"/>
      <c r="BO65" s="187"/>
      <c r="BP65" s="8"/>
      <c r="BQ65" s="8"/>
      <c r="BR65" s="188"/>
      <c r="BS65" s="183"/>
      <c r="BT65" s="184"/>
      <c r="BU65" s="185"/>
      <c r="BV65" s="184"/>
      <c r="BW65" s="186"/>
      <c r="BX65" s="187"/>
      <c r="BY65" s="8"/>
      <c r="BZ65" s="8"/>
      <c r="CA65" s="188"/>
      <c r="CB65" s="183"/>
      <c r="CC65" s="184"/>
      <c r="CD65" s="185"/>
      <c r="CE65" s="184"/>
      <c r="CF65" s="186"/>
      <c r="CG65" s="187"/>
      <c r="CH65" s="8"/>
      <c r="CI65" s="8"/>
      <c r="CJ65" s="188"/>
      <c r="CK65" s="183"/>
      <c r="CL65" s="184"/>
      <c r="CM65" s="185"/>
      <c r="CN65" s="184"/>
      <c r="CO65" s="186"/>
      <c r="CP65" s="187"/>
      <c r="CQ65" s="8"/>
      <c r="CR65" s="8"/>
      <c r="CS65" s="188"/>
      <c r="CT65" s="183"/>
      <c r="CU65" s="184"/>
      <c r="CV65" s="189"/>
      <c r="CW65" s="28"/>
      <c r="CX65" s="190"/>
      <c r="CY65" s="187"/>
      <c r="CZ65" s="8"/>
      <c r="DA65" s="8"/>
      <c r="DB65" s="188"/>
      <c r="DC65" s="183"/>
      <c r="DD65" s="184"/>
      <c r="DE65" s="185"/>
      <c r="DF65" s="184"/>
      <c r="DG65" s="186"/>
      <c r="DH65" s="187"/>
      <c r="DI65" s="8"/>
      <c r="DJ65" s="8"/>
      <c r="DK65" s="188"/>
      <c r="DL65" s="183"/>
      <c r="DM65" s="184"/>
      <c r="DN65" s="189"/>
      <c r="DO65" s="28"/>
      <c r="DP65" s="190"/>
      <c r="DQ65" s="187"/>
      <c r="DR65" s="8"/>
      <c r="DS65" s="8"/>
      <c r="DT65" s="188"/>
      <c r="DU65" s="183"/>
      <c r="DV65" s="184"/>
      <c r="DW65" s="185"/>
      <c r="DX65" s="184"/>
      <c r="DY65" s="186"/>
      <c r="DZ65" s="187"/>
      <c r="EA65" s="8"/>
      <c r="EB65" s="8"/>
      <c r="EC65" s="188"/>
      <c r="ED65" s="183"/>
      <c r="EE65" s="184"/>
      <c r="EF65" s="189"/>
      <c r="EG65" s="28"/>
      <c r="EH65" s="190"/>
      <c r="EI65" s="187"/>
      <c r="EJ65" s="8"/>
      <c r="EK65" s="8"/>
      <c r="EL65" s="188"/>
      <c r="EM65" s="183"/>
      <c r="EN65" s="184"/>
      <c r="EO65" s="189"/>
      <c r="EP65" s="28"/>
      <c r="EQ65" s="190"/>
      <c r="ER65" s="187"/>
      <c r="ES65" s="8"/>
      <c r="ET65" s="8"/>
      <c r="EU65" s="188"/>
      <c r="EV65" s="183"/>
      <c r="EW65" s="184"/>
      <c r="EX65" s="185"/>
      <c r="EY65" s="184"/>
      <c r="EZ65" s="186"/>
      <c r="FA65" s="187"/>
      <c r="FB65" s="8"/>
      <c r="FC65" s="8"/>
      <c r="FD65" s="188"/>
      <c r="FE65" s="183"/>
      <c r="FF65" s="184"/>
      <c r="FG65" s="185"/>
      <c r="FH65" s="184"/>
      <c r="FI65" s="186"/>
      <c r="FJ65" s="187"/>
      <c r="FK65" s="8"/>
      <c r="FL65" s="8"/>
      <c r="FM65" s="188"/>
      <c r="FN65" s="183"/>
      <c r="FO65" s="184"/>
      <c r="FP65" s="185"/>
      <c r="FQ65" s="184"/>
      <c r="FR65" s="186"/>
      <c r="FS65" s="187"/>
      <c r="FT65" s="8"/>
      <c r="FU65" s="8"/>
      <c r="FV65" s="188"/>
      <c r="FW65" s="183"/>
      <c r="FX65" s="184"/>
      <c r="FY65" s="185"/>
      <c r="FZ65" s="184"/>
      <c r="GA65" s="186"/>
      <c r="GB65" s="187"/>
      <c r="GC65" s="8"/>
      <c r="GD65" s="8"/>
      <c r="GE65" s="188"/>
      <c r="GF65" s="183"/>
      <c r="GG65" s="184"/>
      <c r="GH65" s="185"/>
      <c r="GI65" s="184"/>
      <c r="GJ65" s="186"/>
      <c r="GK65" s="187"/>
      <c r="GL65" s="8"/>
      <c r="GM65" s="8"/>
      <c r="GN65" s="188"/>
      <c r="GO65" s="183"/>
      <c r="GP65" s="184"/>
      <c r="GQ65" s="185"/>
      <c r="GR65" s="184"/>
      <c r="GS65" s="186"/>
      <c r="GT65" s="187"/>
      <c r="GU65" s="187"/>
      <c r="GV65" s="29"/>
      <c r="GW65" s="191"/>
      <c r="GX65" s="31"/>
      <c r="GY65" s="31"/>
      <c r="GZ65" s="387"/>
      <c r="HA65" s="33"/>
    </row>
    <row r="66" spans="1:209" ht="20.25" thickTop="1" thickBot="1" x14ac:dyDescent="0.35">
      <c r="A66"/>
      <c r="D66" s="35"/>
      <c r="E66" s="36"/>
      <c r="F66" s="37"/>
      <c r="G66" s="38"/>
      <c r="H66" s="39"/>
      <c r="I66" s="40"/>
      <c r="J66" s="177"/>
      <c r="K66" s="178"/>
      <c r="N66" s="870" t="s">
        <v>28</v>
      </c>
      <c r="O66" s="871"/>
      <c r="P66" s="872">
        <f>SUM(P8:P65)</f>
        <v>648469.98</v>
      </c>
      <c r="Q66" s="193"/>
      <c r="R66" s="180"/>
      <c r="S66" s="194"/>
      <c r="T66" s="180"/>
      <c r="U66" s="39">
        <f t="shared" si="0"/>
        <v>0</v>
      </c>
      <c r="V66" s="181"/>
      <c r="W66" s="182"/>
      <c r="X66" s="30"/>
      <c r="Y66" s="195"/>
      <c r="Z66" s="196"/>
      <c r="AA66" s="197"/>
      <c r="AB66" s="198"/>
      <c r="AC66" s="197"/>
      <c r="AD66" s="199"/>
      <c r="AE66" s="200"/>
      <c r="AF66" s="195"/>
      <c r="AG66" s="195"/>
      <c r="AH66" s="201"/>
      <c r="AI66" s="196"/>
      <c r="AJ66" s="197"/>
      <c r="AK66" s="198"/>
      <c r="AL66" s="202"/>
      <c r="AM66" s="199"/>
      <c r="AN66" s="200"/>
      <c r="AO66" s="195"/>
      <c r="AP66" s="195"/>
      <c r="AQ66" s="201"/>
      <c r="AR66" s="196"/>
      <c r="AS66" s="197"/>
      <c r="AT66" s="198"/>
      <c r="AU66" s="197"/>
      <c r="AV66" s="199"/>
      <c r="AW66" s="200"/>
      <c r="AX66" s="195"/>
      <c r="AY66" s="195"/>
      <c r="AZ66" s="201"/>
      <c r="BA66" s="196"/>
      <c r="BB66" s="197"/>
      <c r="BC66" s="198"/>
      <c r="BD66" s="202"/>
      <c r="BE66" s="199"/>
      <c r="BF66" s="200"/>
      <c r="BG66" s="195"/>
      <c r="BH66" s="195"/>
      <c r="BI66" s="201"/>
      <c r="BJ66" s="196"/>
      <c r="BK66" s="197"/>
      <c r="BL66" s="198"/>
      <c r="BM66" s="202"/>
      <c r="BN66" s="199"/>
      <c r="BO66" s="200"/>
      <c r="BP66" s="195"/>
      <c r="BQ66" s="195"/>
      <c r="BR66" s="201"/>
      <c r="BS66" s="196"/>
      <c r="BT66" s="197"/>
      <c r="BU66" s="198"/>
      <c r="BV66" s="197"/>
      <c r="BW66" s="199"/>
      <c r="BX66" s="200"/>
      <c r="BY66" s="195"/>
      <c r="BZ66" s="195"/>
      <c r="CA66" s="201"/>
      <c r="CB66" s="196"/>
      <c r="CC66" s="197"/>
      <c r="CD66" s="198"/>
      <c r="CE66" s="197"/>
      <c r="CF66" s="199"/>
      <c r="CG66" s="200"/>
      <c r="CH66" s="195"/>
      <c r="CI66" s="195"/>
      <c r="CJ66" s="201"/>
      <c r="CK66" s="196"/>
      <c r="CL66" s="197"/>
      <c r="CM66" s="198"/>
      <c r="CN66" s="197"/>
      <c r="CO66" s="199"/>
      <c r="CP66" s="200"/>
      <c r="CQ66" s="195"/>
      <c r="CR66" s="195"/>
      <c r="CS66" s="201"/>
      <c r="CT66" s="196"/>
      <c r="CU66" s="197"/>
      <c r="CV66" s="203"/>
      <c r="CW66" s="202"/>
      <c r="CX66" s="204"/>
      <c r="CY66" s="200"/>
      <c r="CZ66" s="195"/>
      <c r="DA66" s="195"/>
      <c r="DB66" s="201"/>
      <c r="DC66" s="196"/>
      <c r="DD66" s="197"/>
      <c r="DE66" s="198"/>
      <c r="DF66" s="197"/>
      <c r="DG66" s="199"/>
      <c r="DH66" s="200"/>
      <c r="DI66" s="195"/>
      <c r="DJ66" s="195"/>
      <c r="DK66" s="201"/>
      <c r="DL66" s="196"/>
      <c r="DM66" s="197"/>
      <c r="DN66" s="203"/>
      <c r="DO66" s="202"/>
      <c r="DP66" s="204"/>
      <c r="DQ66" s="200"/>
      <c r="DR66" s="195"/>
      <c r="DS66" s="195"/>
      <c r="DT66" s="201"/>
      <c r="DU66" s="196"/>
      <c r="DV66" s="197"/>
      <c r="DW66" s="198"/>
      <c r="DX66" s="197"/>
      <c r="DY66" s="199"/>
      <c r="DZ66" s="200"/>
      <c r="EA66" s="195"/>
      <c r="EB66" s="195"/>
      <c r="EC66" s="201"/>
      <c r="ED66" s="196"/>
      <c r="EE66" s="197"/>
      <c r="EF66" s="203"/>
      <c r="EG66" s="202"/>
      <c r="EH66" s="204"/>
      <c r="EI66" s="200"/>
      <c r="EJ66" s="195"/>
      <c r="EK66" s="195"/>
      <c r="EL66" s="201"/>
      <c r="EM66" s="196"/>
      <c r="EN66" s="197"/>
      <c r="EO66" s="203"/>
      <c r="EP66" s="202"/>
      <c r="EQ66" s="204"/>
      <c r="ER66" s="200"/>
      <c r="ES66" s="195"/>
      <c r="ET66" s="195"/>
      <c r="EU66" s="201"/>
      <c r="EV66" s="196"/>
      <c r="EW66" s="197"/>
      <c r="EX66" s="198"/>
      <c r="EY66" s="197"/>
      <c r="EZ66" s="199"/>
      <c r="FA66" s="200"/>
      <c r="FB66" s="195"/>
      <c r="FC66" s="195"/>
      <c r="FD66" s="201"/>
      <c r="FE66" s="196"/>
      <c r="FF66" s="197"/>
      <c r="FG66" s="198"/>
      <c r="FH66" s="197"/>
      <c r="FI66" s="199"/>
      <c r="FJ66" s="200"/>
      <c r="FK66" s="195"/>
      <c r="FL66" s="195"/>
      <c r="FM66" s="201"/>
      <c r="FN66" s="196"/>
      <c r="FO66" s="197"/>
      <c r="FP66" s="198"/>
      <c r="FQ66" s="197"/>
      <c r="FR66" s="199"/>
      <c r="FS66" s="200"/>
      <c r="FT66" s="195"/>
      <c r="FU66" s="195"/>
      <c r="FV66" s="201"/>
      <c r="FW66" s="196"/>
      <c r="FX66" s="197"/>
      <c r="FY66" s="198"/>
      <c r="FZ66" s="197"/>
      <c r="GA66" s="199"/>
      <c r="GB66" s="200"/>
      <c r="GC66" s="195"/>
      <c r="GD66" s="195"/>
      <c r="GE66" s="201"/>
      <c r="GF66" s="196"/>
      <c r="GG66" s="197"/>
      <c r="GH66" s="198"/>
      <c r="GI66" s="197"/>
      <c r="GJ66" s="199"/>
      <c r="GK66" s="200"/>
      <c r="GL66" s="195"/>
      <c r="GM66" s="195"/>
      <c r="GN66" s="201"/>
      <c r="GO66" s="196"/>
      <c r="GP66" s="197"/>
      <c r="GQ66" s="198"/>
      <c r="GR66" s="197"/>
      <c r="GS66" s="199"/>
      <c r="GT66" s="200"/>
      <c r="GU66" s="187"/>
      <c r="GV66" s="29"/>
      <c r="GW66" s="205"/>
      <c r="HA66" s="33"/>
    </row>
    <row r="67" spans="1:209" ht="19.5" thickBot="1" x14ac:dyDescent="0.3">
      <c r="A67"/>
      <c r="D67" s="35"/>
      <c r="E67" s="36"/>
      <c r="F67" s="37"/>
      <c r="G67" s="38"/>
      <c r="H67" s="39"/>
      <c r="I67" s="40"/>
      <c r="J67" s="208"/>
      <c r="K67" s="178"/>
      <c r="P67" s="873"/>
      <c r="Q67" s="193"/>
      <c r="R67" s="180"/>
      <c r="S67" s="194"/>
      <c r="T67" s="180"/>
      <c r="U67" s="39">
        <f t="shared" si="0"/>
        <v>0</v>
      </c>
      <c r="V67" s="181"/>
      <c r="W67" s="182"/>
      <c r="X67" s="30"/>
      <c r="Y67" s="195"/>
      <c r="Z67" s="196"/>
      <c r="AA67" s="197"/>
      <c r="AB67" s="198"/>
      <c r="AC67" s="197"/>
      <c r="AD67" s="199"/>
      <c r="AE67" s="200"/>
      <c r="AF67" s="195"/>
      <c r="AG67" s="195"/>
      <c r="AH67" s="201"/>
      <c r="AI67" s="196"/>
      <c r="AJ67" s="197"/>
      <c r="AK67" s="198"/>
      <c r="AL67" s="202"/>
      <c r="AM67" s="199"/>
      <c r="AN67" s="200"/>
      <c r="AO67" s="195"/>
      <c r="AP67" s="195"/>
      <c r="AQ67" s="201"/>
      <c r="AR67" s="196"/>
      <c r="AS67" s="197"/>
      <c r="AT67" s="198"/>
      <c r="AU67" s="197"/>
      <c r="AV67" s="199"/>
      <c r="AW67" s="200"/>
      <c r="AX67" s="195"/>
      <c r="AY67" s="195"/>
      <c r="AZ67" s="201"/>
      <c r="BA67" s="196"/>
      <c r="BB67" s="197"/>
      <c r="BC67" s="198"/>
      <c r="BD67" s="202"/>
      <c r="BE67" s="199"/>
      <c r="BF67" s="200"/>
      <c r="BG67" s="195"/>
      <c r="BH67" s="195"/>
      <c r="BI67" s="201"/>
      <c r="BJ67" s="196"/>
      <c r="BK67" s="197"/>
      <c r="BL67" s="198"/>
      <c r="BM67" s="202"/>
      <c r="BN67" s="199"/>
      <c r="BO67" s="200"/>
      <c r="BP67" s="195"/>
      <c r="BQ67" s="195"/>
      <c r="BR67" s="201"/>
      <c r="BS67" s="196"/>
      <c r="BT67" s="197"/>
      <c r="BU67" s="198"/>
      <c r="BV67" s="197"/>
      <c r="BW67" s="199"/>
      <c r="BX67" s="200"/>
      <c r="BY67" s="195"/>
      <c r="BZ67" s="195"/>
      <c r="CA67" s="201"/>
      <c r="CB67" s="196"/>
      <c r="CC67" s="197"/>
      <c r="CD67" s="198"/>
      <c r="CE67" s="197"/>
      <c r="CF67" s="199"/>
      <c r="CG67" s="200"/>
      <c r="CH67" s="195"/>
      <c r="CI67" s="195"/>
      <c r="CJ67" s="201"/>
      <c r="CK67" s="196"/>
      <c r="CL67" s="197"/>
      <c r="CM67" s="198"/>
      <c r="CN67" s="197"/>
      <c r="CO67" s="199"/>
      <c r="CP67" s="200"/>
      <c r="CQ67" s="195"/>
      <c r="CR67" s="195"/>
      <c r="CS67" s="201"/>
      <c r="CT67" s="196"/>
      <c r="CU67" s="197"/>
      <c r="CV67" s="203"/>
      <c r="CW67" s="202"/>
      <c r="CX67" s="204"/>
      <c r="CY67" s="200"/>
      <c r="CZ67" s="195"/>
      <c r="DA67" s="195"/>
      <c r="DB67" s="201"/>
      <c r="DC67" s="196"/>
      <c r="DD67" s="197"/>
      <c r="DE67" s="198"/>
      <c r="DF67" s="197"/>
      <c r="DG67" s="199"/>
      <c r="DH67" s="200"/>
      <c r="DI67" s="195"/>
      <c r="DJ67" s="195"/>
      <c r="DK67" s="201"/>
      <c r="DL67" s="196"/>
      <c r="DM67" s="197"/>
      <c r="DN67" s="203"/>
      <c r="DO67" s="202"/>
      <c r="DP67" s="204"/>
      <c r="DQ67" s="200"/>
      <c r="DR67" s="195"/>
      <c r="DS67" s="195"/>
      <c r="DT67" s="201"/>
      <c r="DU67" s="196"/>
      <c r="DV67" s="197"/>
      <c r="DW67" s="198"/>
      <c r="DX67" s="197"/>
      <c r="DY67" s="199"/>
      <c r="DZ67" s="200"/>
      <c r="EA67" s="195"/>
      <c r="EB67" s="195"/>
      <c r="EC67" s="201"/>
      <c r="ED67" s="196"/>
      <c r="EE67" s="197"/>
      <c r="EF67" s="203"/>
      <c r="EG67" s="202"/>
      <c r="EH67" s="204"/>
      <c r="EI67" s="200"/>
      <c r="EJ67" s="195"/>
      <c r="EK67" s="195"/>
      <c r="EL67" s="201"/>
      <c r="EM67" s="196"/>
      <c r="EN67" s="197"/>
      <c r="EO67" s="203"/>
      <c r="EP67" s="202"/>
      <c r="EQ67" s="204"/>
      <c r="ER67" s="200"/>
      <c r="ES67" s="195"/>
      <c r="ET67" s="195"/>
      <c r="EU67" s="201"/>
      <c r="EV67" s="196"/>
      <c r="EW67" s="197"/>
      <c r="EX67" s="198"/>
      <c r="EY67" s="197"/>
      <c r="EZ67" s="199"/>
      <c r="FA67" s="200"/>
      <c r="FB67" s="195"/>
      <c r="FC67" s="195"/>
      <c r="FD67" s="201"/>
      <c r="FE67" s="196"/>
      <c r="FF67" s="197"/>
      <c r="FG67" s="198"/>
      <c r="FH67" s="197"/>
      <c r="FI67" s="199"/>
      <c r="FJ67" s="200"/>
      <c r="FK67" s="195"/>
      <c r="FL67" s="195"/>
      <c r="FM67" s="201"/>
      <c r="FN67" s="196"/>
      <c r="FO67" s="197"/>
      <c r="FP67" s="198"/>
      <c r="FQ67" s="197"/>
      <c r="FR67" s="199"/>
      <c r="FS67" s="200"/>
      <c r="FT67" s="195"/>
      <c r="FU67" s="195"/>
      <c r="FV67" s="201"/>
      <c r="FW67" s="196"/>
      <c r="FX67" s="197"/>
      <c r="FY67" s="198"/>
      <c r="FZ67" s="197"/>
      <c r="GA67" s="199"/>
      <c r="GB67" s="200"/>
      <c r="GC67" s="195"/>
      <c r="GD67" s="195"/>
      <c r="GE67" s="201"/>
      <c r="GF67" s="196"/>
      <c r="GG67" s="197"/>
      <c r="GH67" s="198"/>
      <c r="GI67" s="197"/>
      <c r="GJ67" s="199"/>
      <c r="GK67" s="200"/>
      <c r="GL67" s="195"/>
      <c r="GM67" s="195"/>
      <c r="GN67" s="201"/>
      <c r="GO67" s="196"/>
      <c r="GP67" s="197"/>
      <c r="GQ67" s="198"/>
      <c r="GR67" s="197"/>
      <c r="GS67" s="199"/>
      <c r="GT67" s="200"/>
      <c r="GU67" s="187"/>
      <c r="GV67" s="29"/>
      <c r="GW67" s="205"/>
      <c r="HA67" s="33"/>
    </row>
    <row r="68" spans="1:209" ht="16.5" thickTop="1" x14ac:dyDescent="0.25">
      <c r="A68"/>
      <c r="D68" s="35"/>
      <c r="E68" s="36"/>
      <c r="F68" s="37"/>
      <c r="G68" s="38"/>
      <c r="H68" s="39"/>
      <c r="I68" s="40"/>
      <c r="J68" s="177"/>
      <c r="K68" s="178"/>
      <c r="Q68" s="27"/>
      <c r="R68" s="180"/>
      <c r="S68" s="180"/>
      <c r="T68" s="180"/>
      <c r="U68" s="39">
        <f t="shared" si="0"/>
        <v>0</v>
      </c>
      <c r="V68" s="181"/>
      <c r="W68" s="182"/>
      <c r="X68" s="30"/>
      <c r="Y68" s="195"/>
      <c r="Z68" s="196"/>
      <c r="AA68" s="197"/>
      <c r="AB68" s="198"/>
      <c r="AC68" s="197"/>
      <c r="AD68" s="199"/>
      <c r="AE68" s="200"/>
      <c r="AF68" s="195"/>
      <c r="AG68" s="195"/>
      <c r="AH68" s="201"/>
      <c r="AI68" s="196"/>
      <c r="AJ68" s="197"/>
      <c r="AK68" s="198"/>
      <c r="AL68" s="202"/>
      <c r="AM68" s="199"/>
      <c r="AN68" s="200"/>
      <c r="AO68" s="195"/>
      <c r="AP68" s="195"/>
      <c r="AQ68" s="201"/>
      <c r="AR68" s="196"/>
      <c r="AS68" s="197"/>
      <c r="AT68" s="198"/>
      <c r="AU68" s="197"/>
      <c r="AV68" s="199"/>
      <c r="AW68" s="200"/>
      <c r="AX68" s="195"/>
      <c r="AY68" s="195"/>
      <c r="AZ68" s="201"/>
      <c r="BA68" s="196"/>
      <c r="BB68" s="197"/>
      <c r="BC68" s="198"/>
      <c r="BD68" s="202"/>
      <c r="BE68" s="199"/>
      <c r="BF68" s="200"/>
      <c r="BG68" s="195"/>
      <c r="BH68" s="195"/>
      <c r="BI68" s="201"/>
      <c r="BJ68" s="196"/>
      <c r="BK68" s="197"/>
      <c r="BL68" s="198"/>
      <c r="BM68" s="202"/>
      <c r="BN68" s="199"/>
      <c r="BO68" s="200"/>
      <c r="BP68" s="195"/>
      <c r="BQ68" s="195"/>
      <c r="BR68" s="201"/>
      <c r="BS68" s="196"/>
      <c r="BT68" s="197"/>
      <c r="BU68" s="198"/>
      <c r="BV68" s="197"/>
      <c r="BW68" s="199"/>
      <c r="BX68" s="200"/>
      <c r="BY68" s="195"/>
      <c r="BZ68" s="195"/>
      <c r="CA68" s="201"/>
      <c r="CB68" s="196"/>
      <c r="CC68" s="197"/>
      <c r="CD68" s="198"/>
      <c r="CE68" s="197"/>
      <c r="CF68" s="199"/>
      <c r="CG68" s="200"/>
      <c r="CH68" s="195"/>
      <c r="CI68" s="195"/>
      <c r="CJ68" s="201"/>
      <c r="CK68" s="196"/>
      <c r="CL68" s="197"/>
      <c r="CM68" s="198"/>
      <c r="CN68" s="197"/>
      <c r="CO68" s="199"/>
      <c r="CP68" s="200"/>
      <c r="CQ68" s="195"/>
      <c r="CR68" s="195"/>
      <c r="CS68" s="201"/>
      <c r="CT68" s="196"/>
      <c r="CU68" s="197"/>
      <c r="CV68" s="203"/>
      <c r="CW68" s="202"/>
      <c r="CX68" s="204"/>
      <c r="CY68" s="200"/>
      <c r="CZ68" s="195"/>
      <c r="DA68" s="195"/>
      <c r="DB68" s="201"/>
      <c r="DC68" s="196"/>
      <c r="DD68" s="197"/>
      <c r="DE68" s="198"/>
      <c r="DF68" s="197"/>
      <c r="DG68" s="199"/>
      <c r="DH68" s="200"/>
      <c r="DI68" s="195"/>
      <c r="DJ68" s="195"/>
      <c r="DK68" s="201"/>
      <c r="DL68" s="196"/>
      <c r="DM68" s="197"/>
      <c r="DN68" s="203"/>
      <c r="DO68" s="202"/>
      <c r="DP68" s="204"/>
      <c r="DQ68" s="200"/>
      <c r="DR68" s="195"/>
      <c r="DS68" s="195"/>
      <c r="DT68" s="201"/>
      <c r="DU68" s="196"/>
      <c r="DV68" s="197"/>
      <c r="DW68" s="198"/>
      <c r="DX68" s="197"/>
      <c r="DY68" s="199"/>
      <c r="DZ68" s="200"/>
      <c r="EA68" s="195"/>
      <c r="EB68" s="195"/>
      <c r="EC68" s="201"/>
      <c r="ED68" s="196"/>
      <c r="EE68" s="197"/>
      <c r="EF68" s="203"/>
      <c r="EG68" s="202"/>
      <c r="EH68" s="204"/>
      <c r="EI68" s="200"/>
      <c r="EJ68" s="195"/>
      <c r="EK68" s="195"/>
      <c r="EL68" s="201"/>
      <c r="EM68" s="196"/>
      <c r="EN68" s="197"/>
      <c r="EO68" s="203"/>
      <c r="EP68" s="202"/>
      <c r="EQ68" s="204"/>
      <c r="ER68" s="200"/>
      <c r="ES68" s="195"/>
      <c r="ET68" s="195"/>
      <c r="EU68" s="201"/>
      <c r="EV68" s="196"/>
      <c r="EW68" s="197"/>
      <c r="EX68" s="198"/>
      <c r="EY68" s="197"/>
      <c r="EZ68" s="199"/>
      <c r="FA68" s="200"/>
      <c r="FB68" s="195"/>
      <c r="FC68" s="195"/>
      <c r="FD68" s="201"/>
      <c r="FE68" s="196"/>
      <c r="FF68" s="197"/>
      <c r="FG68" s="198"/>
      <c r="FH68" s="197"/>
      <c r="FI68" s="199"/>
      <c r="FJ68" s="200"/>
      <c r="FK68" s="195"/>
      <c r="FL68" s="195"/>
      <c r="FM68" s="201"/>
      <c r="FN68" s="196"/>
      <c r="FO68" s="197"/>
      <c r="FP68" s="198"/>
      <c r="FQ68" s="197"/>
      <c r="FR68" s="199"/>
      <c r="FS68" s="200"/>
      <c r="FT68" s="195"/>
      <c r="FU68" s="195"/>
      <c r="FV68" s="201"/>
      <c r="FW68" s="196"/>
      <c r="FX68" s="197"/>
      <c r="FY68" s="198"/>
      <c r="FZ68" s="197"/>
      <c r="GA68" s="199"/>
      <c r="GB68" s="200"/>
      <c r="GC68" s="195"/>
      <c r="GD68" s="195"/>
      <c r="GE68" s="201"/>
      <c r="GF68" s="196"/>
      <c r="GG68" s="197"/>
      <c r="GH68" s="198"/>
      <c r="GI68" s="197"/>
      <c r="GJ68" s="199"/>
      <c r="GK68" s="200"/>
      <c r="GL68" s="195"/>
      <c r="GM68" s="195"/>
      <c r="GN68" s="201"/>
      <c r="GO68" s="196"/>
      <c r="GP68" s="197"/>
      <c r="GQ68" s="198"/>
      <c r="GR68" s="197"/>
      <c r="GS68" s="199"/>
      <c r="GT68" s="200"/>
      <c r="GU68" s="187"/>
      <c r="GV68" s="29"/>
      <c r="GW68" s="205"/>
      <c r="HA68" s="33"/>
    </row>
    <row r="69" spans="1:209" thickBot="1" x14ac:dyDescent="0.3">
      <c r="A69"/>
      <c r="D69" s="35"/>
      <c r="E69" s="36"/>
      <c r="F69" s="37"/>
      <c r="G69" s="38"/>
      <c r="H69" s="39"/>
      <c r="I69" s="40"/>
      <c r="J69" s="177"/>
      <c r="K69" s="178"/>
      <c r="Q69" s="27"/>
      <c r="R69" s="209"/>
      <c r="U69" s="39">
        <f t="shared" si="0"/>
        <v>0</v>
      </c>
      <c r="V69" s="210"/>
      <c r="X69" s="30"/>
      <c r="Y69" s="195"/>
      <c r="Z69" s="183"/>
      <c r="AA69" s="197"/>
      <c r="AB69" s="198"/>
      <c r="AC69" s="197"/>
      <c r="AD69" s="199"/>
      <c r="AE69" s="200"/>
      <c r="AF69" s="195"/>
      <c r="AG69" s="195"/>
      <c r="AH69" s="201"/>
      <c r="AI69" s="183"/>
      <c r="AJ69" s="197"/>
      <c r="AK69" s="198"/>
      <c r="AL69" s="202"/>
      <c r="AM69" s="199"/>
      <c r="AN69" s="200"/>
      <c r="AO69" s="195"/>
      <c r="AP69" s="195"/>
      <c r="AQ69" s="201"/>
      <c r="AR69" s="183"/>
      <c r="AS69" s="197"/>
      <c r="AT69" s="198"/>
      <c r="AU69" s="197"/>
      <c r="AV69" s="199"/>
      <c r="AW69" s="200"/>
      <c r="AX69" s="195"/>
      <c r="AY69" s="195"/>
      <c r="AZ69" s="201"/>
      <c r="BA69" s="183"/>
      <c r="BB69" s="197"/>
      <c r="BC69" s="198"/>
      <c r="BD69" s="202"/>
      <c r="BE69" s="199"/>
      <c r="BF69" s="200"/>
      <c r="BG69" s="195"/>
      <c r="BH69" s="195"/>
      <c r="BI69" s="201"/>
      <c r="BJ69" s="183"/>
      <c r="BK69" s="197"/>
      <c r="BL69" s="198"/>
      <c r="BM69" s="202"/>
      <c r="BN69" s="199"/>
      <c r="BO69" s="200"/>
      <c r="BP69" s="195"/>
      <c r="BQ69" s="195"/>
      <c r="BR69" s="201"/>
      <c r="BS69" s="183"/>
      <c r="BT69" s="197"/>
      <c r="BU69" s="198"/>
      <c r="BV69" s="197"/>
      <c r="BW69" s="199"/>
      <c r="BX69" s="200"/>
      <c r="BY69" s="195"/>
      <c r="BZ69" s="195"/>
      <c r="CA69" s="201"/>
      <c r="CB69" s="183"/>
      <c r="CC69" s="197"/>
      <c r="CD69" s="198"/>
      <c r="CE69" s="197"/>
      <c r="CF69" s="199"/>
      <c r="CG69" s="200"/>
      <c r="CH69" s="195"/>
      <c r="CI69" s="195"/>
      <c r="CJ69" s="201"/>
      <c r="CK69" s="183"/>
      <c r="CL69" s="197"/>
      <c r="CM69" s="198"/>
      <c r="CN69" s="197"/>
      <c r="CO69" s="199"/>
      <c r="CP69" s="200"/>
      <c r="CQ69" s="195"/>
      <c r="CR69" s="195"/>
      <c r="CS69" s="201"/>
      <c r="CT69" s="183"/>
      <c r="CU69" s="197"/>
      <c r="CV69" s="203"/>
      <c r="CW69" s="202"/>
      <c r="CX69" s="204"/>
      <c r="CY69" s="200"/>
      <c r="CZ69" s="195"/>
      <c r="DA69" s="195"/>
      <c r="DB69" s="201"/>
      <c r="DC69" s="183"/>
      <c r="DD69" s="197"/>
      <c r="DE69" s="198"/>
      <c r="DF69" s="197"/>
      <c r="DG69" s="199"/>
      <c r="DH69" s="200"/>
      <c r="DI69" s="195"/>
      <c r="DJ69" s="195"/>
      <c r="DK69" s="201"/>
      <c r="DL69" s="183"/>
      <c r="DM69" s="197"/>
      <c r="DN69" s="203"/>
      <c r="DO69" s="202"/>
      <c r="DP69" s="204"/>
      <c r="DQ69" s="200"/>
      <c r="DR69" s="195"/>
      <c r="DS69" s="195"/>
      <c r="DT69" s="201"/>
      <c r="DU69" s="183"/>
      <c r="DV69" s="197"/>
      <c r="DW69" s="198"/>
      <c r="DX69" s="197"/>
      <c r="DY69" s="199"/>
      <c r="DZ69" s="200"/>
      <c r="EA69" s="195"/>
      <c r="EB69" s="195"/>
      <c r="EC69" s="201"/>
      <c r="ED69" s="183"/>
      <c r="EE69" s="197"/>
      <c r="EF69" s="203"/>
      <c r="EG69" s="202"/>
      <c r="EH69" s="204"/>
      <c r="EI69" s="200"/>
      <c r="EJ69" s="195"/>
      <c r="EK69" s="195"/>
      <c r="EL69" s="201"/>
      <c r="EM69" s="183"/>
      <c r="EN69" s="197"/>
      <c r="EO69" s="203"/>
      <c r="EP69" s="202"/>
      <c r="EQ69" s="204"/>
      <c r="ER69" s="200"/>
      <c r="ES69" s="195"/>
      <c r="ET69" s="195"/>
      <c r="EU69" s="201"/>
      <c r="EV69" s="183"/>
      <c r="EW69" s="197"/>
      <c r="EX69" s="198"/>
      <c r="EY69" s="197"/>
      <c r="EZ69" s="199"/>
      <c r="FA69" s="200"/>
      <c r="FB69" s="195"/>
      <c r="FC69" s="195"/>
      <c r="FD69" s="201"/>
      <c r="FE69" s="183"/>
      <c r="FF69" s="197"/>
      <c r="FG69" s="198"/>
      <c r="FH69" s="197"/>
      <c r="FI69" s="199"/>
      <c r="FJ69" s="200"/>
      <c r="FK69" s="195"/>
      <c r="FL69" s="195"/>
      <c r="FM69" s="201"/>
      <c r="FN69" s="183"/>
      <c r="FO69" s="197"/>
      <c r="FP69" s="198"/>
      <c r="FQ69" s="197"/>
      <c r="FR69" s="199"/>
      <c r="FS69" s="200"/>
      <c r="FT69" s="195"/>
      <c r="FU69" s="195"/>
      <c r="FV69" s="201"/>
      <c r="FW69" s="183"/>
      <c r="FX69" s="197"/>
      <c r="FY69" s="198"/>
      <c r="FZ69" s="197"/>
      <c r="GA69" s="199"/>
      <c r="GB69" s="200"/>
      <c r="GC69" s="195"/>
      <c r="GD69" s="195"/>
      <c r="GE69" s="201"/>
      <c r="GF69" s="183"/>
      <c r="GG69" s="197"/>
      <c r="GH69" s="198"/>
      <c r="GI69" s="197"/>
      <c r="GJ69" s="199"/>
      <c r="GK69" s="200"/>
      <c r="GL69" s="195"/>
      <c r="GM69" s="195"/>
      <c r="GN69" s="201"/>
      <c r="GO69" s="183"/>
      <c r="GP69" s="197"/>
      <c r="GQ69" s="198"/>
      <c r="GR69" s="197"/>
      <c r="GS69" s="199"/>
      <c r="GT69" s="200"/>
      <c r="GU69" s="187"/>
      <c r="GV69" s="29"/>
      <c r="GW69" s="211"/>
      <c r="HA69" s="33"/>
    </row>
    <row r="70" spans="1:209" ht="16.5" thickTop="1" thickBot="1" x14ac:dyDescent="0.3">
      <c r="A70"/>
      <c r="D70" s="35"/>
      <c r="E70" s="36"/>
      <c r="F70" s="37"/>
      <c r="G70" s="38"/>
      <c r="H70" s="39"/>
      <c r="I70" s="40"/>
      <c r="J70" s="177"/>
      <c r="N70" s="212"/>
      <c r="O70" s="213"/>
      <c r="P70" s="874" t="s">
        <v>29</v>
      </c>
      <c r="Q70" s="875"/>
      <c r="R70" s="875"/>
      <c r="S70" s="214">
        <f>SUM(S8:S69)</f>
        <v>0</v>
      </c>
      <c r="T70" s="215"/>
      <c r="U70" s="216">
        <f>SUM(U8:U69)</f>
        <v>19876979.75</v>
      </c>
      <c r="V70" s="217"/>
      <c r="X70" s="218">
        <f t="shared" ref="X70:CI70" si="5">SUM(X8:X69)</f>
        <v>375320.51000000007</v>
      </c>
      <c r="Y70" s="219">
        <f t="shared" si="5"/>
        <v>0</v>
      </c>
      <c r="Z70" s="219">
        <f t="shared" si="5"/>
        <v>0</v>
      </c>
      <c r="AA70" s="219">
        <f t="shared" si="5"/>
        <v>0</v>
      </c>
      <c r="AB70" s="219">
        <f t="shared" si="5"/>
        <v>0</v>
      </c>
      <c r="AC70" s="219">
        <f t="shared" si="5"/>
        <v>0</v>
      </c>
      <c r="AD70" s="219">
        <f t="shared" si="5"/>
        <v>0</v>
      </c>
      <c r="AE70" s="219">
        <f t="shared" si="5"/>
        <v>0</v>
      </c>
      <c r="AF70" s="219">
        <f t="shared" si="5"/>
        <v>0</v>
      </c>
      <c r="AG70" s="219">
        <f t="shared" si="5"/>
        <v>0</v>
      </c>
      <c r="AH70" s="219">
        <f t="shared" si="5"/>
        <v>0</v>
      </c>
      <c r="AI70" s="219">
        <f t="shared" si="5"/>
        <v>0</v>
      </c>
      <c r="AJ70" s="219">
        <f t="shared" si="5"/>
        <v>0</v>
      </c>
      <c r="AK70" s="219">
        <f t="shared" si="5"/>
        <v>0</v>
      </c>
      <c r="AL70" s="219">
        <f t="shared" si="5"/>
        <v>0</v>
      </c>
      <c r="AM70" s="219">
        <f t="shared" si="5"/>
        <v>0</v>
      </c>
      <c r="AN70" s="219">
        <f t="shared" si="5"/>
        <v>0</v>
      </c>
      <c r="AO70" s="219">
        <f t="shared" si="5"/>
        <v>0</v>
      </c>
      <c r="AP70" s="219">
        <f t="shared" si="5"/>
        <v>0</v>
      </c>
      <c r="AQ70" s="219">
        <f t="shared" si="5"/>
        <v>0</v>
      </c>
      <c r="AR70" s="219">
        <f t="shared" si="5"/>
        <v>0</v>
      </c>
      <c r="AS70" s="219">
        <f t="shared" si="5"/>
        <v>0</v>
      </c>
      <c r="AT70" s="219">
        <f t="shared" si="5"/>
        <v>0</v>
      </c>
      <c r="AU70" s="219">
        <f t="shared" si="5"/>
        <v>0</v>
      </c>
      <c r="AV70" s="219">
        <f t="shared" si="5"/>
        <v>0</v>
      </c>
      <c r="AW70" s="219">
        <f t="shared" si="5"/>
        <v>0</v>
      </c>
      <c r="AX70" s="219">
        <f t="shared" si="5"/>
        <v>0</v>
      </c>
      <c r="AY70" s="219">
        <f t="shared" si="5"/>
        <v>0</v>
      </c>
      <c r="AZ70" s="219">
        <f t="shared" si="5"/>
        <v>0</v>
      </c>
      <c r="BA70" s="219">
        <f t="shared" si="5"/>
        <v>0</v>
      </c>
      <c r="BB70" s="219">
        <f t="shared" si="5"/>
        <v>0</v>
      </c>
      <c r="BC70" s="219">
        <f t="shared" si="5"/>
        <v>0</v>
      </c>
      <c r="BD70" s="219">
        <f t="shared" si="5"/>
        <v>0</v>
      </c>
      <c r="BE70" s="219">
        <f t="shared" si="5"/>
        <v>0</v>
      </c>
      <c r="BF70" s="219">
        <f t="shared" si="5"/>
        <v>0</v>
      </c>
      <c r="BG70" s="219">
        <f t="shared" si="5"/>
        <v>0</v>
      </c>
      <c r="BH70" s="219">
        <f t="shared" si="5"/>
        <v>0</v>
      </c>
      <c r="BI70" s="219">
        <f t="shared" si="5"/>
        <v>0</v>
      </c>
      <c r="BJ70" s="219">
        <f t="shared" si="5"/>
        <v>0</v>
      </c>
      <c r="BK70" s="219">
        <f t="shared" si="5"/>
        <v>0</v>
      </c>
      <c r="BL70" s="219">
        <f t="shared" si="5"/>
        <v>0</v>
      </c>
      <c r="BM70" s="219">
        <f t="shared" si="5"/>
        <v>0</v>
      </c>
      <c r="BN70" s="219">
        <f t="shared" si="5"/>
        <v>0</v>
      </c>
      <c r="BO70" s="219">
        <f t="shared" si="5"/>
        <v>0</v>
      </c>
      <c r="BP70" s="219">
        <f t="shared" si="5"/>
        <v>0</v>
      </c>
      <c r="BQ70" s="219">
        <f t="shared" si="5"/>
        <v>0</v>
      </c>
      <c r="BR70" s="219">
        <f t="shared" si="5"/>
        <v>0</v>
      </c>
      <c r="BS70" s="219">
        <f t="shared" si="5"/>
        <v>0</v>
      </c>
      <c r="BT70" s="219">
        <f t="shared" si="5"/>
        <v>0</v>
      </c>
      <c r="BU70" s="219">
        <f t="shared" si="5"/>
        <v>0</v>
      </c>
      <c r="BV70" s="219">
        <f t="shared" si="5"/>
        <v>0</v>
      </c>
      <c r="BW70" s="219">
        <f t="shared" si="5"/>
        <v>0</v>
      </c>
      <c r="BX70" s="219">
        <f t="shared" si="5"/>
        <v>0</v>
      </c>
      <c r="BY70" s="219">
        <f t="shared" si="5"/>
        <v>0</v>
      </c>
      <c r="BZ70" s="219">
        <f t="shared" si="5"/>
        <v>0</v>
      </c>
      <c r="CA70" s="219">
        <f t="shared" si="5"/>
        <v>0</v>
      </c>
      <c r="CB70" s="219">
        <f t="shared" si="5"/>
        <v>0</v>
      </c>
      <c r="CC70" s="219">
        <f t="shared" si="5"/>
        <v>0</v>
      </c>
      <c r="CD70" s="219">
        <f t="shared" si="5"/>
        <v>0</v>
      </c>
      <c r="CE70" s="219">
        <f t="shared" si="5"/>
        <v>0</v>
      </c>
      <c r="CF70" s="219">
        <f t="shared" si="5"/>
        <v>0</v>
      </c>
      <c r="CG70" s="219">
        <f t="shared" si="5"/>
        <v>0</v>
      </c>
      <c r="CH70" s="219">
        <f t="shared" si="5"/>
        <v>0</v>
      </c>
      <c r="CI70" s="219">
        <f t="shared" si="5"/>
        <v>0</v>
      </c>
      <c r="CJ70" s="219">
        <f t="shared" ref="CJ70:EU70" si="6">SUM(CJ8:CJ69)</f>
        <v>0</v>
      </c>
      <c r="CK70" s="219">
        <f t="shared" si="6"/>
        <v>0</v>
      </c>
      <c r="CL70" s="219">
        <f t="shared" si="6"/>
        <v>0</v>
      </c>
      <c r="CM70" s="219">
        <f t="shared" si="6"/>
        <v>0</v>
      </c>
      <c r="CN70" s="219">
        <f t="shared" si="6"/>
        <v>0</v>
      </c>
      <c r="CO70" s="219">
        <f t="shared" si="6"/>
        <v>0</v>
      </c>
      <c r="CP70" s="219">
        <f t="shared" si="6"/>
        <v>0</v>
      </c>
      <c r="CQ70" s="219">
        <f t="shared" si="6"/>
        <v>0</v>
      </c>
      <c r="CR70" s="219">
        <f t="shared" si="6"/>
        <v>0</v>
      </c>
      <c r="CS70" s="219">
        <f t="shared" si="6"/>
        <v>0</v>
      </c>
      <c r="CT70" s="219">
        <f t="shared" si="6"/>
        <v>0</v>
      </c>
      <c r="CU70" s="219">
        <f t="shared" si="6"/>
        <v>0</v>
      </c>
      <c r="CV70" s="219">
        <f t="shared" si="6"/>
        <v>0</v>
      </c>
      <c r="CW70" s="219">
        <f t="shared" si="6"/>
        <v>0</v>
      </c>
      <c r="CX70" s="219">
        <f t="shared" si="6"/>
        <v>0</v>
      </c>
      <c r="CY70" s="219">
        <f t="shared" si="6"/>
        <v>0</v>
      </c>
      <c r="CZ70" s="219">
        <f t="shared" si="6"/>
        <v>0</v>
      </c>
      <c r="DA70" s="219">
        <f t="shared" si="6"/>
        <v>0</v>
      </c>
      <c r="DB70" s="219">
        <f t="shared" si="6"/>
        <v>0</v>
      </c>
      <c r="DC70" s="219">
        <f t="shared" si="6"/>
        <v>0</v>
      </c>
      <c r="DD70" s="219">
        <f t="shared" si="6"/>
        <v>0</v>
      </c>
      <c r="DE70" s="219">
        <f t="shared" si="6"/>
        <v>0</v>
      </c>
      <c r="DF70" s="219">
        <f t="shared" si="6"/>
        <v>0</v>
      </c>
      <c r="DG70" s="219">
        <f t="shared" si="6"/>
        <v>0</v>
      </c>
      <c r="DH70" s="219">
        <f t="shared" si="6"/>
        <v>0</v>
      </c>
      <c r="DI70" s="219">
        <f t="shared" si="6"/>
        <v>0</v>
      </c>
      <c r="DJ70" s="219">
        <f t="shared" si="6"/>
        <v>0</v>
      </c>
      <c r="DK70" s="219">
        <f t="shared" si="6"/>
        <v>0</v>
      </c>
      <c r="DL70" s="219">
        <f t="shared" si="6"/>
        <v>0</v>
      </c>
      <c r="DM70" s="219">
        <f t="shared" si="6"/>
        <v>0</v>
      </c>
      <c r="DN70" s="219">
        <f t="shared" si="6"/>
        <v>0</v>
      </c>
      <c r="DO70" s="219">
        <f t="shared" si="6"/>
        <v>0</v>
      </c>
      <c r="DP70" s="219">
        <f t="shared" si="6"/>
        <v>0</v>
      </c>
      <c r="DQ70" s="219">
        <f t="shared" si="6"/>
        <v>0</v>
      </c>
      <c r="DR70" s="219">
        <f t="shared" si="6"/>
        <v>0</v>
      </c>
      <c r="DS70" s="219">
        <f t="shared" si="6"/>
        <v>0</v>
      </c>
      <c r="DT70" s="219">
        <f t="shared" si="6"/>
        <v>0</v>
      </c>
      <c r="DU70" s="219">
        <f t="shared" si="6"/>
        <v>0</v>
      </c>
      <c r="DV70" s="219">
        <f t="shared" si="6"/>
        <v>0</v>
      </c>
      <c r="DW70" s="219">
        <f t="shared" si="6"/>
        <v>0</v>
      </c>
      <c r="DX70" s="219">
        <f t="shared" si="6"/>
        <v>0</v>
      </c>
      <c r="DY70" s="219">
        <f t="shared" si="6"/>
        <v>0</v>
      </c>
      <c r="DZ70" s="219">
        <f t="shared" si="6"/>
        <v>0</v>
      </c>
      <c r="EA70" s="219">
        <f t="shared" si="6"/>
        <v>0</v>
      </c>
      <c r="EB70" s="219">
        <f t="shared" si="6"/>
        <v>0</v>
      </c>
      <c r="EC70" s="219">
        <f t="shared" si="6"/>
        <v>0</v>
      </c>
      <c r="ED70" s="219">
        <f t="shared" si="6"/>
        <v>0</v>
      </c>
      <c r="EE70" s="219">
        <f t="shared" si="6"/>
        <v>0</v>
      </c>
      <c r="EF70" s="219">
        <f t="shared" si="6"/>
        <v>0</v>
      </c>
      <c r="EG70" s="219">
        <f t="shared" si="6"/>
        <v>0</v>
      </c>
      <c r="EH70" s="219">
        <f t="shared" si="6"/>
        <v>0</v>
      </c>
      <c r="EI70" s="219">
        <f t="shared" si="6"/>
        <v>0</v>
      </c>
      <c r="EJ70" s="219">
        <f t="shared" si="6"/>
        <v>0</v>
      </c>
      <c r="EK70" s="219">
        <f t="shared" si="6"/>
        <v>0</v>
      </c>
      <c r="EL70" s="219">
        <f t="shared" si="6"/>
        <v>0</v>
      </c>
      <c r="EM70" s="219">
        <f t="shared" si="6"/>
        <v>0</v>
      </c>
      <c r="EN70" s="219">
        <f t="shared" si="6"/>
        <v>0</v>
      </c>
      <c r="EO70" s="219">
        <f t="shared" si="6"/>
        <v>0</v>
      </c>
      <c r="EP70" s="219">
        <f t="shared" si="6"/>
        <v>0</v>
      </c>
      <c r="EQ70" s="219">
        <f t="shared" si="6"/>
        <v>0</v>
      </c>
      <c r="ER70" s="219">
        <f t="shared" si="6"/>
        <v>0</v>
      </c>
      <c r="ES70" s="219">
        <f t="shared" si="6"/>
        <v>0</v>
      </c>
      <c r="ET70" s="219">
        <f t="shared" si="6"/>
        <v>0</v>
      </c>
      <c r="EU70" s="219">
        <f t="shared" si="6"/>
        <v>0</v>
      </c>
      <c r="EV70" s="219">
        <f t="shared" ref="EV70:GT70" si="7">SUM(EV8:EV69)</f>
        <v>0</v>
      </c>
      <c r="EW70" s="219">
        <f t="shared" si="7"/>
        <v>0</v>
      </c>
      <c r="EX70" s="219">
        <f t="shared" si="7"/>
        <v>0</v>
      </c>
      <c r="EY70" s="219">
        <f t="shared" si="7"/>
        <v>0</v>
      </c>
      <c r="EZ70" s="219">
        <f t="shared" si="7"/>
        <v>0</v>
      </c>
      <c r="FA70" s="219">
        <f t="shared" si="7"/>
        <v>0</v>
      </c>
      <c r="FB70" s="219">
        <f t="shared" si="7"/>
        <v>0</v>
      </c>
      <c r="FC70" s="219">
        <f t="shared" si="7"/>
        <v>0</v>
      </c>
      <c r="FD70" s="219">
        <f t="shared" si="7"/>
        <v>0</v>
      </c>
      <c r="FE70" s="219">
        <f t="shared" si="7"/>
        <v>0</v>
      </c>
      <c r="FF70" s="219">
        <f t="shared" si="7"/>
        <v>0</v>
      </c>
      <c r="FG70" s="219">
        <f t="shared" si="7"/>
        <v>0</v>
      </c>
      <c r="FH70" s="219">
        <f t="shared" si="7"/>
        <v>0</v>
      </c>
      <c r="FI70" s="219">
        <f t="shared" si="7"/>
        <v>0</v>
      </c>
      <c r="FJ70" s="219">
        <f t="shared" si="7"/>
        <v>0</v>
      </c>
      <c r="FK70" s="219">
        <f t="shared" si="7"/>
        <v>0</v>
      </c>
      <c r="FL70" s="219">
        <f t="shared" si="7"/>
        <v>0</v>
      </c>
      <c r="FM70" s="219">
        <f t="shared" si="7"/>
        <v>0</v>
      </c>
      <c r="FN70" s="219">
        <f t="shared" si="7"/>
        <v>0</v>
      </c>
      <c r="FO70" s="219">
        <f t="shared" si="7"/>
        <v>0</v>
      </c>
      <c r="FP70" s="219">
        <f t="shared" si="7"/>
        <v>0</v>
      </c>
      <c r="FQ70" s="219">
        <f t="shared" si="7"/>
        <v>0</v>
      </c>
      <c r="FR70" s="219">
        <f t="shared" si="7"/>
        <v>0</v>
      </c>
      <c r="FS70" s="219">
        <f t="shared" si="7"/>
        <v>0</v>
      </c>
      <c r="FT70" s="219">
        <f t="shared" si="7"/>
        <v>0</v>
      </c>
      <c r="FU70" s="219">
        <f t="shared" si="7"/>
        <v>0</v>
      </c>
      <c r="FV70" s="219">
        <f t="shared" si="7"/>
        <v>0</v>
      </c>
      <c r="FW70" s="219">
        <f t="shared" si="7"/>
        <v>0</v>
      </c>
      <c r="FX70" s="219">
        <f t="shared" si="7"/>
        <v>0</v>
      </c>
      <c r="FY70" s="219">
        <f t="shared" si="7"/>
        <v>0</v>
      </c>
      <c r="FZ70" s="219">
        <f t="shared" si="7"/>
        <v>0</v>
      </c>
      <c r="GA70" s="219">
        <f t="shared" si="7"/>
        <v>0</v>
      </c>
      <c r="GB70" s="219">
        <f t="shared" si="7"/>
        <v>0</v>
      </c>
      <c r="GC70" s="219">
        <f t="shared" si="7"/>
        <v>0</v>
      </c>
      <c r="GD70" s="219">
        <f t="shared" si="7"/>
        <v>0</v>
      </c>
      <c r="GE70" s="219">
        <f t="shared" si="7"/>
        <v>0</v>
      </c>
      <c r="GF70" s="219">
        <f t="shared" si="7"/>
        <v>0</v>
      </c>
      <c r="GG70" s="219">
        <f t="shared" si="7"/>
        <v>0</v>
      </c>
      <c r="GH70" s="219">
        <f t="shared" si="7"/>
        <v>0</v>
      </c>
      <c r="GI70" s="219">
        <f t="shared" si="7"/>
        <v>0</v>
      </c>
      <c r="GJ70" s="219">
        <f t="shared" si="7"/>
        <v>0</v>
      </c>
      <c r="GK70" s="219">
        <f t="shared" si="7"/>
        <v>0</v>
      </c>
      <c r="GL70" s="219">
        <f t="shared" si="7"/>
        <v>0</v>
      </c>
      <c r="GM70" s="219">
        <f t="shared" si="7"/>
        <v>0</v>
      </c>
      <c r="GN70" s="219">
        <f t="shared" si="7"/>
        <v>0</v>
      </c>
      <c r="GO70" s="219">
        <f t="shared" si="7"/>
        <v>0</v>
      </c>
      <c r="GP70" s="219">
        <f t="shared" si="7"/>
        <v>0</v>
      </c>
      <c r="GQ70" s="219">
        <f t="shared" si="7"/>
        <v>0</v>
      </c>
      <c r="GR70" s="219">
        <f t="shared" si="7"/>
        <v>0</v>
      </c>
      <c r="GS70" s="219">
        <f t="shared" si="7"/>
        <v>0</v>
      </c>
      <c r="GT70" s="219">
        <f t="shared" si="7"/>
        <v>0</v>
      </c>
      <c r="GU70" s="219"/>
      <c r="GV70" s="220">
        <f>SUM(GV8:GV69)</f>
        <v>0</v>
      </c>
      <c r="GW70" s="221"/>
      <c r="GX70" s="62"/>
      <c r="GY70" s="62"/>
      <c r="GZ70" s="219"/>
      <c r="HA70" s="223">
        <f>SUM(HA8:HA69)</f>
        <v>116000</v>
      </c>
    </row>
    <row r="71" spans="1:209" x14ac:dyDescent="0.25">
      <c r="D71" s="35"/>
      <c r="E71" s="36"/>
      <c r="F71" s="37"/>
      <c r="G71" s="38"/>
      <c r="H71" s="39"/>
      <c r="I71" s="40"/>
      <c r="J71" s="177"/>
      <c r="N71" s="212"/>
      <c r="O71" s="213"/>
      <c r="P71" s="224"/>
      <c r="Q71" s="225"/>
      <c r="R71" s="226"/>
      <c r="S71" s="226"/>
      <c r="T71" s="226"/>
      <c r="U71" s="39"/>
      <c r="V71" s="217"/>
      <c r="Y71" s="227"/>
      <c r="Z71" s="228"/>
      <c r="AA71" s="229"/>
      <c r="AB71" s="36"/>
      <c r="AC71" s="229"/>
      <c r="AD71" s="230"/>
      <c r="AE71" s="87"/>
      <c r="AH71" s="227"/>
      <c r="AI71" s="228"/>
      <c r="AJ71" s="229"/>
      <c r="AK71" s="36"/>
      <c r="AL71" s="231"/>
      <c r="AM71" s="230"/>
      <c r="AN71" s="87"/>
      <c r="AQ71" s="227"/>
      <c r="AR71" s="228"/>
      <c r="AS71" s="229"/>
      <c r="AT71" s="36"/>
      <c r="AU71" s="229"/>
      <c r="AV71" s="230"/>
      <c r="AW71" s="87"/>
      <c r="AZ71" s="227"/>
      <c r="BA71" s="228"/>
      <c r="BB71" s="229"/>
      <c r="BC71" s="36"/>
      <c r="BD71" s="231"/>
      <c r="BE71" s="230"/>
      <c r="BF71" s="87"/>
      <c r="BI71" s="227"/>
      <c r="BJ71" s="228"/>
      <c r="BK71" s="229"/>
      <c r="BL71" s="36"/>
      <c r="BM71" s="231"/>
      <c r="BN71" s="230"/>
      <c r="BO71" s="87"/>
      <c r="BR71" s="227"/>
      <c r="BS71" s="228"/>
      <c r="BT71" s="229"/>
      <c r="BU71" s="36"/>
      <c r="BV71" s="229"/>
      <c r="BW71" s="230"/>
      <c r="BX71" s="87"/>
      <c r="CA71" s="227"/>
      <c r="CB71" s="228"/>
      <c r="CC71" s="229"/>
      <c r="CD71" s="36"/>
      <c r="CE71" s="229"/>
      <c r="CF71" s="230"/>
      <c r="CG71" s="87"/>
      <c r="CJ71" s="227"/>
      <c r="CK71" s="228"/>
      <c r="CL71" s="229"/>
      <c r="CM71" s="36"/>
      <c r="CN71" s="229"/>
      <c r="CO71" s="230"/>
      <c r="CP71" s="87"/>
      <c r="CS71" s="227"/>
      <c r="CT71" s="228"/>
      <c r="CU71" s="229"/>
      <c r="CV71" s="232"/>
      <c r="CW71" s="231"/>
      <c r="CX71" s="233"/>
      <c r="CY71" s="87"/>
      <c r="DB71" s="227"/>
      <c r="DC71" s="228"/>
      <c r="DD71" s="229"/>
      <c r="DE71" s="36"/>
      <c r="DF71" s="229"/>
      <c r="DG71" s="230"/>
      <c r="DH71" s="87"/>
      <c r="DK71" s="227"/>
      <c r="DL71" s="228"/>
      <c r="DM71" s="229"/>
      <c r="DN71" s="232"/>
      <c r="DO71" s="231"/>
      <c r="DP71" s="233"/>
      <c r="DQ71" s="87"/>
      <c r="DT71" s="227"/>
      <c r="DU71" s="228"/>
      <c r="DV71" s="229"/>
      <c r="DW71" s="36"/>
      <c r="DX71" s="229"/>
      <c r="DY71" s="230"/>
      <c r="DZ71" s="87"/>
      <c r="EC71" s="227"/>
      <c r="ED71" s="228"/>
      <c r="EE71" s="229"/>
      <c r="EF71" s="232"/>
      <c r="EG71" s="231"/>
      <c r="EH71" s="233"/>
      <c r="EI71" s="87"/>
      <c r="EL71" s="227"/>
      <c r="EM71" s="228"/>
      <c r="EN71" s="229"/>
      <c r="EO71" s="232"/>
      <c r="EP71" s="231"/>
      <c r="EQ71" s="233"/>
      <c r="ER71" s="87"/>
      <c r="EU71" s="227"/>
      <c r="EV71" s="228"/>
      <c r="EW71" s="229"/>
      <c r="EX71" s="36"/>
      <c r="EY71" s="229"/>
      <c r="EZ71" s="230"/>
      <c r="FA71" s="87"/>
      <c r="FD71" s="227"/>
      <c r="FE71" s="228"/>
      <c r="FF71" s="229"/>
      <c r="FG71" s="36"/>
      <c r="FH71" s="229"/>
      <c r="FI71" s="230"/>
      <c r="FJ71" s="87"/>
      <c r="FM71" s="227"/>
      <c r="FN71" s="228"/>
      <c r="FO71" s="229"/>
      <c r="FP71" s="36"/>
      <c r="FQ71" s="229"/>
      <c r="FR71" s="230"/>
      <c r="FS71" s="87"/>
      <c r="FV71" s="227"/>
      <c r="FW71" s="228"/>
      <c r="FX71" s="229"/>
      <c r="FY71" s="36"/>
      <c r="FZ71" s="229"/>
      <c r="GA71" s="230"/>
      <c r="GB71" s="87"/>
      <c r="GE71" s="227"/>
      <c r="GF71" s="228"/>
      <c r="GG71" s="229"/>
      <c r="GH71" s="36"/>
      <c r="GI71" s="229"/>
      <c r="GJ71" s="230"/>
      <c r="GK71" s="87"/>
      <c r="GN71" s="227"/>
      <c r="GO71" s="228"/>
      <c r="GP71" s="229"/>
      <c r="GQ71" s="36"/>
      <c r="GR71" s="229"/>
      <c r="GS71" s="230"/>
      <c r="GT71" s="87"/>
      <c r="GU71" s="187"/>
      <c r="GV71"/>
      <c r="GX71" s="235"/>
      <c r="GY71" s="235"/>
      <c r="GZ71" s="195"/>
      <c r="HA71"/>
    </row>
    <row r="72" spans="1:209" ht="16.5" thickBot="1" x14ac:dyDescent="0.3">
      <c r="D72" s="35"/>
      <c r="E72" s="36"/>
      <c r="F72" s="37"/>
      <c r="G72" s="38"/>
      <c r="H72" s="39"/>
      <c r="I72" s="40"/>
      <c r="J72" s="177"/>
      <c r="N72" s="212"/>
      <c r="O72" s="213"/>
      <c r="P72" s="224"/>
      <c r="Q72" s="225"/>
      <c r="R72" s="226"/>
      <c r="S72" s="226"/>
      <c r="T72" s="226"/>
      <c r="U72" s="39"/>
      <c r="V72" s="217"/>
      <c r="Y72" s="227"/>
      <c r="Z72" s="228"/>
      <c r="AA72" s="229"/>
      <c r="AB72" s="36"/>
      <c r="AC72" s="229"/>
      <c r="AD72" s="230"/>
      <c r="AE72" s="87"/>
      <c r="AH72" s="227"/>
      <c r="AI72" s="228"/>
      <c r="AJ72" s="229"/>
      <c r="AK72" s="36"/>
      <c r="AL72" s="231"/>
      <c r="AM72" s="230"/>
      <c r="AN72" s="87"/>
      <c r="AQ72" s="227"/>
      <c r="AR72" s="228"/>
      <c r="AS72" s="229"/>
      <c r="AT72" s="36"/>
      <c r="AU72" s="229"/>
      <c r="AV72" s="230"/>
      <c r="AW72" s="87"/>
      <c r="AZ72" s="227"/>
      <c r="BA72" s="228"/>
      <c r="BB72" s="229"/>
      <c r="BC72" s="36"/>
      <c r="BD72" s="231"/>
      <c r="BE72" s="230"/>
      <c r="BF72" s="87"/>
      <c r="BI72" s="227"/>
      <c r="BJ72" s="228"/>
      <c r="BK72" s="229"/>
      <c r="BL72" s="36"/>
      <c r="BM72" s="231"/>
      <c r="BN72" s="230"/>
      <c r="BO72" s="87"/>
      <c r="BR72" s="227"/>
      <c r="BS72" s="228"/>
      <c r="BT72" s="229"/>
      <c r="BU72" s="36"/>
      <c r="BV72" s="229"/>
      <c r="BW72" s="230"/>
      <c r="BX72" s="87"/>
      <c r="CA72" s="227"/>
      <c r="CB72" s="228"/>
      <c r="CC72" s="229"/>
      <c r="CD72" s="36"/>
      <c r="CE72" s="229"/>
      <c r="CF72" s="230"/>
      <c r="CG72" s="87"/>
      <c r="CJ72" s="227"/>
      <c r="CK72" s="228"/>
      <c r="CL72" s="229"/>
      <c r="CM72" s="36"/>
      <c r="CN72" s="229"/>
      <c r="CO72" s="230"/>
      <c r="CP72" s="87"/>
      <c r="CS72" s="227"/>
      <c r="CT72" s="228"/>
      <c r="CU72" s="229"/>
      <c r="CV72" s="232"/>
      <c r="CW72" s="231"/>
      <c r="CX72" s="233"/>
      <c r="CY72" s="87"/>
      <c r="DB72" s="227"/>
      <c r="DC72" s="228"/>
      <c r="DD72" s="229"/>
      <c r="DE72" s="36"/>
      <c r="DF72" s="229"/>
      <c r="DG72" s="230"/>
      <c r="DH72" s="87"/>
      <c r="DK72" s="227"/>
      <c r="DL72" s="228"/>
      <c r="DM72" s="229"/>
      <c r="DN72" s="232"/>
      <c r="DO72" s="231"/>
      <c r="DP72" s="233"/>
      <c r="DQ72" s="87"/>
      <c r="DT72" s="227"/>
      <c r="DU72" s="228"/>
      <c r="DV72" s="229"/>
      <c r="DW72" s="36"/>
      <c r="DX72" s="229"/>
      <c r="DY72" s="230"/>
      <c r="DZ72" s="87"/>
      <c r="EC72" s="227"/>
      <c r="ED72" s="228"/>
      <c r="EE72" s="229"/>
      <c r="EF72" s="232"/>
      <c r="EG72" s="231"/>
      <c r="EH72" s="233"/>
      <c r="EI72" s="87"/>
      <c r="EL72" s="227"/>
      <c r="EM72" s="228"/>
      <c r="EN72" s="229"/>
      <c r="EO72" s="232"/>
      <c r="EP72" s="231"/>
      <c r="EQ72" s="233"/>
      <c r="ER72" s="87"/>
      <c r="EU72" s="227"/>
      <c r="EV72" s="228"/>
      <c r="EW72" s="229"/>
      <c r="EX72" s="36"/>
      <c r="EY72" s="229"/>
      <c r="EZ72" s="230"/>
      <c r="FA72" s="87"/>
      <c r="FD72" s="227"/>
      <c r="FE72" s="228"/>
      <c r="FF72" s="229"/>
      <c r="FG72" s="36"/>
      <c r="FH72" s="229"/>
      <c r="FI72" s="230"/>
      <c r="FJ72" s="87"/>
      <c r="FM72" s="227"/>
      <c r="FN72" s="228"/>
      <c r="FO72" s="229"/>
      <c r="FP72" s="36"/>
      <c r="FQ72" s="229"/>
      <c r="FR72" s="230"/>
      <c r="FS72" s="87"/>
      <c r="FV72" s="227"/>
      <c r="FW72" s="228"/>
      <c r="FX72" s="229"/>
      <c r="FY72" s="36"/>
      <c r="FZ72" s="229"/>
      <c r="GA72" s="230"/>
      <c r="GB72" s="87"/>
      <c r="GE72" s="227"/>
      <c r="GF72" s="228"/>
      <c r="GG72" s="229"/>
      <c r="GH72" s="36"/>
      <c r="GI72" s="229"/>
      <c r="GJ72" s="230"/>
      <c r="GK72" s="87"/>
      <c r="GN72" s="227"/>
      <c r="GO72" s="228"/>
      <c r="GP72" s="229"/>
      <c r="GQ72" s="36"/>
      <c r="GR72" s="229"/>
      <c r="GS72" s="230"/>
      <c r="GT72" s="87"/>
      <c r="GU72" s="187"/>
      <c r="GV72"/>
      <c r="GX72" s="235"/>
      <c r="GY72" s="235"/>
      <c r="GZ72" s="195"/>
      <c r="HA72"/>
    </row>
    <row r="73" spans="1:209" ht="16.5" thickTop="1" x14ac:dyDescent="0.25">
      <c r="D73" s="35"/>
      <c r="E73" s="36"/>
      <c r="F73" s="37"/>
      <c r="G73" s="38"/>
      <c r="H73" s="39"/>
      <c r="I73" s="40"/>
      <c r="J73" s="177"/>
      <c r="N73" s="212"/>
      <c r="P73" s="876" t="s">
        <v>30</v>
      </c>
      <c r="Q73" s="877"/>
      <c r="R73" s="877"/>
      <c r="S73" s="237"/>
      <c r="T73" s="237"/>
      <c r="U73" s="880">
        <f>HA70+GV70+X70+U70+S70</f>
        <v>20368300.260000002</v>
      </c>
      <c r="V73" s="881"/>
      <c r="Y73" s="227"/>
      <c r="Z73" s="228"/>
      <c r="AA73" s="229"/>
      <c r="AB73" s="36"/>
      <c r="AC73" s="229"/>
      <c r="AD73" s="230"/>
      <c r="AE73" s="87"/>
      <c r="AH73" s="227"/>
      <c r="AI73" s="228"/>
      <c r="AJ73" s="229"/>
      <c r="AK73" s="36"/>
      <c r="AL73" s="231"/>
      <c r="AM73" s="230"/>
      <c r="AN73" s="87"/>
      <c r="AQ73" s="227"/>
      <c r="AR73" s="228"/>
      <c r="AS73" s="229"/>
      <c r="AT73" s="36"/>
      <c r="AU73" s="229"/>
      <c r="AV73" s="230"/>
      <c r="AW73" s="87"/>
      <c r="AZ73" s="227"/>
      <c r="BA73" s="228"/>
      <c r="BB73" s="229"/>
      <c r="BC73" s="36"/>
      <c r="BD73" s="231"/>
      <c r="BE73" s="230"/>
      <c r="BF73" s="87"/>
      <c r="BI73" s="227"/>
      <c r="BJ73" s="228"/>
      <c r="BK73" s="229"/>
      <c r="BL73" s="36"/>
      <c r="BM73" s="231"/>
      <c r="BN73" s="230"/>
      <c r="BO73" s="87"/>
      <c r="BR73" s="227"/>
      <c r="BS73" s="228"/>
      <c r="BT73" s="229"/>
      <c r="BU73" s="36"/>
      <c r="BV73" s="229"/>
      <c r="BW73" s="230"/>
      <c r="BX73" s="87"/>
      <c r="CA73" s="227"/>
      <c r="CB73" s="228"/>
      <c r="CC73" s="229"/>
      <c r="CD73" s="36"/>
      <c r="CE73" s="229"/>
      <c r="CF73" s="230"/>
      <c r="CG73" s="87"/>
      <c r="CJ73" s="227"/>
      <c r="CK73" s="228"/>
      <c r="CL73" s="229"/>
      <c r="CM73" s="36"/>
      <c r="CN73" s="229"/>
      <c r="CO73" s="230"/>
      <c r="CP73" s="87"/>
      <c r="CS73" s="227"/>
      <c r="CT73" s="228"/>
      <c r="CU73" s="229"/>
      <c r="CV73" s="232"/>
      <c r="CW73" s="231"/>
      <c r="CX73" s="233"/>
      <c r="CY73" s="87"/>
      <c r="DB73" s="227"/>
      <c r="DC73" s="228"/>
      <c r="DD73" s="229"/>
      <c r="DE73" s="36"/>
      <c r="DF73" s="229"/>
      <c r="DG73" s="230"/>
      <c r="DH73" s="87"/>
      <c r="DK73" s="227"/>
      <c r="DL73" s="228"/>
      <c r="DM73" s="229"/>
      <c r="DN73" s="232"/>
      <c r="DO73" s="231"/>
      <c r="DP73" s="233"/>
      <c r="DQ73" s="87"/>
      <c r="DT73" s="227"/>
      <c r="DU73" s="228"/>
      <c r="DV73" s="229"/>
      <c r="DW73" s="36"/>
      <c r="DX73" s="229"/>
      <c r="DY73" s="230"/>
      <c r="DZ73" s="87"/>
      <c r="EC73" s="227"/>
      <c r="ED73" s="228"/>
      <c r="EE73" s="229"/>
      <c r="EF73" s="232"/>
      <c r="EG73" s="231"/>
      <c r="EH73" s="233"/>
      <c r="EI73" s="87"/>
      <c r="EL73" s="227"/>
      <c r="EM73" s="228"/>
      <c r="EN73" s="229"/>
      <c r="EO73" s="232"/>
      <c r="EP73" s="231"/>
      <c r="EQ73" s="233"/>
      <c r="ER73" s="87"/>
      <c r="EU73" s="227"/>
      <c r="EV73" s="228"/>
      <c r="EW73" s="229"/>
      <c r="EX73" s="36"/>
      <c r="EY73" s="229"/>
      <c r="EZ73" s="230"/>
      <c r="FA73" s="87"/>
      <c r="FD73" s="227"/>
      <c r="FE73" s="228"/>
      <c r="FF73" s="229"/>
      <c r="FG73" s="36"/>
      <c r="FH73" s="229"/>
      <c r="FI73" s="230"/>
      <c r="FJ73" s="87"/>
      <c r="FM73" s="227"/>
      <c r="FN73" s="228"/>
      <c r="FO73" s="229"/>
      <c r="FP73" s="36"/>
      <c r="FQ73" s="229"/>
      <c r="FR73" s="230"/>
      <c r="FS73" s="87"/>
      <c r="FV73" s="227"/>
      <c r="FW73" s="228"/>
      <c r="FX73" s="229"/>
      <c r="FY73" s="36"/>
      <c r="FZ73" s="229"/>
      <c r="GA73" s="230"/>
      <c r="GB73" s="87"/>
      <c r="GE73" s="227"/>
      <c r="GF73" s="228"/>
      <c r="GG73" s="229"/>
      <c r="GH73" s="36"/>
      <c r="GI73" s="229"/>
      <c r="GJ73" s="230"/>
      <c r="GK73" s="87"/>
      <c r="GN73" s="227"/>
      <c r="GO73" s="228"/>
      <c r="GP73" s="229"/>
      <c r="GQ73" s="36"/>
      <c r="GR73" s="229"/>
      <c r="GS73" s="230"/>
      <c r="GT73" s="87"/>
      <c r="GU73" s="187"/>
      <c r="GV73"/>
      <c r="GX73" s="235"/>
      <c r="GY73" s="235"/>
      <c r="GZ73" s="195"/>
      <c r="HA73"/>
    </row>
    <row r="74" spans="1:209" ht="16.5" thickBot="1" x14ac:dyDescent="0.3">
      <c r="D74" s="35"/>
      <c r="E74" s="36"/>
      <c r="F74" s="37"/>
      <c r="G74" s="38"/>
      <c r="H74" s="39"/>
      <c r="I74" s="40"/>
      <c r="J74" s="238"/>
      <c r="N74" s="212"/>
      <c r="P74" s="878"/>
      <c r="Q74" s="879"/>
      <c r="R74" s="879"/>
      <c r="S74" s="239"/>
      <c r="T74" s="239"/>
      <c r="U74" s="882"/>
      <c r="V74" s="883"/>
      <c r="Y74" s="227"/>
      <c r="Z74" s="228"/>
      <c r="AA74" s="229"/>
      <c r="AB74" s="36"/>
      <c r="AC74" s="229"/>
      <c r="AD74" s="230"/>
      <c r="AE74" s="87"/>
      <c r="AH74" s="227"/>
      <c r="AI74" s="228"/>
      <c r="AJ74" s="229"/>
      <c r="AK74" s="36"/>
      <c r="AL74" s="231"/>
      <c r="AM74" s="230"/>
      <c r="AN74" s="87"/>
      <c r="AQ74" s="227"/>
      <c r="AR74" s="228"/>
      <c r="AS74" s="229"/>
      <c r="AT74" s="36"/>
      <c r="AU74" s="229"/>
      <c r="AV74" s="230"/>
      <c r="AW74" s="87"/>
      <c r="AZ74" s="227"/>
      <c r="BA74" s="228"/>
      <c r="BB74" s="229"/>
      <c r="BC74" s="36"/>
      <c r="BD74" s="231"/>
      <c r="BE74" s="230"/>
      <c r="BF74" s="87"/>
      <c r="BI74" s="227"/>
      <c r="BJ74" s="228"/>
      <c r="BK74" s="229"/>
      <c r="BL74" s="36"/>
      <c r="BM74" s="231"/>
      <c r="BN74" s="230"/>
      <c r="BO74" s="87"/>
      <c r="BR74" s="227"/>
      <c r="BS74" s="228"/>
      <c r="BT74" s="229"/>
      <c r="BU74" s="36"/>
      <c r="BV74" s="229"/>
      <c r="BW74" s="230"/>
      <c r="BX74" s="87"/>
      <c r="CA74" s="227"/>
      <c r="CB74" s="228"/>
      <c r="CC74" s="229"/>
      <c r="CD74" s="36"/>
      <c r="CE74" s="229"/>
      <c r="CF74" s="230"/>
      <c r="CG74" s="87"/>
      <c r="CJ74" s="227"/>
      <c r="CK74" s="228"/>
      <c r="CL74" s="229"/>
      <c r="CM74" s="36"/>
      <c r="CN74" s="229"/>
      <c r="CO74" s="230"/>
      <c r="CP74" s="87"/>
      <c r="CS74" s="227"/>
      <c r="CT74" s="228"/>
      <c r="CU74" s="229"/>
      <c r="CV74" s="232"/>
      <c r="CW74" s="231"/>
      <c r="CX74" s="233"/>
      <c r="CY74" s="87"/>
      <c r="DB74" s="227"/>
      <c r="DC74" s="228"/>
      <c r="DD74" s="229"/>
      <c r="DE74" s="36"/>
      <c r="DF74" s="229"/>
      <c r="DG74" s="230"/>
      <c r="DH74" s="87"/>
      <c r="DK74" s="227"/>
      <c r="DL74" s="228"/>
      <c r="DM74" s="229"/>
      <c r="DN74" s="232"/>
      <c r="DO74" s="231"/>
      <c r="DP74" s="233"/>
      <c r="DQ74" s="87"/>
      <c r="DT74" s="227"/>
      <c r="DU74" s="228"/>
      <c r="DV74" s="229"/>
      <c r="DW74" s="36"/>
      <c r="DX74" s="229"/>
      <c r="DY74" s="230"/>
      <c r="DZ74" s="87"/>
      <c r="EC74" s="227"/>
      <c r="ED74" s="228"/>
      <c r="EE74" s="229"/>
      <c r="EF74" s="232"/>
      <c r="EG74" s="231"/>
      <c r="EH74" s="233"/>
      <c r="EI74" s="87"/>
      <c r="EL74" s="227"/>
      <c r="EM74" s="228"/>
      <c r="EN74" s="229"/>
      <c r="EO74" s="232"/>
      <c r="EP74" s="231"/>
      <c r="EQ74" s="233"/>
      <c r="ER74" s="87"/>
      <c r="EU74" s="227"/>
      <c r="EV74" s="228"/>
      <c r="EW74" s="229"/>
      <c r="EX74" s="36"/>
      <c r="EY74" s="229"/>
      <c r="EZ74" s="230"/>
      <c r="FA74" s="87"/>
      <c r="FD74" s="227"/>
      <c r="FE74" s="228"/>
      <c r="FF74" s="229"/>
      <c r="FG74" s="36"/>
      <c r="FH74" s="229"/>
      <c r="FI74" s="230"/>
      <c r="FJ74" s="87"/>
      <c r="FM74" s="227"/>
      <c r="FN74" s="228"/>
      <c r="FO74" s="229"/>
      <c r="FP74" s="36"/>
      <c r="FQ74" s="229"/>
      <c r="FR74" s="230"/>
      <c r="FS74" s="87"/>
      <c r="FV74" s="227"/>
      <c r="FW74" s="228"/>
      <c r="FX74" s="229"/>
      <c r="FY74" s="36"/>
      <c r="FZ74" s="229"/>
      <c r="GA74" s="230"/>
      <c r="GB74" s="87"/>
      <c r="GE74" s="227"/>
      <c r="GF74" s="228"/>
      <c r="GG74" s="229"/>
      <c r="GH74" s="36"/>
      <c r="GI74" s="229"/>
      <c r="GJ74" s="230"/>
      <c r="GK74" s="87"/>
      <c r="GN74" s="227"/>
      <c r="GO74" s="228"/>
      <c r="GP74" s="229"/>
      <c r="GQ74" s="36"/>
      <c r="GR74" s="229"/>
      <c r="GS74" s="230"/>
      <c r="GT74" s="87"/>
      <c r="GU74" s="187"/>
      <c r="GV74"/>
      <c r="GX74" s="235"/>
      <c r="GY74" s="235"/>
      <c r="GZ74" s="195"/>
      <c r="HA74"/>
    </row>
    <row r="75" spans="1:209" ht="16.5" thickTop="1" x14ac:dyDescent="0.25">
      <c r="D75" s="35"/>
      <c r="E75" s="36"/>
      <c r="F75" s="37"/>
      <c r="G75" s="38"/>
      <c r="H75" s="39"/>
      <c r="I75" s="40"/>
      <c r="J75" s="238"/>
      <c r="N75" s="212"/>
      <c r="P75" s="224"/>
      <c r="Q75" s="225"/>
      <c r="R75" s="226"/>
      <c r="S75" s="226"/>
      <c r="T75" s="226"/>
      <c r="U75" s="39"/>
      <c r="V75" s="217"/>
      <c r="Y75" s="227"/>
      <c r="Z75" s="228"/>
      <c r="AA75" s="229"/>
      <c r="AB75" s="36"/>
      <c r="AC75" s="229"/>
      <c r="AD75" s="230"/>
      <c r="AE75" s="87"/>
      <c r="AH75" s="227"/>
      <c r="AI75" s="228"/>
      <c r="AJ75" s="229"/>
      <c r="AK75" s="36"/>
      <c r="AL75" s="231"/>
      <c r="AM75" s="230"/>
      <c r="AN75" s="87"/>
      <c r="AQ75" s="227"/>
      <c r="AR75" s="228"/>
      <c r="AS75" s="229"/>
      <c r="AT75" s="36"/>
      <c r="AU75" s="229"/>
      <c r="AV75" s="230"/>
      <c r="AW75" s="87"/>
      <c r="AZ75" s="227"/>
      <c r="BA75" s="228"/>
      <c r="BB75" s="229"/>
      <c r="BC75" s="36"/>
      <c r="BD75" s="231"/>
      <c r="BE75" s="230"/>
      <c r="BF75" s="87"/>
      <c r="BI75" s="227"/>
      <c r="BJ75" s="228"/>
      <c r="BK75" s="229"/>
      <c r="BL75" s="36"/>
      <c r="BM75" s="231"/>
      <c r="BN75" s="230"/>
      <c r="BO75" s="87"/>
      <c r="BR75" s="227"/>
      <c r="BS75" s="228"/>
      <c r="BT75" s="229"/>
      <c r="BU75" s="36"/>
      <c r="BV75" s="229"/>
      <c r="BW75" s="230"/>
      <c r="BX75" s="87"/>
      <c r="CA75" s="227"/>
      <c r="CB75" s="228"/>
      <c r="CC75" s="229"/>
      <c r="CD75" s="36"/>
      <c r="CE75" s="229"/>
      <c r="CF75" s="230"/>
      <c r="CG75" s="87"/>
      <c r="CJ75" s="227"/>
      <c r="CK75" s="228"/>
      <c r="CL75" s="229"/>
      <c r="CM75" s="36"/>
      <c r="CN75" s="229"/>
      <c r="CO75" s="230"/>
      <c r="CP75" s="87"/>
      <c r="CS75" s="227"/>
      <c r="CT75" s="228"/>
      <c r="CU75" s="229"/>
      <c r="CV75" s="232"/>
      <c r="CW75" s="231"/>
      <c r="CX75" s="233"/>
      <c r="CY75" s="87"/>
      <c r="DB75" s="227"/>
      <c r="DC75" s="228"/>
      <c r="DD75" s="229"/>
      <c r="DE75" s="36"/>
      <c r="DF75" s="229"/>
      <c r="DG75" s="230"/>
      <c r="DH75" s="87"/>
      <c r="DK75" s="227"/>
      <c r="DL75" s="228"/>
      <c r="DM75" s="229"/>
      <c r="DN75" s="232"/>
      <c r="DO75" s="231"/>
      <c r="DP75" s="233"/>
      <c r="DQ75" s="87"/>
      <c r="DT75" s="227"/>
      <c r="DU75" s="228"/>
      <c r="DV75" s="229"/>
      <c r="DW75" s="36"/>
      <c r="DX75" s="229"/>
      <c r="DY75" s="230"/>
      <c r="DZ75" s="87"/>
      <c r="EC75" s="227"/>
      <c r="ED75" s="228"/>
      <c r="EE75" s="229"/>
      <c r="EF75" s="232"/>
      <c r="EG75" s="231"/>
      <c r="EH75" s="233"/>
      <c r="EI75" s="87"/>
      <c r="EL75" s="227"/>
      <c r="EM75" s="228"/>
      <c r="EN75" s="229"/>
      <c r="EO75" s="232"/>
      <c r="EP75" s="231"/>
      <c r="EQ75" s="233"/>
      <c r="ER75" s="87"/>
      <c r="EU75" s="227"/>
      <c r="EV75" s="228"/>
      <c r="EW75" s="229"/>
      <c r="EX75" s="36"/>
      <c r="EY75" s="229"/>
      <c r="EZ75" s="230"/>
      <c r="FA75" s="87"/>
      <c r="FD75" s="227"/>
      <c r="FE75" s="228"/>
      <c r="FF75" s="229"/>
      <c r="FG75" s="36"/>
      <c r="FH75" s="229"/>
      <c r="FI75" s="230"/>
      <c r="FJ75" s="87"/>
      <c r="FM75" s="227"/>
      <c r="FN75" s="228"/>
      <c r="FO75" s="229"/>
      <c r="FP75" s="36"/>
      <c r="FQ75" s="229"/>
      <c r="FR75" s="230"/>
      <c r="FS75" s="87"/>
      <c r="FV75" s="227"/>
      <c r="FW75" s="228"/>
      <c r="FX75" s="229"/>
      <c r="FY75" s="36"/>
      <c r="FZ75" s="229"/>
      <c r="GA75" s="230"/>
      <c r="GB75" s="87"/>
      <c r="GE75" s="227"/>
      <c r="GF75" s="228"/>
      <c r="GG75" s="229"/>
      <c r="GH75" s="36"/>
      <c r="GI75" s="229"/>
      <c r="GJ75" s="230"/>
      <c r="GK75" s="87"/>
      <c r="GN75" s="227"/>
      <c r="GO75" s="228"/>
      <c r="GP75" s="229"/>
      <c r="GQ75" s="36"/>
      <c r="GR75" s="229"/>
      <c r="GS75" s="230"/>
      <c r="GT75" s="87"/>
      <c r="GU75" s="187"/>
      <c r="GV75"/>
      <c r="GX75" s="235"/>
      <c r="GY75" s="235"/>
      <c r="GZ75" s="195"/>
      <c r="HA75"/>
    </row>
    <row r="76" spans="1:209" x14ac:dyDescent="0.25">
      <c r="D76" s="35"/>
      <c r="E76" s="36"/>
      <c r="F76" s="37"/>
      <c r="G76" s="38"/>
      <c r="H76" s="39"/>
      <c r="I76" s="40"/>
      <c r="J76" s="177"/>
      <c r="N76" s="212"/>
      <c r="P76" s="224"/>
      <c r="Q76" s="225"/>
      <c r="R76" s="226"/>
      <c r="S76" s="226"/>
      <c r="T76" s="226"/>
      <c r="U76" s="39"/>
      <c r="V76" s="217"/>
      <c r="Y76" s="227"/>
      <c r="Z76" s="228"/>
      <c r="AA76" s="229"/>
      <c r="AB76" s="36"/>
      <c r="AC76" s="229"/>
      <c r="AD76" s="230"/>
      <c r="AE76" s="87"/>
      <c r="AH76" s="227"/>
      <c r="AI76" s="228"/>
      <c r="AJ76" s="229"/>
      <c r="AK76" s="36"/>
      <c r="AL76" s="231"/>
      <c r="AM76" s="230"/>
      <c r="AN76" s="87"/>
      <c r="AQ76" s="227"/>
      <c r="AR76" s="228"/>
      <c r="AS76" s="229"/>
      <c r="AT76" s="36"/>
      <c r="AU76" s="229"/>
      <c r="AV76" s="230"/>
      <c r="AW76" s="87"/>
      <c r="AZ76" s="227"/>
      <c r="BA76" s="228"/>
      <c r="BB76" s="229"/>
      <c r="BC76" s="36"/>
      <c r="BD76" s="231"/>
      <c r="BE76" s="230"/>
      <c r="BF76" s="87"/>
      <c r="BI76" s="227"/>
      <c r="BJ76" s="228"/>
      <c r="BK76" s="229"/>
      <c r="BL76" s="36"/>
      <c r="BM76" s="231"/>
      <c r="BN76" s="230"/>
      <c r="BO76" s="87"/>
      <c r="BR76" s="227"/>
      <c r="BS76" s="228"/>
      <c r="BT76" s="229"/>
      <c r="BU76" s="36"/>
      <c r="BV76" s="229"/>
      <c r="BW76" s="230"/>
      <c r="BX76" s="87"/>
      <c r="CA76" s="227"/>
      <c r="CB76" s="228"/>
      <c r="CC76" s="229"/>
      <c r="CD76" s="36"/>
      <c r="CE76" s="229"/>
      <c r="CF76" s="230"/>
      <c r="CG76" s="87"/>
      <c r="CJ76" s="227"/>
      <c r="CK76" s="228"/>
      <c r="CL76" s="229"/>
      <c r="CM76" s="36"/>
      <c r="CN76" s="229"/>
      <c r="CO76" s="230"/>
      <c r="CP76" s="87"/>
      <c r="CS76" s="227"/>
      <c r="CT76" s="228"/>
      <c r="CU76" s="229"/>
      <c r="CV76" s="232"/>
      <c r="CW76" s="231"/>
      <c r="CX76" s="233"/>
      <c r="CY76" s="87"/>
      <c r="DB76" s="227"/>
      <c r="DC76" s="228"/>
      <c r="DD76" s="229"/>
      <c r="DE76" s="36"/>
      <c r="DF76" s="229"/>
      <c r="DG76" s="230"/>
      <c r="DH76" s="87"/>
      <c r="DK76" s="227"/>
      <c r="DL76" s="228"/>
      <c r="DM76" s="229"/>
      <c r="DN76" s="232"/>
      <c r="DO76" s="231"/>
      <c r="DP76" s="233"/>
      <c r="DQ76" s="87"/>
      <c r="DT76" s="227"/>
      <c r="DU76" s="228"/>
      <c r="DV76" s="229"/>
      <c r="DW76" s="36"/>
      <c r="DX76" s="229"/>
      <c r="DY76" s="230"/>
      <c r="DZ76" s="87"/>
      <c r="EC76" s="227"/>
      <c r="ED76" s="228"/>
      <c r="EE76" s="229"/>
      <c r="EF76" s="232"/>
      <c r="EG76" s="231"/>
      <c r="EH76" s="233"/>
      <c r="EI76" s="87"/>
      <c r="EL76" s="227"/>
      <c r="EM76" s="228"/>
      <c r="EN76" s="229"/>
      <c r="EO76" s="232"/>
      <c r="EP76" s="231"/>
      <c r="EQ76" s="233"/>
      <c r="ER76" s="87"/>
      <c r="EU76" s="227"/>
      <c r="EV76" s="228"/>
      <c r="EW76" s="229"/>
      <c r="EX76" s="36"/>
      <c r="EY76" s="229"/>
      <c r="EZ76" s="230"/>
      <c r="FA76" s="87"/>
      <c r="FD76" s="227"/>
      <c r="FE76" s="228"/>
      <c r="FF76" s="229"/>
      <c r="FG76" s="36"/>
      <c r="FH76" s="229"/>
      <c r="FI76" s="230"/>
      <c r="FJ76" s="87"/>
      <c r="FM76" s="227"/>
      <c r="FN76" s="228"/>
      <c r="FO76" s="229"/>
      <c r="FP76" s="36"/>
      <c r="FQ76" s="229"/>
      <c r="FR76" s="230"/>
      <c r="FS76" s="87"/>
      <c r="FV76" s="227"/>
      <c r="FW76" s="228"/>
      <c r="FX76" s="229"/>
      <c r="FY76" s="36"/>
      <c r="FZ76" s="229"/>
      <c r="GA76" s="230"/>
      <c r="GB76" s="87"/>
      <c r="GE76" s="227"/>
      <c r="GF76" s="228"/>
      <c r="GG76" s="229"/>
      <c r="GH76" s="36"/>
      <c r="GI76" s="229"/>
      <c r="GJ76" s="230"/>
      <c r="GK76" s="87"/>
      <c r="GN76" s="227"/>
      <c r="GO76" s="228"/>
      <c r="GP76" s="229"/>
      <c r="GQ76" s="36"/>
      <c r="GR76" s="229"/>
      <c r="GS76" s="230"/>
      <c r="GT76" s="87"/>
      <c r="GU76" s="187"/>
      <c r="GV76"/>
      <c r="GX76" s="235"/>
      <c r="GY76" s="235"/>
      <c r="GZ76" s="195"/>
      <c r="HA76"/>
    </row>
    <row r="77" spans="1:209" x14ac:dyDescent="0.25">
      <c r="A77" s="1">
        <v>25</v>
      </c>
      <c r="B77" t="e">
        <f>#REF!</f>
        <v>#REF!</v>
      </c>
      <c r="C77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77"/>
      <c r="N77" s="212"/>
      <c r="P77" s="224"/>
      <c r="Q77" s="240"/>
      <c r="R77" s="226"/>
      <c r="S77" s="226"/>
      <c r="T77" s="226"/>
      <c r="U77" s="39"/>
      <c r="V77" s="241"/>
      <c r="Y77" s="227"/>
      <c r="Z77" s="228"/>
      <c r="AA77" s="229"/>
      <c r="AB77" s="198"/>
      <c r="AC77" s="197"/>
      <c r="AD77" s="199"/>
      <c r="AE77" s="200"/>
      <c r="AH77" s="227"/>
      <c r="AI77" s="228"/>
      <c r="AJ77" s="229"/>
      <c r="AK77" s="232"/>
      <c r="AL77" s="231"/>
      <c r="AM77" s="233"/>
      <c r="AN77" s="87"/>
      <c r="AQ77" s="227"/>
      <c r="AR77" s="228">
        <v>21</v>
      </c>
      <c r="AS77" s="229"/>
      <c r="AT77" s="232"/>
      <c r="AU77" s="229"/>
      <c r="AV77" s="233"/>
      <c r="AW77" s="87"/>
      <c r="AZ77" s="227"/>
      <c r="BA77" s="228">
        <v>21</v>
      </c>
      <c r="BB77" s="229"/>
      <c r="BC77" s="232"/>
      <c r="BD77" s="231"/>
      <c r="BE77" s="233"/>
      <c r="BF77" s="87"/>
      <c r="BI77" s="227"/>
      <c r="BJ77" s="228"/>
      <c r="BK77" s="229"/>
      <c r="BL77" s="232"/>
      <c r="BM77" s="231"/>
      <c r="BN77" s="233"/>
      <c r="BO77" s="87"/>
      <c r="BR77" s="227"/>
      <c r="BS77" s="228"/>
      <c r="BT77" s="229"/>
      <c r="BU77" s="36"/>
      <c r="BV77" s="229"/>
      <c r="BW77" s="230"/>
      <c r="BX77" s="87"/>
      <c r="CA77" s="227"/>
      <c r="CB77" s="228"/>
      <c r="CC77" s="229"/>
      <c r="CD77" s="36"/>
      <c r="CE77" s="229"/>
      <c r="CF77" s="230"/>
      <c r="CG77" s="87"/>
      <c r="CJ77" s="227"/>
      <c r="CK77" s="228">
        <v>21</v>
      </c>
      <c r="CL77" s="229"/>
      <c r="CM77" s="36"/>
      <c r="CN77" s="229"/>
      <c r="CO77" s="230"/>
      <c r="CP77" s="87"/>
      <c r="CS77" s="227"/>
      <c r="CT77" s="228"/>
      <c r="CU77" s="229"/>
      <c r="CV77" s="232"/>
      <c r="CW77" s="231"/>
      <c r="CX77" s="233"/>
      <c r="CY77" s="87"/>
      <c r="DB77" s="227"/>
      <c r="DC77" s="228">
        <v>21</v>
      </c>
      <c r="DD77" s="229"/>
      <c r="DE77" s="36"/>
      <c r="DF77" s="229"/>
      <c r="DG77" s="230"/>
      <c r="DH77" s="87"/>
      <c r="DK77" s="227"/>
      <c r="DL77" s="228"/>
      <c r="DM77" s="229"/>
      <c r="DN77" s="232"/>
      <c r="DO77" s="231"/>
      <c r="DP77" s="233"/>
      <c r="DQ77" s="87"/>
      <c r="DT77" s="227"/>
      <c r="DU77" s="228"/>
      <c r="DV77" s="229"/>
      <c r="DW77" s="36"/>
      <c r="DX77" s="229"/>
      <c r="DY77" s="230"/>
      <c r="DZ77" s="87"/>
      <c r="EC77" s="227"/>
      <c r="ED77" s="228">
        <v>21</v>
      </c>
      <c r="EE77" s="229"/>
      <c r="EF77" s="232"/>
      <c r="EG77" s="231"/>
      <c r="EH77" s="233"/>
      <c r="EI77" s="87"/>
      <c r="EL77" s="227"/>
      <c r="EM77" s="228">
        <v>21</v>
      </c>
      <c r="EN77" s="229"/>
      <c r="EO77" s="232"/>
      <c r="EP77" s="231"/>
      <c r="EQ77" s="233"/>
      <c r="ER77" s="87"/>
      <c r="EU77" s="227"/>
      <c r="EV77" s="228">
        <v>21</v>
      </c>
      <c r="EW77" s="229"/>
      <c r="EX77" s="36"/>
      <c r="EY77" s="229"/>
      <c r="EZ77" s="230"/>
      <c r="FA77" s="87"/>
      <c r="FD77" s="227"/>
      <c r="FE77" s="228">
        <v>21</v>
      </c>
      <c r="FF77" s="229"/>
      <c r="FG77" s="36"/>
      <c r="FH77" s="229"/>
      <c r="FI77" s="230"/>
      <c r="FJ77" s="87"/>
      <c r="FM77" s="227"/>
      <c r="FN77" s="228">
        <v>21</v>
      </c>
      <c r="FO77" s="229"/>
      <c r="FP77" s="36"/>
      <c r="FQ77" s="229"/>
      <c r="FR77" s="230"/>
      <c r="FS77" s="87"/>
      <c r="FV77" s="227"/>
      <c r="FW77" s="228">
        <v>21</v>
      </c>
      <c r="FX77" s="229"/>
      <c r="FY77" s="36"/>
      <c r="FZ77" s="229"/>
      <c r="GA77" s="230"/>
      <c r="GB77" s="87"/>
      <c r="GE77" s="227"/>
      <c r="GF77" s="228">
        <v>21</v>
      </c>
      <c r="GG77" s="229"/>
      <c r="GH77" s="36"/>
      <c r="GI77" s="229"/>
      <c r="GJ77" s="230"/>
      <c r="GK77" s="87"/>
      <c r="GN77" s="227"/>
      <c r="GO77" s="228">
        <v>21</v>
      </c>
      <c r="GP77" s="229"/>
      <c r="GQ77" s="36"/>
      <c r="GR77" s="229"/>
      <c r="GS77" s="230"/>
      <c r="GT77" s="87"/>
      <c r="GU77" s="187"/>
      <c r="GV77"/>
      <c r="GX77" s="235"/>
      <c r="GY77" s="235"/>
      <c r="GZ77" s="195"/>
      <c r="HA77"/>
    </row>
    <row r="78" spans="1:209" x14ac:dyDescent="0.25">
      <c r="A78" s="1">
        <v>26</v>
      </c>
      <c r="B78" t="e">
        <f>#REF!</f>
        <v>#REF!</v>
      </c>
      <c r="C78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38"/>
      <c r="N78" s="212"/>
      <c r="U78" s="39"/>
      <c r="V78" s="242"/>
      <c r="Y78" s="227"/>
      <c r="Z78" s="228"/>
      <c r="AA78" s="229"/>
      <c r="AB78" s="36"/>
      <c r="AC78" s="229"/>
      <c r="AD78" s="230"/>
      <c r="AE78" s="87"/>
      <c r="AH78" s="227"/>
      <c r="AI78" s="228"/>
      <c r="AJ78" s="229"/>
      <c r="AK78" s="232"/>
      <c r="AL78" s="231"/>
      <c r="AM78" s="233"/>
      <c r="AN78" s="87"/>
      <c r="AQ78" s="227"/>
      <c r="AR78" s="228">
        <v>22</v>
      </c>
      <c r="AS78" s="231"/>
      <c r="AT78" s="232"/>
      <c r="AU78" s="229"/>
      <c r="AV78" s="233"/>
      <c r="AW78" s="87"/>
      <c r="AZ78" s="227"/>
      <c r="BA78" s="228">
        <v>22</v>
      </c>
      <c r="BB78" s="229"/>
      <c r="BC78" s="232"/>
      <c r="BD78" s="231"/>
      <c r="BE78" s="233"/>
      <c r="BF78" s="87"/>
      <c r="BI78" s="227"/>
      <c r="BJ78" s="228"/>
      <c r="BK78" s="229"/>
      <c r="BL78" s="232"/>
      <c r="BM78" s="231"/>
      <c r="BN78" s="233"/>
      <c r="BO78" s="87"/>
      <c r="BR78" s="227"/>
      <c r="BS78" s="228"/>
      <c r="BT78" s="229"/>
      <c r="BU78" s="36"/>
      <c r="BV78" s="229"/>
      <c r="BW78" s="230"/>
      <c r="BX78" s="87"/>
      <c r="CA78" s="227"/>
      <c r="CB78" s="228"/>
      <c r="CC78" s="229"/>
      <c r="CD78" s="36"/>
      <c r="CE78" s="229"/>
      <c r="CF78" s="230"/>
      <c r="CG78" s="87"/>
      <c r="CJ78" s="227"/>
      <c r="CK78" s="228">
        <v>22</v>
      </c>
      <c r="CL78" s="229"/>
      <c r="CM78" s="36"/>
      <c r="CN78" s="229"/>
      <c r="CO78" s="230"/>
      <c r="CP78" s="87"/>
      <c r="CS78" s="227"/>
      <c r="CT78" s="228"/>
      <c r="CU78" s="229"/>
      <c r="CV78" s="232"/>
      <c r="CW78" s="231"/>
      <c r="CX78" s="233"/>
      <c r="CY78" s="87"/>
      <c r="DB78" s="227"/>
      <c r="DC78" s="228">
        <v>22</v>
      </c>
      <c r="DD78" s="229"/>
      <c r="DE78" s="232"/>
      <c r="DF78" s="231"/>
      <c r="DG78" s="233"/>
      <c r="DH78" s="87"/>
      <c r="DK78" s="227"/>
      <c r="DL78" s="228"/>
      <c r="DM78" s="229">
        <v>0</v>
      </c>
      <c r="DN78" s="232"/>
      <c r="DO78" s="231"/>
      <c r="DP78" s="233"/>
      <c r="DQ78" s="87"/>
      <c r="DT78" s="227"/>
      <c r="DU78" s="228"/>
      <c r="DV78" s="229"/>
      <c r="DW78" s="36"/>
      <c r="DX78" s="229"/>
      <c r="DY78" s="230"/>
      <c r="DZ78" s="87"/>
      <c r="EC78" s="227"/>
      <c r="ED78" s="228">
        <v>22</v>
      </c>
      <c r="EE78" s="229"/>
      <c r="EF78" s="232"/>
      <c r="EG78" s="231"/>
      <c r="EH78" s="233"/>
      <c r="EI78" s="87"/>
      <c r="EL78" s="227"/>
      <c r="EM78" s="228">
        <v>22</v>
      </c>
      <c r="EN78" s="229"/>
      <c r="EO78" s="232"/>
      <c r="EP78" s="231"/>
      <c r="EQ78" s="233"/>
      <c r="ER78" s="87"/>
      <c r="EU78" s="227"/>
      <c r="EV78" s="228">
        <v>22</v>
      </c>
      <c r="EW78" s="229"/>
      <c r="EX78" s="36"/>
      <c r="EY78" s="229"/>
      <c r="EZ78" s="230"/>
      <c r="FA78" s="87"/>
      <c r="FD78" s="227"/>
      <c r="FE78" s="228">
        <v>22</v>
      </c>
      <c r="FF78" s="229"/>
      <c r="FG78" s="36"/>
      <c r="FH78" s="229"/>
      <c r="FI78" s="230"/>
      <c r="FJ78" s="87"/>
      <c r="FM78" s="227"/>
      <c r="FN78" s="228">
        <v>22</v>
      </c>
      <c r="FO78" s="229"/>
      <c r="FP78" s="36"/>
      <c r="FQ78" s="229"/>
      <c r="FR78" s="230"/>
      <c r="FS78" s="87"/>
      <c r="FV78" s="227"/>
      <c r="FW78" s="228">
        <v>22</v>
      </c>
      <c r="FX78" s="229"/>
      <c r="FY78" s="36"/>
      <c r="FZ78" s="229"/>
      <c r="GA78" s="230"/>
      <c r="GB78" s="87"/>
      <c r="GE78" s="227"/>
      <c r="GF78" s="228">
        <v>22</v>
      </c>
      <c r="GG78" s="229"/>
      <c r="GH78" s="36"/>
      <c r="GI78" s="229"/>
      <c r="GJ78" s="230"/>
      <c r="GK78" s="87"/>
      <c r="GN78" s="227"/>
      <c r="GO78" s="228">
        <v>22</v>
      </c>
      <c r="GP78" s="229"/>
      <c r="GQ78" s="36"/>
      <c r="GR78" s="229"/>
      <c r="GS78" s="230"/>
      <c r="GT78" s="87"/>
      <c r="GU78" s="187"/>
      <c r="GV78"/>
      <c r="GX78" s="235"/>
      <c r="GY78" s="235"/>
      <c r="GZ78" s="195"/>
      <c r="HA78"/>
    </row>
    <row r="79" spans="1:209" ht="16.5" thickBot="1" x14ac:dyDescent="0.3">
      <c r="A79" s="1">
        <v>27</v>
      </c>
      <c r="B79" t="e">
        <f>#REF!</f>
        <v>#REF!</v>
      </c>
      <c r="C79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38"/>
      <c r="V79" s="242"/>
      <c r="Y79" s="227"/>
      <c r="Z79" s="228"/>
      <c r="AA79" s="231"/>
      <c r="AB79" s="36"/>
      <c r="AC79" s="229"/>
      <c r="AD79" s="230"/>
      <c r="AE79" s="87"/>
      <c r="AH79" s="243"/>
      <c r="AI79" s="244"/>
      <c r="AJ79" s="245"/>
      <c r="AK79" s="246"/>
      <c r="AL79" s="247"/>
      <c r="AM79" s="248"/>
      <c r="AQ79" s="227"/>
      <c r="AR79" s="228">
        <v>23</v>
      </c>
      <c r="AS79" s="231"/>
      <c r="AT79" s="232"/>
      <c r="AU79" s="229"/>
      <c r="AV79" s="230"/>
      <c r="AW79" s="87"/>
      <c r="AZ79" s="227"/>
      <c r="BA79" s="228"/>
      <c r="BB79" s="231"/>
      <c r="BC79" s="232"/>
      <c r="BD79" s="249"/>
      <c r="BE79" s="230"/>
      <c r="BF79" s="87"/>
      <c r="BI79" s="243"/>
      <c r="BJ79" s="250"/>
      <c r="BK79" s="245"/>
      <c r="BL79" s="251"/>
      <c r="BM79" s="247"/>
      <c r="BN79" s="252"/>
      <c r="BO79" s="87"/>
      <c r="BS79" s="228"/>
      <c r="BT79" s="231"/>
      <c r="BU79" s="36"/>
      <c r="BV79" s="231"/>
      <c r="BW79" s="230"/>
      <c r="BX79" s="87"/>
      <c r="CA79" s="243"/>
      <c r="CB79" s="253"/>
      <c r="CC79" s="245"/>
      <c r="CD79" s="246"/>
      <c r="CE79" s="247"/>
      <c r="CF79" s="248"/>
      <c r="CJ79" s="227"/>
      <c r="CK79" s="228">
        <v>23</v>
      </c>
      <c r="CL79" s="231"/>
      <c r="CN79" s="231"/>
      <c r="CS79" s="243"/>
      <c r="CT79" s="253"/>
      <c r="CU79" s="245">
        <v>0</v>
      </c>
      <c r="CV79" s="246"/>
      <c r="CW79" s="247">
        <v>0</v>
      </c>
      <c r="CX79" s="248"/>
      <c r="DB79" s="243"/>
      <c r="DC79" s="253"/>
      <c r="DD79" s="245">
        <v>0</v>
      </c>
      <c r="DE79" s="246"/>
      <c r="DF79" s="247">
        <v>0</v>
      </c>
      <c r="DG79" s="248"/>
      <c r="DK79" s="243"/>
      <c r="DL79" s="253"/>
      <c r="DM79" s="245">
        <v>0</v>
      </c>
      <c r="DN79" s="246"/>
      <c r="DO79" s="247">
        <v>0</v>
      </c>
      <c r="DP79" s="248"/>
      <c r="DT79" s="243"/>
      <c r="DU79" s="253"/>
      <c r="DV79" s="245">
        <v>0</v>
      </c>
      <c r="DW79" s="246"/>
      <c r="DX79" s="247">
        <v>0</v>
      </c>
      <c r="DY79" s="248"/>
      <c r="EC79" s="243"/>
      <c r="ED79" s="253"/>
      <c r="EE79" s="245">
        <v>0</v>
      </c>
      <c r="EF79" s="246"/>
      <c r="EG79" s="247">
        <v>0</v>
      </c>
      <c r="EH79" s="248"/>
      <c r="EL79" s="243"/>
      <c r="EM79" s="253"/>
      <c r="EN79" s="245">
        <v>0</v>
      </c>
      <c r="EO79" s="246"/>
      <c r="EP79" s="247">
        <v>0</v>
      </c>
      <c r="EQ79" s="248"/>
      <c r="EU79" s="243"/>
      <c r="EV79" s="253"/>
      <c r="EW79" s="245">
        <v>0</v>
      </c>
      <c r="EX79" s="246"/>
      <c r="EY79" s="247">
        <v>0</v>
      </c>
      <c r="EZ79" s="248"/>
      <c r="FD79" s="243"/>
      <c r="FE79" s="253"/>
      <c r="FF79" s="245">
        <v>0</v>
      </c>
      <c r="FG79" s="246"/>
      <c r="FH79" s="247">
        <v>0</v>
      </c>
      <c r="FI79" s="248"/>
      <c r="FM79" s="243"/>
      <c r="FN79" s="253"/>
      <c r="FO79" s="245">
        <v>0</v>
      </c>
      <c r="FP79" s="246"/>
      <c r="FQ79" s="247">
        <v>0</v>
      </c>
      <c r="FR79" s="248"/>
      <c r="FV79" s="243"/>
      <c r="FW79" s="253"/>
      <c r="FX79" s="245">
        <v>0</v>
      </c>
      <c r="FY79" s="246"/>
      <c r="FZ79" s="247">
        <v>0</v>
      </c>
      <c r="GA79" s="248"/>
      <c r="GE79" s="243"/>
      <c r="GF79" s="253"/>
      <c r="GG79" s="245">
        <v>0</v>
      </c>
      <c r="GH79" s="246"/>
      <c r="GI79" s="247">
        <v>0</v>
      </c>
      <c r="GJ79" s="248"/>
      <c r="GN79" s="243"/>
      <c r="GO79" s="253"/>
      <c r="GP79" s="245">
        <v>0</v>
      </c>
      <c r="GQ79" s="246"/>
      <c r="GR79" s="247">
        <v>0</v>
      </c>
      <c r="GS79" s="248"/>
      <c r="GV79"/>
      <c r="GX79" s="235"/>
      <c r="GY79" s="235"/>
      <c r="GZ79" s="195"/>
      <c r="HA79"/>
    </row>
    <row r="80" spans="1:209" x14ac:dyDescent="0.25">
      <c r="J80" s="177"/>
      <c r="K80" s="178"/>
      <c r="U80" s="39"/>
      <c r="V80" s="217"/>
      <c r="GV80"/>
      <c r="GX80" s="235"/>
      <c r="GY80" s="235"/>
      <c r="GZ80" s="195"/>
      <c r="HA80"/>
    </row>
    <row r="81" spans="1:209" x14ac:dyDescent="0.25">
      <c r="J81" s="238"/>
      <c r="K81" s="178"/>
      <c r="U81" s="39"/>
      <c r="V81" s="217"/>
      <c r="GV81"/>
      <c r="GX81" s="235"/>
      <c r="GY81" s="235"/>
      <c r="GZ81" s="195"/>
      <c r="HA81"/>
    </row>
    <row r="82" spans="1:209" x14ac:dyDescent="0.25">
      <c r="J82" s="177"/>
      <c r="K82" s="178"/>
      <c r="P82" s="224"/>
      <c r="Q82" s="225"/>
      <c r="R82" s="226"/>
      <c r="S82" s="226"/>
      <c r="T82" s="226"/>
      <c r="U82" s="39"/>
      <c r="V82" s="217"/>
      <c r="GV82"/>
      <c r="GX82" s="235"/>
      <c r="GY82" s="235"/>
      <c r="GZ82" s="195"/>
      <c r="HA82"/>
    </row>
    <row r="83" spans="1:209" x14ac:dyDescent="0.25">
      <c r="J83" s="238"/>
      <c r="K83" s="178"/>
      <c r="N83" s="212"/>
      <c r="P83" s="224"/>
      <c r="Q83" s="225"/>
      <c r="R83" s="226"/>
      <c r="S83" s="226"/>
      <c r="T83" s="226"/>
      <c r="U83" s="39"/>
      <c r="V83" s="217"/>
      <c r="GV83"/>
      <c r="GX83" s="235"/>
      <c r="GY83" s="235"/>
      <c r="GZ83" s="195"/>
      <c r="HA83"/>
    </row>
    <row r="84" spans="1:209" x14ac:dyDescent="0.25">
      <c r="J84" s="177"/>
      <c r="K84" s="178"/>
      <c r="N84" s="212"/>
      <c r="P84" s="884"/>
      <c r="Q84" s="884"/>
      <c r="R84" s="884"/>
      <c r="U84" s="39"/>
      <c r="V84" s="217"/>
      <c r="GV84"/>
      <c r="GX84" s="235"/>
      <c r="GY84" s="235"/>
      <c r="GZ84" s="195"/>
      <c r="HA84"/>
    </row>
    <row r="85" spans="1:209" x14ac:dyDescent="0.25">
      <c r="J85" s="238"/>
      <c r="GV85"/>
      <c r="GX85" s="235"/>
      <c r="GY85" s="235"/>
      <c r="GZ85" s="195"/>
      <c r="HA85"/>
    </row>
    <row r="86" spans="1:209" x14ac:dyDescent="0.25">
      <c r="J86" s="177"/>
      <c r="GV86"/>
      <c r="GX86" s="235"/>
      <c r="GY86" s="235"/>
      <c r="GZ86" s="195"/>
      <c r="HA86"/>
    </row>
    <row r="87" spans="1:209" ht="15" x14ac:dyDescent="0.25">
      <c r="A87"/>
      <c r="F87"/>
      <c r="J87" s="177"/>
      <c r="K87" s="254"/>
      <c r="L87" s="254"/>
      <c r="M87"/>
      <c r="N87"/>
      <c r="O87"/>
      <c r="P87" s="37"/>
      <c r="Q87"/>
      <c r="R87"/>
      <c r="S87"/>
      <c r="T87"/>
      <c r="W87"/>
      <c r="X87"/>
      <c r="GV87"/>
      <c r="GX87" s="235"/>
      <c r="GY87" s="235"/>
      <c r="GZ87" s="195"/>
      <c r="HA87"/>
    </row>
    <row r="88" spans="1:209" ht="15" x14ac:dyDescent="0.25">
      <c r="A88"/>
      <c r="F88"/>
      <c r="J88" s="238"/>
      <c r="K88" s="254"/>
      <c r="L88" s="254"/>
      <c r="M88"/>
      <c r="N88"/>
      <c r="O88"/>
      <c r="P88" s="37"/>
      <c r="Q88"/>
      <c r="R88"/>
      <c r="S88"/>
      <c r="T88"/>
      <c r="W88"/>
      <c r="X88"/>
      <c r="GV88"/>
      <c r="GX88" s="235"/>
      <c r="GY88" s="235"/>
      <c r="GZ88" s="195"/>
      <c r="HA88"/>
    </row>
    <row r="89" spans="1:209" ht="15" x14ac:dyDescent="0.25">
      <c r="A89"/>
      <c r="F89"/>
      <c r="J89" s="238"/>
      <c r="K89" s="254"/>
      <c r="L89" s="254"/>
      <c r="M89"/>
      <c r="N89"/>
      <c r="O89"/>
      <c r="P89" s="37"/>
      <c r="Q89"/>
      <c r="R89"/>
      <c r="S89"/>
      <c r="T89"/>
      <c r="W89"/>
      <c r="X89"/>
      <c r="GV89"/>
      <c r="GX89" s="235"/>
      <c r="GY89" s="235"/>
      <c r="GZ89" s="195"/>
      <c r="HA89"/>
    </row>
    <row r="90" spans="1:209" ht="15" x14ac:dyDescent="0.25">
      <c r="A90"/>
      <c r="F90"/>
      <c r="J90" s="238"/>
      <c r="K90" s="254"/>
      <c r="L90" s="254"/>
      <c r="M90"/>
      <c r="N90"/>
      <c r="O90"/>
      <c r="P90" s="37"/>
      <c r="Q90"/>
      <c r="R90"/>
      <c r="S90"/>
      <c r="T90"/>
      <c r="W90"/>
      <c r="X90"/>
      <c r="GV90"/>
      <c r="GX90" s="235"/>
      <c r="GY90" s="235"/>
      <c r="GZ90" s="195"/>
      <c r="HA90"/>
    </row>
    <row r="91" spans="1:209" ht="15" x14ac:dyDescent="0.25">
      <c r="A91"/>
      <c r="F91"/>
      <c r="J91" s="255"/>
      <c r="K91" s="254"/>
      <c r="L91" s="254"/>
      <c r="M91"/>
      <c r="N91"/>
      <c r="O91"/>
      <c r="P91" s="37"/>
      <c r="Q91"/>
      <c r="R91"/>
      <c r="S91"/>
      <c r="T91"/>
      <c r="W91"/>
      <c r="X91"/>
      <c r="GV91"/>
      <c r="GX91" s="235"/>
      <c r="GY91" s="235"/>
      <c r="GZ91" s="195"/>
      <c r="HA91"/>
    </row>
    <row r="92" spans="1:209" ht="15" x14ac:dyDescent="0.25">
      <c r="A92"/>
      <c r="F92"/>
      <c r="J92" s="208"/>
      <c r="K92" s="254"/>
      <c r="L92" s="254"/>
      <c r="M92"/>
      <c r="N92"/>
      <c r="O92"/>
      <c r="P92" s="37"/>
      <c r="Q92"/>
      <c r="R92"/>
      <c r="S92"/>
      <c r="T92"/>
      <c r="W92"/>
      <c r="X92"/>
      <c r="GV92"/>
      <c r="GX92" s="235"/>
      <c r="GY92" s="235"/>
      <c r="GZ92" s="195"/>
      <c r="HA92"/>
    </row>
    <row r="93" spans="1:209" ht="15" x14ac:dyDescent="0.25">
      <c r="A93"/>
      <c r="F93"/>
      <c r="J93" s="177"/>
      <c r="K93" s="254"/>
      <c r="L93" s="254"/>
      <c r="M93"/>
      <c r="N93"/>
      <c r="O93"/>
      <c r="P93" s="37"/>
      <c r="Q93"/>
      <c r="R93"/>
      <c r="S93"/>
      <c r="T93"/>
      <c r="W93"/>
      <c r="X93"/>
      <c r="GV93"/>
      <c r="GX93" s="235"/>
      <c r="GY93" s="235"/>
      <c r="GZ93" s="195"/>
      <c r="HA93"/>
    </row>
    <row r="94" spans="1:209" ht="15" x14ac:dyDescent="0.25">
      <c r="A94"/>
      <c r="F94"/>
      <c r="J94" s="177"/>
      <c r="K94" s="254"/>
      <c r="L94" s="254"/>
      <c r="M94"/>
      <c r="N94"/>
      <c r="O94"/>
      <c r="P94" s="37"/>
      <c r="Q94"/>
      <c r="R94"/>
      <c r="S94"/>
      <c r="T94"/>
      <c r="W94"/>
      <c r="X94"/>
      <c r="GV94"/>
      <c r="GX94" s="235"/>
      <c r="GY94" s="235"/>
      <c r="GZ94" s="195"/>
      <c r="HA94"/>
    </row>
    <row r="95" spans="1:209" ht="15" x14ac:dyDescent="0.25">
      <c r="A95"/>
      <c r="F95"/>
      <c r="J95" s="177"/>
      <c r="K95" s="254"/>
      <c r="L95" s="254"/>
      <c r="M95"/>
      <c r="N95"/>
      <c r="O95"/>
      <c r="P95" s="37"/>
      <c r="Q95"/>
      <c r="R95"/>
      <c r="S95"/>
      <c r="T95"/>
      <c r="W95"/>
      <c r="X95"/>
      <c r="GV95"/>
      <c r="GX95" s="235"/>
      <c r="GY95" s="235"/>
      <c r="GZ95" s="195"/>
      <c r="HA95"/>
    </row>
    <row r="96" spans="1:209" ht="15" x14ac:dyDescent="0.25">
      <c r="A96"/>
      <c r="F96"/>
      <c r="J96" s="177"/>
      <c r="K96" s="254"/>
      <c r="L96" s="254"/>
      <c r="M96"/>
      <c r="N96"/>
      <c r="O96"/>
      <c r="P96" s="37"/>
      <c r="Q96"/>
      <c r="R96"/>
      <c r="S96"/>
      <c r="T96"/>
      <c r="W96"/>
      <c r="X96"/>
      <c r="GV96"/>
      <c r="GX96" s="235"/>
      <c r="GY96" s="235"/>
      <c r="GZ96" s="195"/>
      <c r="HA96"/>
    </row>
    <row r="97" spans="1:209" ht="15" x14ac:dyDescent="0.25">
      <c r="A97"/>
      <c r="F97"/>
      <c r="J97" s="177"/>
      <c r="K97" s="254"/>
      <c r="L97" s="254"/>
      <c r="M97"/>
      <c r="N97"/>
      <c r="O97"/>
      <c r="P97" s="37"/>
      <c r="Q97"/>
      <c r="R97"/>
      <c r="S97"/>
      <c r="T97"/>
      <c r="W97"/>
      <c r="X97"/>
      <c r="GV97"/>
      <c r="GX97" s="235"/>
      <c r="GY97" s="235"/>
      <c r="GZ97" s="195"/>
      <c r="HA97"/>
    </row>
    <row r="98" spans="1:209" ht="15" x14ac:dyDescent="0.25">
      <c r="A98"/>
      <c r="F98"/>
      <c r="J98" s="177"/>
      <c r="K98" s="254"/>
      <c r="L98" s="254"/>
      <c r="M98"/>
      <c r="N98"/>
      <c r="O98"/>
      <c r="P98" s="37"/>
      <c r="Q98"/>
      <c r="R98"/>
      <c r="S98"/>
      <c r="T98"/>
      <c r="W98"/>
      <c r="X98"/>
      <c r="GV98"/>
      <c r="GX98" s="235"/>
      <c r="GY98" s="235"/>
      <c r="GZ98" s="195"/>
      <c r="HA98"/>
    </row>
    <row r="99" spans="1:209" ht="15" x14ac:dyDescent="0.25">
      <c r="A99"/>
      <c r="F99"/>
      <c r="J99" s="177"/>
      <c r="K99" s="254"/>
      <c r="L99" s="254"/>
      <c r="M99"/>
      <c r="N99"/>
      <c r="O99"/>
      <c r="P99" s="37"/>
      <c r="Q99"/>
      <c r="R99"/>
      <c r="S99"/>
      <c r="T99"/>
      <c r="W99"/>
      <c r="X99"/>
      <c r="GV99"/>
      <c r="GX99" s="235"/>
      <c r="GY99" s="235"/>
      <c r="GZ99" s="195"/>
      <c r="HA99"/>
    </row>
  </sheetData>
  <mergeCells count="29">
    <mergeCell ref="P73:R74"/>
    <mergeCell ref="U73:V74"/>
    <mergeCell ref="P84:R84"/>
    <mergeCell ref="FU1:GA1"/>
    <mergeCell ref="GD1:GJ1"/>
    <mergeCell ref="J1:R1"/>
    <mergeCell ref="Y1:AD1"/>
    <mergeCell ref="AG1:AM1"/>
    <mergeCell ref="AP1:AV1"/>
    <mergeCell ref="AY1:BE1"/>
    <mergeCell ref="BH1:BN1"/>
    <mergeCell ref="S35:T35"/>
    <mergeCell ref="S16:T16"/>
    <mergeCell ref="GM1:GS1"/>
    <mergeCell ref="N66:O66"/>
    <mergeCell ref="P66:P67"/>
    <mergeCell ref="P70:R7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CC"/>
  </sheetPr>
  <dimension ref="A1:N308"/>
  <sheetViews>
    <sheetView topLeftCell="A90" workbookViewId="0">
      <selection activeCell="A100" sqref="A100"/>
    </sheetView>
  </sheetViews>
  <sheetFormatPr baseColWidth="10" defaultRowHeight="15.75" x14ac:dyDescent="0.25"/>
  <cols>
    <col min="1" max="1" width="25.5703125" style="8" customWidth="1"/>
    <col min="2" max="2" width="15" style="764" customWidth="1"/>
    <col min="3" max="3" width="11.42578125" style="62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2.42578125" style="183" customWidth="1"/>
    <col min="9" max="9" width="11.85546875" style="62" customWidth="1"/>
    <col min="10" max="10" width="13.85546875" style="195" bestFit="1" customWidth="1"/>
    <col min="11" max="11" width="11.42578125" style="195"/>
  </cols>
  <sheetData>
    <row r="1" spans="1:14" ht="21" x14ac:dyDescent="0.35">
      <c r="A1" s="885" t="s">
        <v>373</v>
      </c>
      <c r="B1" s="885"/>
      <c r="C1" s="885"/>
      <c r="D1" s="885"/>
      <c r="E1" s="885"/>
      <c r="F1" s="885"/>
      <c r="G1" s="885"/>
    </row>
    <row r="2" spans="1:14" ht="16.5" thickBot="1" x14ac:dyDescent="0.3">
      <c r="D2" s="260"/>
    </row>
    <row r="3" spans="1:14" ht="17.25" thickTop="1" thickBot="1" x14ac:dyDescent="0.3">
      <c r="A3" s="262" t="s">
        <v>8</v>
      </c>
      <c r="B3" s="765" t="s">
        <v>16</v>
      </c>
      <c r="C3" s="263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675"/>
    </row>
    <row r="4" spans="1:14" ht="16.5" thickTop="1" x14ac:dyDescent="0.25">
      <c r="A4" s="268" t="s">
        <v>1282</v>
      </c>
      <c r="B4" s="766" t="s">
        <v>1252</v>
      </c>
      <c r="C4" s="269">
        <v>42856</v>
      </c>
      <c r="D4" s="270">
        <v>4357</v>
      </c>
      <c r="E4" s="261">
        <v>43.6</v>
      </c>
      <c r="F4" s="29">
        <v>49</v>
      </c>
      <c r="G4" s="39">
        <f t="shared" ref="G4:G138" si="0">F4*E4</f>
        <v>2136.4</v>
      </c>
      <c r="H4" s="31">
        <v>42870</v>
      </c>
      <c r="I4" s="62" t="s">
        <v>1172</v>
      </c>
      <c r="J4" s="750" t="s">
        <v>1423</v>
      </c>
      <c r="L4" s="195"/>
      <c r="M4" s="195"/>
      <c r="N4" s="195"/>
    </row>
    <row r="5" spans="1:14" x14ac:dyDescent="0.25">
      <c r="A5" s="268" t="s">
        <v>924</v>
      </c>
      <c r="B5" s="766" t="s">
        <v>923</v>
      </c>
      <c r="C5" s="269"/>
      <c r="D5" s="270">
        <f t="shared" ref="D5:D67" si="1">D4+1</f>
        <v>4358</v>
      </c>
      <c r="G5" s="39">
        <f t="shared" si="0"/>
        <v>0</v>
      </c>
      <c r="H5" s="31"/>
      <c r="L5" s="195"/>
      <c r="M5" s="195"/>
      <c r="N5" s="195"/>
    </row>
    <row r="6" spans="1:14" x14ac:dyDescent="0.25">
      <c r="A6" s="268" t="s">
        <v>1171</v>
      </c>
      <c r="B6" s="766" t="s">
        <v>206</v>
      </c>
      <c r="C6" s="269">
        <v>42856</v>
      </c>
      <c r="D6" s="270">
        <f t="shared" si="1"/>
        <v>4359</v>
      </c>
      <c r="E6" s="261">
        <v>502.2</v>
      </c>
      <c r="F6" s="29">
        <v>68.5</v>
      </c>
      <c r="G6" s="39">
        <f t="shared" si="0"/>
        <v>34400.699999999997</v>
      </c>
      <c r="H6" s="31">
        <v>42859</v>
      </c>
      <c r="I6" s="62" t="s">
        <v>1172</v>
      </c>
      <c r="L6" s="195"/>
      <c r="M6" s="195"/>
      <c r="N6" s="195"/>
    </row>
    <row r="7" spans="1:14" x14ac:dyDescent="0.25">
      <c r="A7" s="268" t="s">
        <v>1384</v>
      </c>
      <c r="B7" s="766" t="s">
        <v>923</v>
      </c>
      <c r="C7" s="269">
        <v>42856</v>
      </c>
      <c r="D7" s="270">
        <f t="shared" si="1"/>
        <v>4360</v>
      </c>
      <c r="E7" s="261">
        <v>28.5</v>
      </c>
      <c r="F7" s="29">
        <v>33</v>
      </c>
      <c r="G7" s="39">
        <f t="shared" si="0"/>
        <v>940.5</v>
      </c>
      <c r="H7" s="31">
        <v>42856</v>
      </c>
      <c r="I7" s="62" t="s">
        <v>1172</v>
      </c>
      <c r="L7" s="195"/>
      <c r="M7" s="195"/>
      <c r="N7" s="195"/>
    </row>
    <row r="8" spans="1:14" x14ac:dyDescent="0.25">
      <c r="A8" s="268" t="s">
        <v>924</v>
      </c>
      <c r="B8" s="766"/>
      <c r="C8" s="269"/>
      <c r="D8" s="270">
        <f t="shared" si="1"/>
        <v>4361</v>
      </c>
      <c r="G8" s="39">
        <f t="shared" si="0"/>
        <v>0</v>
      </c>
      <c r="H8" s="31"/>
      <c r="L8" s="195"/>
      <c r="M8" s="195"/>
      <c r="N8" s="195"/>
    </row>
    <row r="9" spans="1:14" x14ac:dyDescent="0.25">
      <c r="A9" s="268" t="s">
        <v>1220</v>
      </c>
      <c r="B9" s="766" t="s">
        <v>1182</v>
      </c>
      <c r="C9" s="269">
        <v>42856</v>
      </c>
      <c r="D9" s="270">
        <f t="shared" si="1"/>
        <v>4362</v>
      </c>
      <c r="E9" s="261">
        <v>16525</v>
      </c>
      <c r="F9" s="29">
        <v>1</v>
      </c>
      <c r="G9" s="39">
        <f t="shared" si="0"/>
        <v>16525</v>
      </c>
      <c r="H9" s="31">
        <v>42865</v>
      </c>
      <c r="I9" s="62" t="s">
        <v>1172</v>
      </c>
      <c r="L9" s="195"/>
      <c r="M9" s="195"/>
      <c r="N9" s="195"/>
    </row>
    <row r="10" spans="1:14" x14ac:dyDescent="0.25">
      <c r="A10" s="268" t="s">
        <v>1220</v>
      </c>
      <c r="B10" s="766" t="s">
        <v>492</v>
      </c>
      <c r="C10" s="269">
        <v>42856</v>
      </c>
      <c r="D10" s="270">
        <f t="shared" si="1"/>
        <v>4363</v>
      </c>
      <c r="E10" s="261">
        <v>11215.49</v>
      </c>
      <c r="F10" s="29">
        <v>34.51</v>
      </c>
      <c r="G10" s="39">
        <f t="shared" si="0"/>
        <v>387046.55989999999</v>
      </c>
      <c r="H10" s="31">
        <v>42865</v>
      </c>
      <c r="I10" s="62" t="s">
        <v>1172</v>
      </c>
      <c r="L10" s="195"/>
      <c r="M10" s="195"/>
      <c r="N10" s="195"/>
    </row>
    <row r="11" spans="1:14" x14ac:dyDescent="0.25">
      <c r="A11" s="268" t="s">
        <v>1184</v>
      </c>
      <c r="B11" s="766" t="s">
        <v>1386</v>
      </c>
      <c r="C11" s="269">
        <v>42857</v>
      </c>
      <c r="D11" s="270">
        <f t="shared" si="1"/>
        <v>4364</v>
      </c>
      <c r="E11" s="261">
        <v>368.4</v>
      </c>
      <c r="F11" s="29">
        <v>96</v>
      </c>
      <c r="G11" s="39">
        <f>F11*E11+3930*29</f>
        <v>149336.4</v>
      </c>
      <c r="H11" s="31">
        <v>42857</v>
      </c>
      <c r="I11" s="62" t="s">
        <v>1172</v>
      </c>
      <c r="L11" s="195"/>
      <c r="M11" s="195"/>
      <c r="N11" s="195"/>
    </row>
    <row r="12" spans="1:14" x14ac:dyDescent="0.25">
      <c r="A12" s="268" t="s">
        <v>1387</v>
      </c>
      <c r="B12" s="766" t="s">
        <v>206</v>
      </c>
      <c r="C12" s="269">
        <v>42857</v>
      </c>
      <c r="D12" s="270">
        <f t="shared" si="1"/>
        <v>4365</v>
      </c>
      <c r="E12" s="261">
        <v>3480</v>
      </c>
      <c r="F12" s="29">
        <v>65.5</v>
      </c>
      <c r="G12" s="39">
        <f t="shared" si="0"/>
        <v>227940</v>
      </c>
      <c r="H12" s="741" t="s">
        <v>1392</v>
      </c>
      <c r="I12" s="62" t="s">
        <v>1172</v>
      </c>
      <c r="J12" s="740">
        <f>214542.48+13397.52</f>
        <v>227940</v>
      </c>
      <c r="L12" s="195"/>
      <c r="M12" s="195"/>
      <c r="N12" s="195"/>
    </row>
    <row r="13" spans="1:14" x14ac:dyDescent="0.25">
      <c r="A13" s="268" t="s">
        <v>1180</v>
      </c>
      <c r="B13" s="766" t="s">
        <v>1214</v>
      </c>
      <c r="C13" s="269">
        <v>42857</v>
      </c>
      <c r="D13" s="270">
        <f t="shared" si="1"/>
        <v>4366</v>
      </c>
      <c r="E13" s="261">
        <v>475.6</v>
      </c>
      <c r="F13" s="29">
        <v>38</v>
      </c>
      <c r="G13" s="39">
        <f t="shared" si="0"/>
        <v>18072.8</v>
      </c>
      <c r="H13" s="31">
        <v>42857</v>
      </c>
      <c r="I13" s="62" t="s">
        <v>1172</v>
      </c>
      <c r="L13" s="195"/>
      <c r="M13" s="195"/>
      <c r="N13" s="195"/>
    </row>
    <row r="14" spans="1:14" x14ac:dyDescent="0.25">
      <c r="A14" s="268" t="s">
        <v>1221</v>
      </c>
      <c r="B14" s="766" t="s">
        <v>1388</v>
      </c>
      <c r="C14" s="269">
        <v>42857</v>
      </c>
      <c r="D14" s="270">
        <f t="shared" si="1"/>
        <v>4367</v>
      </c>
      <c r="E14" s="261">
        <v>400</v>
      </c>
      <c r="F14" s="29">
        <v>33</v>
      </c>
      <c r="G14" s="39">
        <f t="shared" si="0"/>
        <v>13200</v>
      </c>
      <c r="H14" s="31">
        <v>42857</v>
      </c>
      <c r="I14" s="62" t="s">
        <v>1172</v>
      </c>
      <c r="L14" s="195"/>
      <c r="M14" s="195"/>
      <c r="N14" s="195"/>
    </row>
    <row r="15" spans="1:14" x14ac:dyDescent="0.25">
      <c r="A15" s="268" t="s">
        <v>924</v>
      </c>
      <c r="B15" s="766" t="s">
        <v>923</v>
      </c>
      <c r="C15" s="269"/>
      <c r="D15" s="270">
        <f t="shared" si="1"/>
        <v>4368</v>
      </c>
      <c r="G15" s="39">
        <f t="shared" si="0"/>
        <v>0</v>
      </c>
      <c r="H15" s="31"/>
      <c r="L15" s="195"/>
      <c r="M15" s="195"/>
      <c r="N15" s="195"/>
    </row>
    <row r="16" spans="1:14" x14ac:dyDescent="0.25">
      <c r="A16" s="268" t="s">
        <v>924</v>
      </c>
      <c r="B16" s="766" t="s">
        <v>923</v>
      </c>
      <c r="C16" s="269"/>
      <c r="D16" s="270">
        <f t="shared" si="1"/>
        <v>4369</v>
      </c>
      <c r="G16" s="39">
        <f t="shared" si="0"/>
        <v>0</v>
      </c>
      <c r="H16" s="31"/>
      <c r="L16" s="195"/>
      <c r="M16" s="195"/>
      <c r="N16" s="195"/>
    </row>
    <row r="17" spans="1:14" x14ac:dyDescent="0.25">
      <c r="A17" s="268" t="s">
        <v>1220</v>
      </c>
      <c r="B17" s="766" t="s">
        <v>492</v>
      </c>
      <c r="C17" s="269">
        <v>42857</v>
      </c>
      <c r="D17" s="270">
        <f t="shared" si="1"/>
        <v>4370</v>
      </c>
      <c r="E17" s="261">
        <v>3593.86</v>
      </c>
      <c r="F17" s="29">
        <v>34.58</v>
      </c>
      <c r="G17" s="39">
        <f t="shared" si="0"/>
        <v>124275.67879999999</v>
      </c>
      <c r="H17" s="31">
        <v>42865</v>
      </c>
      <c r="I17" s="62" t="s">
        <v>1172</v>
      </c>
      <c r="L17" s="195"/>
      <c r="M17" s="195"/>
      <c r="N17" s="195"/>
    </row>
    <row r="18" spans="1:14" x14ac:dyDescent="0.25">
      <c r="A18" s="268" t="s">
        <v>1184</v>
      </c>
      <c r="B18" s="766" t="s">
        <v>1410</v>
      </c>
      <c r="C18" s="269">
        <v>42858</v>
      </c>
      <c r="D18" s="270">
        <f t="shared" si="1"/>
        <v>4371</v>
      </c>
      <c r="E18" s="261">
        <v>1543.1</v>
      </c>
      <c r="F18" s="29">
        <v>66</v>
      </c>
      <c r="G18" s="39">
        <f>F18*E18+4970*30</f>
        <v>250944.59999999998</v>
      </c>
      <c r="H18" s="741" t="s">
        <v>1411</v>
      </c>
      <c r="I18" s="62" t="s">
        <v>1172</v>
      </c>
      <c r="J18" s="748">
        <f>50000+100000+100944.6</f>
        <v>250944.6</v>
      </c>
      <c r="L18" s="195"/>
      <c r="M18" s="195"/>
      <c r="N18" s="195"/>
    </row>
    <row r="19" spans="1:14" x14ac:dyDescent="0.25">
      <c r="A19" s="268" t="s">
        <v>1197</v>
      </c>
      <c r="B19" s="766" t="s">
        <v>1391</v>
      </c>
      <c r="C19" s="269">
        <v>42858</v>
      </c>
      <c r="D19" s="270">
        <f t="shared" si="1"/>
        <v>4372</v>
      </c>
      <c r="E19" s="261">
        <v>158.5</v>
      </c>
      <c r="F19" s="29">
        <v>50</v>
      </c>
      <c r="G19" s="39">
        <f t="shared" si="0"/>
        <v>7925</v>
      </c>
      <c r="H19" s="31">
        <v>42863</v>
      </c>
      <c r="I19" s="62" t="s">
        <v>1172</v>
      </c>
      <c r="L19" s="195"/>
      <c r="M19" s="195"/>
      <c r="N19" s="195"/>
    </row>
    <row r="20" spans="1:14" x14ac:dyDescent="0.25">
      <c r="A20" s="268" t="s">
        <v>1404</v>
      </c>
      <c r="B20" s="766" t="s">
        <v>1368</v>
      </c>
      <c r="C20" s="269">
        <v>42860</v>
      </c>
      <c r="D20" s="270">
        <f t="shared" si="1"/>
        <v>4373</v>
      </c>
      <c r="E20" s="261">
        <v>14.8</v>
      </c>
      <c r="F20" s="29">
        <v>34</v>
      </c>
      <c r="G20" s="39">
        <f t="shared" si="0"/>
        <v>503.20000000000005</v>
      </c>
      <c r="H20" s="31">
        <v>42861</v>
      </c>
      <c r="I20" s="62" t="s">
        <v>1172</v>
      </c>
      <c r="L20" s="195"/>
      <c r="M20" s="195"/>
      <c r="N20" s="195"/>
    </row>
    <row r="21" spans="1:14" x14ac:dyDescent="0.25">
      <c r="A21" s="268" t="s">
        <v>1362</v>
      </c>
      <c r="B21" s="766" t="s">
        <v>1402</v>
      </c>
      <c r="C21" s="269">
        <v>42859</v>
      </c>
      <c r="D21" s="270">
        <f t="shared" si="1"/>
        <v>4374</v>
      </c>
      <c r="E21" s="261">
        <v>14.7</v>
      </c>
      <c r="F21" s="29">
        <v>84</v>
      </c>
      <c r="G21" s="39">
        <f t="shared" si="0"/>
        <v>1234.8</v>
      </c>
      <c r="H21" s="31">
        <v>42859</v>
      </c>
      <c r="I21" s="62" t="s">
        <v>1172</v>
      </c>
      <c r="L21" s="195"/>
      <c r="M21" s="195"/>
      <c r="N21" s="195"/>
    </row>
    <row r="22" spans="1:14" x14ac:dyDescent="0.25">
      <c r="A22" s="268" t="s">
        <v>1197</v>
      </c>
      <c r="B22" s="766" t="s">
        <v>1391</v>
      </c>
      <c r="C22" s="269">
        <v>42859</v>
      </c>
      <c r="D22" s="270">
        <f t="shared" si="1"/>
        <v>4375</v>
      </c>
      <c r="E22" s="261">
        <v>83.5</v>
      </c>
      <c r="F22" s="29">
        <v>50</v>
      </c>
      <c r="G22" s="39">
        <f t="shared" si="0"/>
        <v>4175</v>
      </c>
      <c r="H22" s="31">
        <v>42858</v>
      </c>
      <c r="I22" s="62" t="s">
        <v>1172</v>
      </c>
      <c r="L22" s="195"/>
      <c r="M22" s="195"/>
      <c r="N22" s="195"/>
    </row>
    <row r="23" spans="1:14" x14ac:dyDescent="0.25">
      <c r="A23" s="268" t="s">
        <v>1171</v>
      </c>
      <c r="B23" s="766" t="s">
        <v>206</v>
      </c>
      <c r="C23" s="269">
        <v>42859</v>
      </c>
      <c r="D23" s="270">
        <f t="shared" si="1"/>
        <v>4376</v>
      </c>
      <c r="E23" s="261">
        <v>344.1</v>
      </c>
      <c r="F23" s="29">
        <v>68</v>
      </c>
      <c r="G23" s="39">
        <f t="shared" si="0"/>
        <v>23398.800000000003</v>
      </c>
      <c r="H23" s="31">
        <v>42859</v>
      </c>
      <c r="I23" s="62" t="s">
        <v>1172</v>
      </c>
      <c r="L23" s="195"/>
      <c r="M23" s="195"/>
      <c r="N23" s="195"/>
    </row>
    <row r="24" spans="1:14" x14ac:dyDescent="0.25">
      <c r="A24" s="268" t="s">
        <v>1197</v>
      </c>
      <c r="B24" s="766" t="s">
        <v>1280</v>
      </c>
      <c r="C24" s="269">
        <v>43224</v>
      </c>
      <c r="D24" s="270">
        <f t="shared" si="1"/>
        <v>4377</v>
      </c>
      <c r="E24" s="261">
        <v>80.45</v>
      </c>
      <c r="F24" s="29">
        <v>54</v>
      </c>
      <c r="G24" s="39">
        <f t="shared" si="0"/>
        <v>4344.3</v>
      </c>
      <c r="H24" s="31">
        <v>42863</v>
      </c>
      <c r="I24" s="62" t="s">
        <v>1172</v>
      </c>
      <c r="L24" s="195"/>
      <c r="M24" s="195"/>
      <c r="N24" s="195"/>
    </row>
    <row r="25" spans="1:14" x14ac:dyDescent="0.25">
      <c r="A25" s="268" t="s">
        <v>1387</v>
      </c>
      <c r="B25" s="766" t="s">
        <v>206</v>
      </c>
      <c r="C25" s="269">
        <v>42860</v>
      </c>
      <c r="D25" s="270">
        <f t="shared" si="1"/>
        <v>4378</v>
      </c>
      <c r="E25" s="261">
        <v>3100</v>
      </c>
      <c r="F25" s="29">
        <v>65.5</v>
      </c>
      <c r="G25" s="39">
        <f t="shared" si="0"/>
        <v>203050</v>
      </c>
      <c r="H25" s="31">
        <v>42860</v>
      </c>
      <c r="I25" s="62" t="s">
        <v>1172</v>
      </c>
      <c r="L25" s="195"/>
      <c r="M25" s="195"/>
      <c r="N25" s="195"/>
    </row>
    <row r="26" spans="1:14" x14ac:dyDescent="0.25">
      <c r="A26" s="268" t="s">
        <v>1216</v>
      </c>
      <c r="B26" s="766" t="s">
        <v>1414</v>
      </c>
      <c r="C26" s="269">
        <v>42860</v>
      </c>
      <c r="D26" s="270">
        <f t="shared" si="1"/>
        <v>4379</v>
      </c>
      <c r="E26" s="261">
        <v>212.6</v>
      </c>
      <c r="F26" s="29">
        <v>48</v>
      </c>
      <c r="G26" s="39">
        <f t="shared" si="0"/>
        <v>10204.799999999999</v>
      </c>
      <c r="H26" s="31">
        <v>42866</v>
      </c>
      <c r="I26" s="62" t="s">
        <v>1172</v>
      </c>
      <c r="L26" s="195"/>
      <c r="M26" s="195"/>
      <c r="N26" s="195"/>
    </row>
    <row r="27" spans="1:14" x14ac:dyDescent="0.25">
      <c r="A27" s="268" t="s">
        <v>1182</v>
      </c>
      <c r="B27" s="766" t="s">
        <v>1407</v>
      </c>
      <c r="C27" s="269">
        <v>42860</v>
      </c>
      <c r="D27" s="270">
        <f t="shared" si="1"/>
        <v>4380</v>
      </c>
      <c r="E27" s="261">
        <v>318808.40000000002</v>
      </c>
      <c r="F27" s="29">
        <v>1</v>
      </c>
      <c r="G27" s="39">
        <f t="shared" si="0"/>
        <v>318808.40000000002</v>
      </c>
      <c r="H27" s="31">
        <v>42863</v>
      </c>
      <c r="I27" s="62" t="s">
        <v>1172</v>
      </c>
      <c r="L27" s="195"/>
      <c r="M27" s="195"/>
      <c r="N27" s="195"/>
    </row>
    <row r="28" spans="1:14" x14ac:dyDescent="0.25">
      <c r="A28" s="268" t="s">
        <v>924</v>
      </c>
      <c r="B28" s="766" t="s">
        <v>923</v>
      </c>
      <c r="C28" s="269"/>
      <c r="D28" s="270">
        <f t="shared" si="1"/>
        <v>4381</v>
      </c>
      <c r="G28" s="39">
        <f t="shared" si="0"/>
        <v>0</v>
      </c>
      <c r="H28" s="31"/>
      <c r="L28" s="195"/>
      <c r="M28" s="195"/>
      <c r="N28" s="195"/>
    </row>
    <row r="29" spans="1:14" x14ac:dyDescent="0.25">
      <c r="A29" s="268" t="s">
        <v>1403</v>
      </c>
      <c r="B29" s="766" t="s">
        <v>1341</v>
      </c>
      <c r="C29" s="269">
        <v>42860</v>
      </c>
      <c r="D29" s="270">
        <f t="shared" si="1"/>
        <v>4382</v>
      </c>
      <c r="E29" s="261">
        <v>10.8</v>
      </c>
      <c r="F29" s="29">
        <v>36</v>
      </c>
      <c r="G29" s="39">
        <f t="shared" si="0"/>
        <v>388.8</v>
      </c>
      <c r="H29" s="31">
        <v>42861</v>
      </c>
      <c r="I29" s="62" t="s">
        <v>1172</v>
      </c>
      <c r="L29" s="195"/>
      <c r="M29" s="195"/>
      <c r="N29" s="195"/>
    </row>
    <row r="30" spans="1:14" x14ac:dyDescent="0.25">
      <c r="A30" s="268" t="s">
        <v>1173</v>
      </c>
      <c r="B30" s="766" t="s">
        <v>1413</v>
      </c>
      <c r="C30" s="269">
        <v>42860</v>
      </c>
      <c r="D30" s="270">
        <f t="shared" si="1"/>
        <v>4383</v>
      </c>
      <c r="E30" s="261">
        <v>100</v>
      </c>
      <c r="F30" s="29">
        <v>58</v>
      </c>
      <c r="G30" s="39">
        <f>F30*E30+89.1*27+185*48</f>
        <v>17085.7</v>
      </c>
      <c r="H30" s="31">
        <v>42866</v>
      </c>
      <c r="I30" s="62" t="s">
        <v>1172</v>
      </c>
      <c r="L30" s="195"/>
      <c r="M30" s="195"/>
      <c r="N30" s="195"/>
    </row>
    <row r="31" spans="1:14" x14ac:dyDescent="0.25">
      <c r="A31" s="268" t="s">
        <v>924</v>
      </c>
      <c r="B31" s="766" t="s">
        <v>923</v>
      </c>
      <c r="C31" s="269"/>
      <c r="D31" s="270">
        <f t="shared" si="1"/>
        <v>4384</v>
      </c>
      <c r="G31" s="39">
        <f t="shared" si="0"/>
        <v>0</v>
      </c>
      <c r="H31" s="31"/>
      <c r="L31" s="195"/>
      <c r="M31" s="195"/>
      <c r="N31" s="195"/>
    </row>
    <row r="32" spans="1:14" x14ac:dyDescent="0.25">
      <c r="A32" s="268" t="s">
        <v>1208</v>
      </c>
      <c r="B32" s="766" t="s">
        <v>1405</v>
      </c>
      <c r="C32" s="269">
        <v>42861</v>
      </c>
      <c r="D32" s="270">
        <f t="shared" si="1"/>
        <v>4385</v>
      </c>
      <c r="E32" s="261">
        <v>257</v>
      </c>
      <c r="F32" s="29">
        <v>59</v>
      </c>
      <c r="G32" s="39">
        <f t="shared" si="0"/>
        <v>15163</v>
      </c>
      <c r="H32" s="31">
        <v>42861</v>
      </c>
      <c r="I32" s="62" t="s">
        <v>1172</v>
      </c>
      <c r="L32" s="195"/>
      <c r="M32" s="195"/>
      <c r="N32" s="195"/>
    </row>
    <row r="33" spans="1:14" x14ac:dyDescent="0.25">
      <c r="A33" s="268" t="s">
        <v>1180</v>
      </c>
      <c r="B33" s="766" t="s">
        <v>1406</v>
      </c>
      <c r="C33" s="269">
        <v>42862</v>
      </c>
      <c r="D33" s="270">
        <f t="shared" si="1"/>
        <v>4386</v>
      </c>
      <c r="E33" s="261">
        <v>320.60000000000002</v>
      </c>
      <c r="F33" s="29">
        <v>38</v>
      </c>
      <c r="G33" s="39">
        <f t="shared" si="0"/>
        <v>12182.800000000001</v>
      </c>
      <c r="H33" s="31">
        <v>42862</v>
      </c>
      <c r="I33" s="62" t="s">
        <v>1172</v>
      </c>
      <c r="L33" s="195"/>
      <c r="M33" s="195"/>
      <c r="N33" s="195"/>
    </row>
    <row r="34" spans="1:14" x14ac:dyDescent="0.25">
      <c r="A34" s="268" t="s">
        <v>1409</v>
      </c>
      <c r="B34" s="766" t="s">
        <v>1325</v>
      </c>
      <c r="C34" s="269">
        <v>42862</v>
      </c>
      <c r="D34" s="270">
        <f t="shared" si="1"/>
        <v>4387</v>
      </c>
      <c r="E34" s="261">
        <v>204.4</v>
      </c>
      <c r="F34" s="29">
        <v>72</v>
      </c>
      <c r="G34" s="39">
        <f t="shared" si="0"/>
        <v>14716.800000000001</v>
      </c>
      <c r="H34" s="31">
        <v>42863</v>
      </c>
      <c r="I34" s="62" t="s">
        <v>1172</v>
      </c>
      <c r="L34" s="195"/>
      <c r="M34" s="195"/>
      <c r="N34" s="195"/>
    </row>
    <row r="35" spans="1:14" x14ac:dyDescent="0.25">
      <c r="A35" s="268" t="s">
        <v>1387</v>
      </c>
      <c r="B35" s="766" t="s">
        <v>206</v>
      </c>
      <c r="C35" s="269">
        <v>42863</v>
      </c>
      <c r="D35" s="270">
        <f t="shared" si="1"/>
        <v>4388</v>
      </c>
      <c r="E35" s="261">
        <v>2376</v>
      </c>
      <c r="F35" s="29">
        <v>65.5</v>
      </c>
      <c r="G35" s="39">
        <f t="shared" si="0"/>
        <v>155628</v>
      </c>
      <c r="H35" s="741" t="s">
        <v>1408</v>
      </c>
      <c r="I35" s="62" t="s">
        <v>1172</v>
      </c>
      <c r="J35" s="747">
        <f>50000+100000+5628</f>
        <v>155628</v>
      </c>
      <c r="L35" s="195"/>
      <c r="M35" s="195"/>
      <c r="N35" s="195"/>
    </row>
    <row r="36" spans="1:14" x14ac:dyDescent="0.25">
      <c r="A36" s="268" t="s">
        <v>1282</v>
      </c>
      <c r="B36" s="766" t="s">
        <v>1252</v>
      </c>
      <c r="C36" s="269">
        <v>42863</v>
      </c>
      <c r="D36" s="270">
        <f t="shared" si="1"/>
        <v>4389</v>
      </c>
      <c r="E36" s="261">
        <v>65.7</v>
      </c>
      <c r="F36" s="29">
        <v>49</v>
      </c>
      <c r="G36" s="39">
        <f t="shared" si="0"/>
        <v>3219.3</v>
      </c>
      <c r="H36" s="31">
        <v>42870</v>
      </c>
      <c r="I36" s="62" t="s">
        <v>1172</v>
      </c>
      <c r="L36" s="195"/>
      <c r="M36" s="195"/>
      <c r="N36" s="195"/>
    </row>
    <row r="37" spans="1:14" x14ac:dyDescent="0.25">
      <c r="A37" s="268" t="s">
        <v>1184</v>
      </c>
      <c r="B37" s="766" t="s">
        <v>206</v>
      </c>
      <c r="C37" s="269">
        <v>42864</v>
      </c>
      <c r="D37" s="270">
        <f t="shared" si="1"/>
        <v>4390</v>
      </c>
      <c r="E37" s="261">
        <v>1555.4</v>
      </c>
      <c r="F37" s="29">
        <v>66</v>
      </c>
      <c r="G37" s="39">
        <f t="shared" si="0"/>
        <v>102656.40000000001</v>
      </c>
      <c r="H37" s="31">
        <v>42866</v>
      </c>
      <c r="I37" s="62" t="s">
        <v>1172</v>
      </c>
      <c r="J37" s="746"/>
      <c r="K37" s="749"/>
      <c r="L37" s="195"/>
      <c r="M37" s="195"/>
      <c r="N37" s="195"/>
    </row>
    <row r="38" spans="1:14" x14ac:dyDescent="0.25">
      <c r="A38" s="268" t="s">
        <v>1173</v>
      </c>
      <c r="B38" s="766" t="s">
        <v>1413</v>
      </c>
      <c r="C38" s="269">
        <v>42864</v>
      </c>
      <c r="D38" s="270">
        <f t="shared" si="1"/>
        <v>4391</v>
      </c>
      <c r="E38" s="261">
        <v>344.6</v>
      </c>
      <c r="F38" s="29">
        <v>48</v>
      </c>
      <c r="G38" s="39">
        <f>F38*E38+72.9*59</f>
        <v>20841.900000000001</v>
      </c>
      <c r="H38" s="31">
        <v>42866</v>
      </c>
      <c r="I38" s="62" t="s">
        <v>1172</v>
      </c>
      <c r="L38" s="195"/>
      <c r="M38" s="195"/>
      <c r="N38" s="195"/>
    </row>
    <row r="39" spans="1:14" x14ac:dyDescent="0.25">
      <c r="A39" s="268" t="s">
        <v>924</v>
      </c>
      <c r="B39" s="766" t="s">
        <v>923</v>
      </c>
      <c r="C39" s="269"/>
      <c r="D39" s="270">
        <f t="shared" si="1"/>
        <v>4392</v>
      </c>
      <c r="G39" s="39">
        <f t="shared" si="0"/>
        <v>0</v>
      </c>
      <c r="H39" s="31"/>
      <c r="L39" s="195"/>
      <c r="M39" s="195"/>
      <c r="N39" s="195"/>
    </row>
    <row r="40" spans="1:14" x14ac:dyDescent="0.25">
      <c r="A40" s="268" t="s">
        <v>1305</v>
      </c>
      <c r="B40" s="766" t="s">
        <v>1391</v>
      </c>
      <c r="C40" s="269">
        <v>42864</v>
      </c>
      <c r="D40" s="270">
        <f t="shared" si="1"/>
        <v>4393</v>
      </c>
      <c r="E40" s="261">
        <v>7.2</v>
      </c>
      <c r="F40" s="29">
        <v>19</v>
      </c>
      <c r="G40" s="39">
        <f t="shared" si="0"/>
        <v>136.80000000000001</v>
      </c>
      <c r="H40" s="31">
        <v>42865</v>
      </c>
      <c r="I40" s="62" t="s">
        <v>1172</v>
      </c>
      <c r="L40" s="195"/>
      <c r="M40" s="195"/>
      <c r="N40" s="195"/>
    </row>
    <row r="41" spans="1:14" x14ac:dyDescent="0.25">
      <c r="A41" s="268" t="s">
        <v>1246</v>
      </c>
      <c r="B41" s="766" t="s">
        <v>492</v>
      </c>
      <c r="C41" s="269">
        <v>42863</v>
      </c>
      <c r="D41" s="270">
        <f t="shared" si="1"/>
        <v>4394</v>
      </c>
      <c r="E41" s="261">
        <v>2815</v>
      </c>
      <c r="F41" s="29">
        <v>36</v>
      </c>
      <c r="G41" s="39">
        <f t="shared" si="0"/>
        <v>101340</v>
      </c>
      <c r="H41" s="31">
        <v>42870</v>
      </c>
      <c r="I41" s="62" t="s">
        <v>1172</v>
      </c>
      <c r="L41" s="195"/>
      <c r="M41" s="195"/>
      <c r="N41" s="195"/>
    </row>
    <row r="42" spans="1:14" x14ac:dyDescent="0.25">
      <c r="A42" s="268" t="s">
        <v>1216</v>
      </c>
      <c r="B42" s="766" t="s">
        <v>1271</v>
      </c>
      <c r="C42" s="269">
        <v>42864</v>
      </c>
      <c r="D42" s="270">
        <f t="shared" si="1"/>
        <v>4395</v>
      </c>
      <c r="E42" s="261">
        <v>73.8</v>
      </c>
      <c r="F42" s="29">
        <v>27</v>
      </c>
      <c r="G42" s="39">
        <f t="shared" si="0"/>
        <v>1992.6</v>
      </c>
      <c r="H42" s="31">
        <v>42882</v>
      </c>
      <c r="I42" s="62" t="s">
        <v>1172</v>
      </c>
      <c r="L42" s="195"/>
      <c r="M42" s="195"/>
      <c r="N42" s="195"/>
    </row>
    <row r="43" spans="1:14" x14ac:dyDescent="0.25">
      <c r="A43" s="268" t="s">
        <v>1269</v>
      </c>
      <c r="B43" s="766" t="s">
        <v>923</v>
      </c>
      <c r="C43" s="269">
        <v>42865</v>
      </c>
      <c r="D43" s="270">
        <f t="shared" si="1"/>
        <v>4396</v>
      </c>
      <c r="E43" s="261">
        <v>3.5</v>
      </c>
      <c r="F43" s="29">
        <v>105</v>
      </c>
      <c r="G43" s="39">
        <f t="shared" si="0"/>
        <v>367.5</v>
      </c>
      <c r="H43" s="700">
        <v>42888</v>
      </c>
      <c r="I43" s="739" t="s">
        <v>1172</v>
      </c>
      <c r="L43" s="195"/>
      <c r="M43" s="195"/>
      <c r="N43" s="195"/>
    </row>
    <row r="44" spans="1:14" x14ac:dyDescent="0.25">
      <c r="A44" s="268" t="s">
        <v>1412</v>
      </c>
      <c r="B44" s="766" t="s">
        <v>1205</v>
      </c>
      <c r="C44" s="269">
        <v>42865</v>
      </c>
      <c r="D44" s="270">
        <f t="shared" si="1"/>
        <v>4397</v>
      </c>
      <c r="E44" s="261">
        <v>1138.5</v>
      </c>
      <c r="F44" s="29">
        <v>47</v>
      </c>
      <c r="G44" s="39">
        <f t="shared" si="0"/>
        <v>53509.5</v>
      </c>
      <c r="H44" s="31">
        <v>42865</v>
      </c>
      <c r="I44" s="62" t="s">
        <v>1172</v>
      </c>
      <c r="L44" s="195"/>
      <c r="M44" s="195"/>
      <c r="N44" s="195"/>
    </row>
    <row r="45" spans="1:14" x14ac:dyDescent="0.25">
      <c r="A45" s="268" t="s">
        <v>1182</v>
      </c>
      <c r="B45" s="766" t="s">
        <v>1182</v>
      </c>
      <c r="C45" s="269">
        <v>42865</v>
      </c>
      <c r="D45" s="270">
        <f t="shared" si="1"/>
        <v>4398</v>
      </c>
      <c r="E45" s="261">
        <v>3910</v>
      </c>
      <c r="F45" s="29">
        <v>1</v>
      </c>
      <c r="G45" s="39">
        <f t="shared" si="0"/>
        <v>3910</v>
      </c>
      <c r="H45" s="31">
        <v>42865</v>
      </c>
      <c r="I45" s="62" t="s">
        <v>1172</v>
      </c>
      <c r="L45" s="195"/>
      <c r="M45" s="195"/>
      <c r="N45" s="195"/>
    </row>
    <row r="46" spans="1:14" x14ac:dyDescent="0.25">
      <c r="A46" s="268" t="s">
        <v>1184</v>
      </c>
      <c r="B46" s="766" t="s">
        <v>1386</v>
      </c>
      <c r="C46" s="269">
        <v>42865</v>
      </c>
      <c r="D46" s="270">
        <f t="shared" si="1"/>
        <v>4399</v>
      </c>
      <c r="E46" s="261">
        <v>309.39999999999998</v>
      </c>
      <c r="F46" s="29">
        <v>90</v>
      </c>
      <c r="G46" s="39">
        <f t="shared" si="0"/>
        <v>27845.999999999996</v>
      </c>
      <c r="H46" s="31">
        <v>42867</v>
      </c>
      <c r="I46" s="62" t="s">
        <v>1172</v>
      </c>
      <c r="L46" s="195"/>
      <c r="M46" s="195"/>
      <c r="N46" s="195"/>
    </row>
    <row r="47" spans="1:14" x14ac:dyDescent="0.25">
      <c r="A47" s="268" t="s">
        <v>1282</v>
      </c>
      <c r="B47" s="766" t="s">
        <v>1252</v>
      </c>
      <c r="C47" s="269">
        <v>42865</v>
      </c>
      <c r="D47" s="270">
        <f t="shared" si="1"/>
        <v>4400</v>
      </c>
      <c r="E47" s="261">
        <v>202.4</v>
      </c>
      <c r="F47" s="29">
        <v>49</v>
      </c>
      <c r="G47" s="39">
        <f t="shared" si="0"/>
        <v>9917.6</v>
      </c>
      <c r="H47" s="31">
        <v>42881</v>
      </c>
      <c r="I47" s="62" t="s">
        <v>1172</v>
      </c>
      <c r="L47" s="195"/>
      <c r="M47" s="195"/>
      <c r="N47" s="195"/>
    </row>
    <row r="48" spans="1:14" x14ac:dyDescent="0.25">
      <c r="A48" s="268" t="s">
        <v>1417</v>
      </c>
      <c r="B48" s="766" t="s">
        <v>1416</v>
      </c>
      <c r="C48" s="269">
        <v>42865</v>
      </c>
      <c r="D48" s="270">
        <f t="shared" si="1"/>
        <v>4401</v>
      </c>
      <c r="E48" s="261">
        <v>112.4</v>
      </c>
      <c r="F48" s="29">
        <v>19</v>
      </c>
      <c r="G48" s="39">
        <f t="shared" si="0"/>
        <v>2135.6</v>
      </c>
      <c r="H48" s="31">
        <v>42866</v>
      </c>
      <c r="I48" s="62" t="s">
        <v>1172</v>
      </c>
      <c r="L48" s="195"/>
      <c r="M48" s="195"/>
      <c r="N48" s="195"/>
    </row>
    <row r="49" spans="1:14" x14ac:dyDescent="0.25">
      <c r="A49" s="268" t="s">
        <v>1184</v>
      </c>
      <c r="B49" s="766" t="s">
        <v>1203</v>
      </c>
      <c r="C49" s="269">
        <v>42866</v>
      </c>
      <c r="D49" s="270">
        <f t="shared" si="1"/>
        <v>4402</v>
      </c>
      <c r="E49" s="261">
        <v>4480</v>
      </c>
      <c r="F49" s="29">
        <v>30</v>
      </c>
      <c r="G49" s="39">
        <f t="shared" si="0"/>
        <v>134400</v>
      </c>
      <c r="H49" s="741" t="s">
        <v>1418</v>
      </c>
      <c r="I49" s="62" t="s">
        <v>1172</v>
      </c>
      <c r="J49" s="747">
        <v>40000</v>
      </c>
      <c r="L49" s="195"/>
      <c r="M49" s="195"/>
      <c r="N49" s="195"/>
    </row>
    <row r="50" spans="1:14" x14ac:dyDescent="0.25">
      <c r="A50" s="268" t="s">
        <v>1387</v>
      </c>
      <c r="B50" s="766" t="s">
        <v>206</v>
      </c>
      <c r="C50" s="269">
        <v>42865</v>
      </c>
      <c r="D50" s="270">
        <f t="shared" si="1"/>
        <v>4403</v>
      </c>
      <c r="E50" s="261">
        <v>2864</v>
      </c>
      <c r="F50" s="29">
        <v>65.5</v>
      </c>
      <c r="G50" s="39">
        <f t="shared" si="0"/>
        <v>187592</v>
      </c>
      <c r="H50" s="31">
        <v>42866</v>
      </c>
      <c r="I50" s="62" t="s">
        <v>1172</v>
      </c>
      <c r="J50" s="747">
        <f>137500+50092</f>
        <v>187592</v>
      </c>
      <c r="L50" s="195"/>
      <c r="M50" s="195"/>
      <c r="N50" s="195"/>
    </row>
    <row r="51" spans="1:14" x14ac:dyDescent="0.25">
      <c r="A51" s="268" t="s">
        <v>1216</v>
      </c>
      <c r="B51" s="766" t="s">
        <v>1415</v>
      </c>
      <c r="C51" s="269">
        <v>42866</v>
      </c>
      <c r="D51" s="270">
        <f t="shared" si="1"/>
        <v>4404</v>
      </c>
      <c r="E51" s="261">
        <v>206.8</v>
      </c>
      <c r="F51" s="29">
        <v>48</v>
      </c>
      <c r="G51" s="39">
        <f t="shared" si="0"/>
        <v>9926.4000000000015</v>
      </c>
      <c r="H51" s="31">
        <v>42866</v>
      </c>
      <c r="I51" s="62" t="s">
        <v>1172</v>
      </c>
      <c r="L51" s="195"/>
      <c r="M51" s="195"/>
      <c r="N51" s="195"/>
    </row>
    <row r="52" spans="1:14" x14ac:dyDescent="0.25">
      <c r="A52" s="268" t="s">
        <v>1182</v>
      </c>
      <c r="B52" s="766" t="s">
        <v>1182</v>
      </c>
      <c r="C52" s="269">
        <v>42868</v>
      </c>
      <c r="D52" s="270">
        <f t="shared" si="1"/>
        <v>4405</v>
      </c>
      <c r="E52" s="261">
        <v>73673</v>
      </c>
      <c r="F52" s="29">
        <v>1</v>
      </c>
      <c r="G52" s="39">
        <f t="shared" si="0"/>
        <v>73673</v>
      </c>
      <c r="H52" s="31">
        <v>42882</v>
      </c>
      <c r="I52" s="62" t="s">
        <v>1172</v>
      </c>
      <c r="L52" s="195"/>
      <c r="M52" s="195"/>
      <c r="N52" s="195"/>
    </row>
    <row r="53" spans="1:14" x14ac:dyDescent="0.25">
      <c r="A53" s="268" t="s">
        <v>1387</v>
      </c>
      <c r="B53" s="766" t="s">
        <v>206</v>
      </c>
      <c r="C53" s="269">
        <v>42866</v>
      </c>
      <c r="D53" s="270">
        <f t="shared" si="1"/>
        <v>4406</v>
      </c>
      <c r="E53" s="261">
        <v>2026</v>
      </c>
      <c r="F53" s="29">
        <v>65.5</v>
      </c>
      <c r="G53" s="39">
        <f t="shared" si="0"/>
        <v>132703</v>
      </c>
      <c r="H53" s="31">
        <v>42867</v>
      </c>
      <c r="I53" s="62" t="s">
        <v>1172</v>
      </c>
      <c r="L53" s="195"/>
      <c r="M53" s="195"/>
      <c r="N53" s="195"/>
    </row>
    <row r="54" spans="1:14" x14ac:dyDescent="0.25">
      <c r="A54" s="268" t="s">
        <v>451</v>
      </c>
      <c r="B54" s="766" t="s">
        <v>492</v>
      </c>
      <c r="C54" s="269">
        <v>42868</v>
      </c>
      <c r="D54" s="270">
        <f t="shared" si="1"/>
        <v>4407</v>
      </c>
      <c r="E54" s="261">
        <v>7280.6</v>
      </c>
      <c r="F54" s="29">
        <v>34.799999999999997</v>
      </c>
      <c r="G54" s="39">
        <f t="shared" si="0"/>
        <v>253364.88</v>
      </c>
      <c r="H54" s="31" t="s">
        <v>493</v>
      </c>
      <c r="I54" s="62">
        <v>42899</v>
      </c>
      <c r="J54" s="195" t="s">
        <v>546</v>
      </c>
      <c r="L54" s="195"/>
      <c r="M54" s="195"/>
      <c r="N54" s="195"/>
    </row>
    <row r="55" spans="1:14" x14ac:dyDescent="0.25">
      <c r="A55" s="273" t="s">
        <v>451</v>
      </c>
      <c r="B55" s="447" t="s">
        <v>492</v>
      </c>
      <c r="C55" s="438">
        <v>42868</v>
      </c>
      <c r="D55" s="270">
        <f t="shared" si="1"/>
        <v>4408</v>
      </c>
      <c r="E55" s="261">
        <v>1866.1</v>
      </c>
      <c r="F55" s="29">
        <v>34.799999999999997</v>
      </c>
      <c r="G55" s="39">
        <f t="shared" si="0"/>
        <v>64940.279999999992</v>
      </c>
      <c r="H55" s="31" t="s">
        <v>493</v>
      </c>
      <c r="I55" s="62">
        <v>42899</v>
      </c>
      <c r="J55" s="195" t="s">
        <v>546</v>
      </c>
      <c r="L55" s="195"/>
      <c r="M55" s="195"/>
      <c r="N55" s="195"/>
    </row>
    <row r="56" spans="1:14" x14ac:dyDescent="0.25">
      <c r="A56" s="273" t="s">
        <v>924</v>
      </c>
      <c r="B56" s="447" t="s">
        <v>923</v>
      </c>
      <c r="C56" s="274"/>
      <c r="D56" s="270">
        <f t="shared" si="1"/>
        <v>4409</v>
      </c>
      <c r="G56" s="39">
        <f t="shared" si="0"/>
        <v>0</v>
      </c>
      <c r="H56" s="31"/>
      <c r="L56" s="195"/>
      <c r="M56" s="195"/>
      <c r="N56" s="195"/>
    </row>
    <row r="57" spans="1:14" x14ac:dyDescent="0.25">
      <c r="A57" s="273" t="s">
        <v>1171</v>
      </c>
      <c r="B57" s="447" t="s">
        <v>206</v>
      </c>
      <c r="C57" s="274">
        <v>42868</v>
      </c>
      <c r="D57" s="270">
        <f t="shared" si="1"/>
        <v>4410</v>
      </c>
      <c r="E57" s="261">
        <v>660.7</v>
      </c>
      <c r="F57" s="29">
        <v>68</v>
      </c>
      <c r="G57" s="39">
        <f t="shared" si="0"/>
        <v>44927.600000000006</v>
      </c>
      <c r="H57" s="31">
        <v>42870</v>
      </c>
      <c r="I57" s="62" t="s">
        <v>1172</v>
      </c>
      <c r="L57" s="195"/>
      <c r="M57" s="195"/>
      <c r="N57" s="195"/>
    </row>
    <row r="58" spans="1:14" x14ac:dyDescent="0.25">
      <c r="A58" s="273" t="s">
        <v>1216</v>
      </c>
      <c r="B58" s="447" t="s">
        <v>1419</v>
      </c>
      <c r="C58" s="274">
        <v>42870</v>
      </c>
      <c r="D58" s="270">
        <f t="shared" si="1"/>
        <v>4411</v>
      </c>
      <c r="E58" s="261">
        <v>247.8</v>
      </c>
      <c r="F58" s="29">
        <v>48</v>
      </c>
      <c r="G58" s="39">
        <f>F58*E58+193*27+1000*17</f>
        <v>34105.4</v>
      </c>
      <c r="H58" s="31">
        <v>42870</v>
      </c>
      <c r="I58" s="62" t="s">
        <v>1172</v>
      </c>
      <c r="J58" s="8"/>
      <c r="L58" s="195"/>
      <c r="M58" s="195"/>
      <c r="N58" s="195"/>
    </row>
    <row r="59" spans="1:14" x14ac:dyDescent="0.25">
      <c r="A59" s="273" t="s">
        <v>1387</v>
      </c>
      <c r="B59" s="447" t="s">
        <v>206</v>
      </c>
      <c r="C59" s="274">
        <v>42867</v>
      </c>
      <c r="D59" s="270">
        <f t="shared" si="1"/>
        <v>4412</v>
      </c>
      <c r="E59" s="261">
        <v>774.2</v>
      </c>
      <c r="F59" s="29">
        <v>68</v>
      </c>
      <c r="G59" s="39">
        <f t="shared" si="0"/>
        <v>52645.600000000006</v>
      </c>
      <c r="H59" s="31">
        <v>42872</v>
      </c>
      <c r="I59" s="62" t="s">
        <v>1172</v>
      </c>
      <c r="L59" s="195"/>
      <c r="M59" s="195"/>
      <c r="N59" s="195"/>
    </row>
    <row r="60" spans="1:14" x14ac:dyDescent="0.25">
      <c r="A60" s="273" t="s">
        <v>1434</v>
      </c>
      <c r="B60" s="447" t="s">
        <v>1203</v>
      </c>
      <c r="C60" s="274">
        <v>42871</v>
      </c>
      <c r="D60" s="270">
        <f t="shared" si="1"/>
        <v>4413</v>
      </c>
      <c r="E60" s="261">
        <v>6.5</v>
      </c>
      <c r="F60" s="29">
        <v>20</v>
      </c>
      <c r="G60" s="39">
        <f t="shared" si="0"/>
        <v>130</v>
      </c>
      <c r="H60" s="31">
        <v>42871</v>
      </c>
      <c r="I60" s="62" t="s">
        <v>1172</v>
      </c>
      <c r="J60" s="195" t="s">
        <v>1435</v>
      </c>
      <c r="L60" s="195"/>
      <c r="M60" s="195"/>
      <c r="N60" s="195"/>
    </row>
    <row r="61" spans="1:14" ht="30" x14ac:dyDescent="0.25">
      <c r="A61" s="275" t="s">
        <v>1184</v>
      </c>
      <c r="B61" s="764" t="s">
        <v>206</v>
      </c>
      <c r="C61" s="274">
        <v>42869</v>
      </c>
      <c r="D61" s="270">
        <f t="shared" si="1"/>
        <v>4414</v>
      </c>
      <c r="E61" s="261">
        <v>1559.3</v>
      </c>
      <c r="F61" s="29">
        <v>66</v>
      </c>
      <c r="G61" s="39">
        <f t="shared" si="0"/>
        <v>102913.8</v>
      </c>
      <c r="H61" s="774" t="s">
        <v>1438</v>
      </c>
      <c r="I61" s="62" t="s">
        <v>1172</v>
      </c>
      <c r="J61" s="747">
        <v>50000</v>
      </c>
      <c r="L61" s="195"/>
      <c r="M61" s="195"/>
      <c r="N61" s="195"/>
    </row>
    <row r="62" spans="1:14" x14ac:dyDescent="0.25">
      <c r="A62" s="275" t="s">
        <v>1246</v>
      </c>
      <c r="B62" s="764" t="s">
        <v>492</v>
      </c>
      <c r="C62" s="274">
        <v>42871</v>
      </c>
      <c r="D62" s="270">
        <f t="shared" si="1"/>
        <v>4415</v>
      </c>
      <c r="E62" s="261">
        <v>4564</v>
      </c>
      <c r="F62" s="29">
        <v>36</v>
      </c>
      <c r="G62" s="39">
        <f t="shared" si="0"/>
        <v>164304</v>
      </c>
      <c r="H62" s="700">
        <v>42889</v>
      </c>
      <c r="I62" s="62" t="s">
        <v>1172</v>
      </c>
      <c r="L62" s="195"/>
      <c r="M62" s="195"/>
      <c r="N62" s="195"/>
    </row>
    <row r="63" spans="1:14" x14ac:dyDescent="0.25">
      <c r="A63" s="275" t="s">
        <v>1246</v>
      </c>
      <c r="B63" s="764" t="s">
        <v>1203</v>
      </c>
      <c r="C63" s="274">
        <v>42872</v>
      </c>
      <c r="D63" s="270">
        <f t="shared" si="1"/>
        <v>4416</v>
      </c>
      <c r="E63" s="261">
        <v>71.5</v>
      </c>
      <c r="F63" s="29">
        <v>37</v>
      </c>
      <c r="G63" s="39">
        <f t="shared" si="0"/>
        <v>2645.5</v>
      </c>
      <c r="H63" s="700">
        <v>42889</v>
      </c>
      <c r="I63" s="739" t="s">
        <v>1172</v>
      </c>
      <c r="L63" s="195"/>
      <c r="M63" s="195"/>
      <c r="N63" s="195"/>
    </row>
    <row r="64" spans="1:14" x14ac:dyDescent="0.25">
      <c r="A64" s="275" t="s">
        <v>1182</v>
      </c>
      <c r="B64" s="764" t="s">
        <v>1436</v>
      </c>
      <c r="C64" s="274">
        <v>42872</v>
      </c>
      <c r="D64" s="270">
        <f t="shared" si="1"/>
        <v>4417</v>
      </c>
      <c r="E64" s="261">
        <v>16782.599999999999</v>
      </c>
      <c r="F64" s="29">
        <v>1</v>
      </c>
      <c r="G64" s="39">
        <f t="shared" si="0"/>
        <v>16782.599999999999</v>
      </c>
      <c r="H64" s="31">
        <v>42872</v>
      </c>
      <c r="I64" s="62" t="s">
        <v>1172</v>
      </c>
      <c r="L64" s="195"/>
      <c r="M64" s="195"/>
      <c r="N64" s="195"/>
    </row>
    <row r="65" spans="1:14" x14ac:dyDescent="0.25">
      <c r="A65" s="275" t="s">
        <v>924</v>
      </c>
      <c r="B65" s="764" t="s">
        <v>923</v>
      </c>
      <c r="C65" s="274"/>
      <c r="D65" s="270">
        <f t="shared" si="1"/>
        <v>4418</v>
      </c>
      <c r="G65" s="39">
        <f t="shared" si="0"/>
        <v>0</v>
      </c>
      <c r="H65" s="31"/>
      <c r="L65" s="195"/>
      <c r="M65" s="195"/>
      <c r="N65" s="195"/>
    </row>
    <row r="66" spans="1:14" x14ac:dyDescent="0.25">
      <c r="A66" s="275" t="s">
        <v>1180</v>
      </c>
      <c r="B66" s="764" t="s">
        <v>1214</v>
      </c>
      <c r="C66" s="274">
        <v>42872</v>
      </c>
      <c r="D66" s="270">
        <f t="shared" si="1"/>
        <v>4419</v>
      </c>
      <c r="E66" s="261">
        <v>409.8</v>
      </c>
      <c r="F66" s="29">
        <v>38</v>
      </c>
      <c r="G66" s="39">
        <f t="shared" si="0"/>
        <v>15572.4</v>
      </c>
      <c r="H66" s="31">
        <v>42872</v>
      </c>
      <c r="I66" s="62" t="s">
        <v>1172</v>
      </c>
      <c r="L66" s="195"/>
      <c r="M66" s="195"/>
      <c r="N66" s="195"/>
    </row>
    <row r="67" spans="1:14" x14ac:dyDescent="0.25">
      <c r="A67" s="275" t="s">
        <v>1364</v>
      </c>
      <c r="B67" s="764" t="s">
        <v>1222</v>
      </c>
      <c r="C67" s="278">
        <v>42872</v>
      </c>
      <c r="D67" s="270">
        <f t="shared" si="1"/>
        <v>4420</v>
      </c>
      <c r="E67" s="261">
        <v>339</v>
      </c>
      <c r="F67" s="29">
        <v>16</v>
      </c>
      <c r="G67" s="39">
        <f t="shared" si="0"/>
        <v>5424</v>
      </c>
      <c r="H67" s="31">
        <v>42872</v>
      </c>
      <c r="I67" s="62" t="s">
        <v>1172</v>
      </c>
      <c r="L67" s="195"/>
      <c r="M67" s="195"/>
      <c r="N67" s="195"/>
    </row>
    <row r="68" spans="1:14" x14ac:dyDescent="0.25">
      <c r="A68" s="275" t="s">
        <v>1171</v>
      </c>
      <c r="B68" s="764" t="s">
        <v>206</v>
      </c>
      <c r="C68" s="274">
        <v>42872</v>
      </c>
      <c r="D68" s="270">
        <f t="shared" ref="D68:D103" si="2">D67+1</f>
        <v>4421</v>
      </c>
      <c r="E68" s="261">
        <v>397.2</v>
      </c>
      <c r="F68" s="29">
        <v>65.5</v>
      </c>
      <c r="G68" s="39">
        <f t="shared" si="0"/>
        <v>26016.6</v>
      </c>
      <c r="H68" s="31">
        <v>42872</v>
      </c>
      <c r="I68" s="62" t="s">
        <v>1172</v>
      </c>
      <c r="L68" s="195"/>
      <c r="M68" s="195"/>
      <c r="N68" s="195"/>
    </row>
    <row r="69" spans="1:14" x14ac:dyDescent="0.25">
      <c r="A69" s="273" t="s">
        <v>1387</v>
      </c>
      <c r="B69" s="447" t="s">
        <v>206</v>
      </c>
      <c r="C69" s="274">
        <v>42872</v>
      </c>
      <c r="D69" s="270">
        <f t="shared" si="2"/>
        <v>4422</v>
      </c>
      <c r="E69" s="261">
        <v>1870</v>
      </c>
      <c r="F69" s="29">
        <v>65.5</v>
      </c>
      <c r="G69" s="39">
        <f t="shared" si="0"/>
        <v>122485</v>
      </c>
      <c r="H69" s="31">
        <v>42870</v>
      </c>
      <c r="I69" s="62" t="s">
        <v>1172</v>
      </c>
      <c r="J69" s="751">
        <v>100000</v>
      </c>
      <c r="L69" s="195"/>
      <c r="M69" s="195"/>
      <c r="N69" s="195"/>
    </row>
    <row r="70" spans="1:14" x14ac:dyDescent="0.25">
      <c r="A70" s="273" t="s">
        <v>1197</v>
      </c>
      <c r="B70" s="447" t="s">
        <v>1437</v>
      </c>
      <c r="C70" s="274">
        <v>42870</v>
      </c>
      <c r="D70" s="270">
        <f t="shared" si="2"/>
        <v>4423</v>
      </c>
      <c r="E70" s="261">
        <v>8</v>
      </c>
      <c r="F70" s="29">
        <v>130</v>
      </c>
      <c r="G70" s="39">
        <f t="shared" si="0"/>
        <v>1040</v>
      </c>
      <c r="H70" s="31">
        <v>42873</v>
      </c>
      <c r="I70" s="62" t="s">
        <v>1172</v>
      </c>
      <c r="L70" s="195"/>
      <c r="M70" s="195"/>
      <c r="N70" s="195"/>
    </row>
    <row r="71" spans="1:14" x14ac:dyDescent="0.25">
      <c r="A71" s="273" t="s">
        <v>924</v>
      </c>
      <c r="B71" s="447"/>
      <c r="C71" s="274"/>
      <c r="D71" s="270">
        <f t="shared" si="2"/>
        <v>4424</v>
      </c>
      <c r="G71" s="39">
        <f t="shared" si="0"/>
        <v>0</v>
      </c>
      <c r="H71" s="31"/>
      <c r="L71" s="195"/>
      <c r="M71" s="195"/>
      <c r="N71" s="195"/>
    </row>
    <row r="72" spans="1:14" x14ac:dyDescent="0.25">
      <c r="A72" s="273" t="s">
        <v>1182</v>
      </c>
      <c r="B72" s="447" t="s">
        <v>1182</v>
      </c>
      <c r="C72" s="274">
        <v>42874</v>
      </c>
      <c r="D72" s="270">
        <f t="shared" si="2"/>
        <v>4425</v>
      </c>
      <c r="E72" s="261">
        <v>30814.7</v>
      </c>
      <c r="F72" s="209">
        <v>1</v>
      </c>
      <c r="G72" s="39">
        <f t="shared" si="0"/>
        <v>30814.7</v>
      </c>
      <c r="H72" s="31">
        <v>42882</v>
      </c>
      <c r="I72" s="62" t="s">
        <v>1172</v>
      </c>
      <c r="J72" s="198"/>
      <c r="K72" s="281"/>
      <c r="L72" s="195"/>
      <c r="M72" s="195"/>
      <c r="N72" s="195"/>
    </row>
    <row r="73" spans="1:14" x14ac:dyDescent="0.25">
      <c r="A73" s="282" t="s">
        <v>1216</v>
      </c>
      <c r="B73" s="767" t="s">
        <v>1443</v>
      </c>
      <c r="C73" s="284">
        <v>42874</v>
      </c>
      <c r="D73" s="270">
        <f t="shared" si="2"/>
        <v>4426</v>
      </c>
      <c r="E73" s="261">
        <v>227.6</v>
      </c>
      <c r="F73" s="209">
        <v>48</v>
      </c>
      <c r="G73" s="39">
        <f>F73*E73+114.7*27+106.9*59</f>
        <v>20328.8</v>
      </c>
      <c r="H73" s="31">
        <v>42882</v>
      </c>
      <c r="I73" s="62" t="s">
        <v>1172</v>
      </c>
      <c r="J73" s="198"/>
      <c r="K73" s="281"/>
      <c r="L73" s="195"/>
      <c r="M73" s="195"/>
      <c r="N73" s="195"/>
    </row>
    <row r="74" spans="1:14" x14ac:dyDescent="0.25">
      <c r="A74" s="282" t="s">
        <v>1182</v>
      </c>
      <c r="B74" s="767" t="s">
        <v>1182</v>
      </c>
      <c r="C74" s="284">
        <v>42875</v>
      </c>
      <c r="D74" s="270">
        <f t="shared" si="2"/>
        <v>4427</v>
      </c>
      <c r="E74" s="261">
        <v>6545</v>
      </c>
      <c r="F74" s="209">
        <v>1</v>
      </c>
      <c r="G74" s="39">
        <f t="shared" si="0"/>
        <v>6545</v>
      </c>
      <c r="H74" s="31">
        <v>42882</v>
      </c>
      <c r="I74" s="62" t="s">
        <v>1172</v>
      </c>
      <c r="J74" s="198"/>
      <c r="K74" s="281"/>
      <c r="L74" s="195"/>
      <c r="M74" s="195"/>
      <c r="N74" s="195"/>
    </row>
    <row r="75" spans="1:14" x14ac:dyDescent="0.25">
      <c r="A75" s="282" t="s">
        <v>1221</v>
      </c>
      <c r="B75" s="767" t="s">
        <v>1388</v>
      </c>
      <c r="C75" s="284">
        <v>42875</v>
      </c>
      <c r="D75" s="270">
        <f t="shared" si="2"/>
        <v>4428</v>
      </c>
      <c r="E75" s="261">
        <v>300</v>
      </c>
      <c r="F75" s="209">
        <v>33</v>
      </c>
      <c r="G75" s="39">
        <f t="shared" si="0"/>
        <v>9900</v>
      </c>
      <c r="H75" s="31">
        <v>42875</v>
      </c>
      <c r="I75" s="62" t="s">
        <v>1172</v>
      </c>
      <c r="J75" s="198"/>
      <c r="K75" s="281"/>
      <c r="L75" s="195"/>
      <c r="M75" s="195"/>
      <c r="N75" s="195"/>
    </row>
    <row r="76" spans="1:14" x14ac:dyDescent="0.25">
      <c r="A76" s="282" t="s">
        <v>1171</v>
      </c>
      <c r="B76" s="447" t="s">
        <v>206</v>
      </c>
      <c r="C76" s="284">
        <v>42875</v>
      </c>
      <c r="D76" s="270">
        <f t="shared" si="2"/>
        <v>4429</v>
      </c>
      <c r="E76" s="261">
        <v>1979.2</v>
      </c>
      <c r="F76" s="209">
        <v>68</v>
      </c>
      <c r="G76" s="39">
        <f t="shared" si="0"/>
        <v>134585.60000000001</v>
      </c>
      <c r="H76" s="31">
        <v>42880</v>
      </c>
      <c r="I76" s="62" t="s">
        <v>1172</v>
      </c>
      <c r="J76" s="198"/>
      <c r="K76" s="281"/>
      <c r="L76" s="195"/>
      <c r="M76" s="195"/>
      <c r="N76" s="195"/>
    </row>
    <row r="77" spans="1:14" x14ac:dyDescent="0.25">
      <c r="A77" s="282" t="s">
        <v>1184</v>
      </c>
      <c r="B77" s="447" t="s">
        <v>206</v>
      </c>
      <c r="C77" s="284">
        <v>42875</v>
      </c>
      <c r="D77" s="270">
        <f t="shared" si="2"/>
        <v>4430</v>
      </c>
      <c r="E77" s="261">
        <v>1902.2</v>
      </c>
      <c r="F77" s="209">
        <v>66</v>
      </c>
      <c r="G77" s="39">
        <f t="shared" si="0"/>
        <v>125545.2</v>
      </c>
      <c r="H77" s="31">
        <v>42882</v>
      </c>
      <c r="I77" s="62" t="s">
        <v>1172</v>
      </c>
      <c r="J77" s="198"/>
      <c r="K77" s="281"/>
      <c r="L77" s="195"/>
      <c r="M77" s="195"/>
      <c r="N77" s="195"/>
    </row>
    <row r="78" spans="1:14" x14ac:dyDescent="0.25">
      <c r="A78" s="282" t="s">
        <v>1171</v>
      </c>
      <c r="B78" s="447" t="s">
        <v>206</v>
      </c>
      <c r="C78" s="284">
        <v>42876</v>
      </c>
      <c r="D78" s="270">
        <f t="shared" si="2"/>
        <v>4431</v>
      </c>
      <c r="E78" s="261">
        <v>1274</v>
      </c>
      <c r="F78" s="209">
        <v>68</v>
      </c>
      <c r="G78" s="39">
        <f t="shared" si="0"/>
        <v>86632</v>
      </c>
      <c r="H78" s="31">
        <v>42880</v>
      </c>
      <c r="I78" s="62" t="s">
        <v>1172</v>
      </c>
      <c r="J78" s="198"/>
      <c r="K78" s="281"/>
      <c r="L78" s="195"/>
      <c r="M78" s="195"/>
      <c r="N78" s="195"/>
    </row>
    <row r="79" spans="1:14" x14ac:dyDescent="0.25">
      <c r="A79" s="282" t="s">
        <v>1439</v>
      </c>
      <c r="B79" s="447" t="s">
        <v>1368</v>
      </c>
      <c r="C79" s="284">
        <v>42874</v>
      </c>
      <c r="D79" s="270">
        <f t="shared" si="2"/>
        <v>4432</v>
      </c>
      <c r="E79" s="261">
        <v>7.9</v>
      </c>
      <c r="F79" s="209">
        <v>36</v>
      </c>
      <c r="G79" s="39">
        <f t="shared" si="0"/>
        <v>284.40000000000003</v>
      </c>
      <c r="H79" s="31">
        <v>42877</v>
      </c>
      <c r="I79" s="62" t="s">
        <v>1172</v>
      </c>
      <c r="J79" s="198"/>
      <c r="K79" s="281"/>
      <c r="L79" s="195"/>
      <c r="M79" s="195"/>
      <c r="N79" s="195"/>
    </row>
    <row r="80" spans="1:14" x14ac:dyDescent="0.25">
      <c r="A80" s="285" t="s">
        <v>924</v>
      </c>
      <c r="B80" s="447"/>
      <c r="C80" s="276"/>
      <c r="D80" s="270">
        <f t="shared" si="2"/>
        <v>4433</v>
      </c>
      <c r="F80" s="209"/>
      <c r="G80" s="39">
        <f t="shared" si="0"/>
        <v>0</v>
      </c>
      <c r="H80" s="31"/>
      <c r="L80" s="195"/>
      <c r="M80" s="195"/>
      <c r="N80" s="195"/>
    </row>
    <row r="81" spans="1:14" x14ac:dyDescent="0.25">
      <c r="A81" s="275" t="s">
        <v>1257</v>
      </c>
      <c r="B81" s="447" t="s">
        <v>1222</v>
      </c>
      <c r="C81" s="274">
        <v>42878</v>
      </c>
      <c r="D81" s="270">
        <f t="shared" si="2"/>
        <v>4434</v>
      </c>
      <c r="E81" s="261">
        <v>1500.6</v>
      </c>
      <c r="F81" s="209">
        <v>16</v>
      </c>
      <c r="G81" s="39">
        <f t="shared" si="0"/>
        <v>24009.599999999999</v>
      </c>
      <c r="H81" s="31">
        <v>42878</v>
      </c>
      <c r="I81" s="62" t="s">
        <v>1172</v>
      </c>
      <c r="J81" s="286"/>
      <c r="L81" s="195"/>
      <c r="M81" s="195"/>
      <c r="N81" s="195"/>
    </row>
    <row r="82" spans="1:14" x14ac:dyDescent="0.25">
      <c r="A82" s="275" t="s">
        <v>1202</v>
      </c>
      <c r="B82" s="447" t="s">
        <v>1203</v>
      </c>
      <c r="C82" s="274">
        <v>42878</v>
      </c>
      <c r="D82" s="270">
        <f t="shared" si="2"/>
        <v>4435</v>
      </c>
      <c r="E82" s="261">
        <v>75.599999999999994</v>
      </c>
      <c r="F82" s="209">
        <v>37</v>
      </c>
      <c r="G82" s="39">
        <f t="shared" si="0"/>
        <v>2797.2</v>
      </c>
      <c r="H82" s="31">
        <v>42879</v>
      </c>
      <c r="I82" s="62" t="s">
        <v>1172</v>
      </c>
      <c r="J82" s="286"/>
      <c r="L82" s="195"/>
      <c r="M82" s="195"/>
      <c r="N82" s="195"/>
    </row>
    <row r="83" spans="1:14" s="8" customFormat="1" x14ac:dyDescent="0.25">
      <c r="A83" s="275" t="s">
        <v>1171</v>
      </c>
      <c r="B83" s="447" t="s">
        <v>206</v>
      </c>
      <c r="C83" s="274">
        <v>42878</v>
      </c>
      <c r="D83" s="270">
        <f t="shared" si="2"/>
        <v>4436</v>
      </c>
      <c r="E83" s="261">
        <v>943.2</v>
      </c>
      <c r="F83" s="209">
        <v>68</v>
      </c>
      <c r="G83" s="39">
        <f t="shared" si="0"/>
        <v>64137.600000000006</v>
      </c>
      <c r="H83" s="31">
        <v>42880</v>
      </c>
      <c r="I83" s="519" t="s">
        <v>1172</v>
      </c>
      <c r="J83" s="195"/>
    </row>
    <row r="84" spans="1:14" s="8" customFormat="1" x14ac:dyDescent="0.25">
      <c r="A84" s="275" t="s">
        <v>924</v>
      </c>
      <c r="B84" s="447"/>
      <c r="C84" s="274"/>
      <c r="D84" s="270">
        <f t="shared" si="2"/>
        <v>4437</v>
      </c>
      <c r="E84" s="261"/>
      <c r="F84" s="29"/>
      <c r="G84" s="39">
        <f t="shared" si="0"/>
        <v>0</v>
      </c>
      <c r="H84" s="31"/>
      <c r="I84" s="519"/>
      <c r="J84" s="195"/>
    </row>
    <row r="85" spans="1:14" s="8" customFormat="1" x14ac:dyDescent="0.25">
      <c r="A85" s="275" t="s">
        <v>1180</v>
      </c>
      <c r="B85" s="447" t="s">
        <v>1214</v>
      </c>
      <c r="C85" s="274">
        <v>42879</v>
      </c>
      <c r="D85" s="270">
        <f t="shared" si="2"/>
        <v>4438</v>
      </c>
      <c r="E85" s="261">
        <v>421.6</v>
      </c>
      <c r="F85" s="29">
        <v>38</v>
      </c>
      <c r="G85" s="39">
        <f t="shared" si="0"/>
        <v>16020.800000000001</v>
      </c>
      <c r="H85" s="31">
        <v>42879</v>
      </c>
      <c r="I85" s="519" t="s">
        <v>1172</v>
      </c>
      <c r="J85" s="195"/>
    </row>
    <row r="86" spans="1:14" s="8" customFormat="1" x14ac:dyDescent="0.25">
      <c r="A86" s="275" t="s">
        <v>1171</v>
      </c>
      <c r="B86" s="447" t="s">
        <v>206</v>
      </c>
      <c r="C86" s="274">
        <v>42879</v>
      </c>
      <c r="D86" s="270">
        <f t="shared" si="2"/>
        <v>4439</v>
      </c>
      <c r="E86" s="261">
        <v>879</v>
      </c>
      <c r="F86" s="29">
        <v>68</v>
      </c>
      <c r="G86" s="39">
        <f t="shared" si="0"/>
        <v>59772</v>
      </c>
      <c r="H86" s="31">
        <v>42880</v>
      </c>
      <c r="I86" s="519" t="s">
        <v>1172</v>
      </c>
      <c r="J86" s="195"/>
    </row>
    <row r="87" spans="1:14" s="8" customFormat="1" x14ac:dyDescent="0.25">
      <c r="A87" s="275" t="s">
        <v>1387</v>
      </c>
      <c r="B87" s="764" t="s">
        <v>206</v>
      </c>
      <c r="C87" s="274">
        <v>42879</v>
      </c>
      <c r="D87" s="270">
        <f t="shared" si="2"/>
        <v>4440</v>
      </c>
      <c r="E87" s="261">
        <v>1730</v>
      </c>
      <c r="F87" s="29">
        <v>65.5</v>
      </c>
      <c r="G87" s="39">
        <f t="shared" si="0"/>
        <v>113315</v>
      </c>
      <c r="H87" s="31">
        <v>42879</v>
      </c>
      <c r="I87" s="62" t="s">
        <v>1172</v>
      </c>
      <c r="J87" s="195"/>
    </row>
    <row r="88" spans="1:14" ht="30" x14ac:dyDescent="0.25">
      <c r="A88" s="275" t="s">
        <v>1171</v>
      </c>
      <c r="B88" s="764" t="s">
        <v>206</v>
      </c>
      <c r="C88" s="274">
        <v>42880</v>
      </c>
      <c r="D88" s="270">
        <f t="shared" si="2"/>
        <v>4441</v>
      </c>
      <c r="E88" s="261">
        <v>1694.8</v>
      </c>
      <c r="F88" s="29">
        <v>68</v>
      </c>
      <c r="G88" s="39">
        <f>F88*E88+290*65</f>
        <v>134096.4</v>
      </c>
      <c r="H88" s="718" t="s">
        <v>1446</v>
      </c>
      <c r="I88" s="62" t="s">
        <v>1172</v>
      </c>
      <c r="L88" s="195"/>
      <c r="M88" s="195"/>
      <c r="N88" s="195"/>
    </row>
    <row r="89" spans="1:14" x14ac:dyDescent="0.25">
      <c r="A89" s="275" t="s">
        <v>1444</v>
      </c>
      <c r="B89" s="764" t="s">
        <v>1368</v>
      </c>
      <c r="C89" s="274">
        <v>42880</v>
      </c>
      <c r="D89" s="270">
        <f t="shared" si="2"/>
        <v>4442</v>
      </c>
      <c r="E89" s="261">
        <v>26.8</v>
      </c>
      <c r="F89" s="29">
        <v>44</v>
      </c>
      <c r="G89" s="39">
        <f t="shared" si="0"/>
        <v>1179.2</v>
      </c>
      <c r="H89" s="31">
        <v>42883</v>
      </c>
      <c r="I89" s="62" t="s">
        <v>1172</v>
      </c>
      <c r="L89" s="195"/>
      <c r="M89" s="195"/>
      <c r="N89" s="195"/>
    </row>
    <row r="90" spans="1:14" x14ac:dyDescent="0.25">
      <c r="A90" s="290" t="s">
        <v>1251</v>
      </c>
      <c r="B90" s="768" t="s">
        <v>1441</v>
      </c>
      <c r="C90" s="269">
        <v>42880</v>
      </c>
      <c r="D90" s="270">
        <f t="shared" si="2"/>
        <v>4443</v>
      </c>
      <c r="E90" s="261">
        <v>8.9</v>
      </c>
      <c r="F90" s="29">
        <v>57</v>
      </c>
      <c r="G90" s="39">
        <f t="shared" si="0"/>
        <v>507.3</v>
      </c>
      <c r="H90" s="31">
        <v>42881</v>
      </c>
      <c r="I90" s="62" t="s">
        <v>1172</v>
      </c>
      <c r="L90" s="195"/>
      <c r="M90" s="195"/>
      <c r="N90" s="195"/>
    </row>
    <row r="91" spans="1:14" x14ac:dyDescent="0.25">
      <c r="A91" s="290" t="s">
        <v>1442</v>
      </c>
      <c r="B91" s="768" t="s">
        <v>1443</v>
      </c>
      <c r="C91" s="269">
        <v>42880</v>
      </c>
      <c r="D91" s="270">
        <f t="shared" si="2"/>
        <v>4444</v>
      </c>
      <c r="E91" s="261">
        <v>208.4</v>
      </c>
      <c r="F91" s="29">
        <v>48</v>
      </c>
      <c r="G91" s="39">
        <f>F91*E91+100.3*58+91.4*27</f>
        <v>18288.400000000001</v>
      </c>
      <c r="H91" s="31">
        <v>42882</v>
      </c>
      <c r="I91" s="62" t="s">
        <v>1172</v>
      </c>
      <c r="L91" s="195"/>
      <c r="M91" s="195"/>
      <c r="N91" s="195"/>
    </row>
    <row r="92" spans="1:14" x14ac:dyDescent="0.25">
      <c r="A92" s="291" t="s">
        <v>1171</v>
      </c>
      <c r="B92" s="768" t="s">
        <v>206</v>
      </c>
      <c r="C92" s="292">
        <v>42881</v>
      </c>
      <c r="D92" s="270">
        <f t="shared" si="2"/>
        <v>4445</v>
      </c>
      <c r="E92" s="261">
        <v>1091.5</v>
      </c>
      <c r="F92" s="29">
        <v>68</v>
      </c>
      <c r="G92" s="39">
        <f t="shared" si="0"/>
        <v>74222</v>
      </c>
      <c r="H92" s="31">
        <v>42885</v>
      </c>
      <c r="I92" s="62" t="s">
        <v>1172</v>
      </c>
      <c r="L92" s="195"/>
      <c r="M92" s="195"/>
      <c r="N92" s="195"/>
    </row>
    <row r="93" spans="1:14" x14ac:dyDescent="0.25">
      <c r="A93" s="290" t="s">
        <v>1208</v>
      </c>
      <c r="B93" s="768" t="s">
        <v>206</v>
      </c>
      <c r="C93" s="269">
        <v>42881</v>
      </c>
      <c r="D93" s="270">
        <f t="shared" si="2"/>
        <v>4446</v>
      </c>
      <c r="E93" s="261">
        <v>675</v>
      </c>
      <c r="F93" s="29">
        <v>67</v>
      </c>
      <c r="G93" s="39">
        <f t="shared" si="0"/>
        <v>45225</v>
      </c>
      <c r="H93" s="31">
        <v>42881</v>
      </c>
      <c r="I93" s="62" t="s">
        <v>1172</v>
      </c>
      <c r="L93" s="195"/>
      <c r="M93" s="195"/>
      <c r="N93" s="195"/>
    </row>
    <row r="94" spans="1:14" x14ac:dyDescent="0.25">
      <c r="A94" s="290" t="s">
        <v>1448</v>
      </c>
      <c r="B94" s="768" t="s">
        <v>1391</v>
      </c>
      <c r="C94" s="269">
        <v>42881</v>
      </c>
      <c r="D94" s="270">
        <f t="shared" si="2"/>
        <v>4447</v>
      </c>
      <c r="E94" s="261">
        <v>20.8</v>
      </c>
      <c r="F94" s="29">
        <v>60</v>
      </c>
      <c r="G94" s="39">
        <f t="shared" si="0"/>
        <v>1248</v>
      </c>
      <c r="H94" s="700">
        <v>42887</v>
      </c>
      <c r="I94" s="739" t="s">
        <v>1172</v>
      </c>
      <c r="L94" s="195"/>
      <c r="M94" s="195"/>
      <c r="N94" s="195"/>
    </row>
    <row r="95" spans="1:14" x14ac:dyDescent="0.25">
      <c r="A95" s="290" t="s">
        <v>924</v>
      </c>
      <c r="B95" s="768"/>
      <c r="C95" s="269"/>
      <c r="D95" s="270">
        <f t="shared" si="2"/>
        <v>4448</v>
      </c>
      <c r="G95" s="39">
        <f t="shared" si="0"/>
        <v>0</v>
      </c>
      <c r="H95" s="31"/>
      <c r="L95" s="195"/>
      <c r="M95" s="195"/>
      <c r="N95" s="195"/>
    </row>
    <row r="96" spans="1:14" x14ac:dyDescent="0.25">
      <c r="A96" s="290" t="s">
        <v>1171</v>
      </c>
      <c r="B96" s="768" t="s">
        <v>206</v>
      </c>
      <c r="C96" s="269">
        <v>42884</v>
      </c>
      <c r="D96" s="270">
        <f t="shared" si="2"/>
        <v>4449</v>
      </c>
      <c r="E96" s="261">
        <v>744.9</v>
      </c>
      <c r="F96" s="29">
        <v>68</v>
      </c>
      <c r="G96" s="39">
        <f t="shared" si="0"/>
        <v>50653.2</v>
      </c>
      <c r="H96" s="700">
        <v>42887</v>
      </c>
      <c r="I96" s="739" t="s">
        <v>1172</v>
      </c>
      <c r="L96" s="195"/>
      <c r="M96" s="195"/>
      <c r="N96" s="195"/>
    </row>
    <row r="97" spans="1:14" x14ac:dyDescent="0.25">
      <c r="A97" s="290" t="s">
        <v>1409</v>
      </c>
      <c r="B97" s="768" t="s">
        <v>1445</v>
      </c>
      <c r="C97" s="269">
        <v>42884</v>
      </c>
      <c r="D97" s="270">
        <f t="shared" si="2"/>
        <v>4450</v>
      </c>
      <c r="E97" s="261">
        <v>100.2</v>
      </c>
      <c r="F97" s="29">
        <v>72</v>
      </c>
      <c r="G97" s="39">
        <f t="shared" si="0"/>
        <v>7214.4000000000005</v>
      </c>
      <c r="H97" s="31">
        <v>42884</v>
      </c>
      <c r="I97" s="62" t="s">
        <v>1172</v>
      </c>
      <c r="L97" s="195"/>
      <c r="M97" s="195"/>
      <c r="N97" s="195"/>
    </row>
    <row r="98" spans="1:14" ht="30" x14ac:dyDescent="0.25">
      <c r="A98" s="290" t="s">
        <v>1453</v>
      </c>
      <c r="B98" s="768" t="s">
        <v>206</v>
      </c>
      <c r="C98" s="269">
        <v>42884</v>
      </c>
      <c r="D98" s="270">
        <f t="shared" si="2"/>
        <v>4451</v>
      </c>
      <c r="E98" s="261">
        <v>143256</v>
      </c>
      <c r="F98" s="29">
        <v>1</v>
      </c>
      <c r="G98" s="39">
        <f t="shared" si="0"/>
        <v>143256</v>
      </c>
      <c r="H98" s="788" t="s">
        <v>1455</v>
      </c>
      <c r="I98" s="739" t="s">
        <v>1172</v>
      </c>
      <c r="J98" s="786">
        <f>117000+26256</f>
        <v>143256</v>
      </c>
      <c r="L98" s="195"/>
      <c r="M98" s="195"/>
      <c r="N98" s="195"/>
    </row>
    <row r="99" spans="1:14" x14ac:dyDescent="0.25">
      <c r="A99" s="290" t="s">
        <v>1216</v>
      </c>
      <c r="B99" s="768" t="s">
        <v>1456</v>
      </c>
      <c r="C99" s="269">
        <v>42885</v>
      </c>
      <c r="D99" s="270">
        <f t="shared" si="2"/>
        <v>4452</v>
      </c>
      <c r="E99" s="261">
        <v>210</v>
      </c>
      <c r="F99" s="29">
        <v>48</v>
      </c>
      <c r="G99" s="39">
        <f>F99*E99+100*58+121.2*27</f>
        <v>19152.400000000001</v>
      </c>
      <c r="H99" s="700">
        <v>42894</v>
      </c>
      <c r="I99" s="739" t="s">
        <v>1172</v>
      </c>
      <c r="L99" s="195"/>
      <c r="M99" s="195"/>
      <c r="N99" s="195"/>
    </row>
    <row r="100" spans="1:14" x14ac:dyDescent="0.25">
      <c r="A100" s="290" t="s">
        <v>924</v>
      </c>
      <c r="B100" s="768"/>
      <c r="C100" s="269"/>
      <c r="D100" s="270">
        <f t="shared" si="2"/>
        <v>4453</v>
      </c>
      <c r="G100" s="39">
        <f t="shared" si="0"/>
        <v>0</v>
      </c>
      <c r="H100" s="31"/>
      <c r="L100" s="195"/>
      <c r="M100" s="195"/>
      <c r="N100" s="195"/>
    </row>
    <row r="101" spans="1:14" x14ac:dyDescent="0.25">
      <c r="A101" s="290" t="s">
        <v>1364</v>
      </c>
      <c r="B101" s="768" t="s">
        <v>1447</v>
      </c>
      <c r="C101" s="269">
        <v>42886</v>
      </c>
      <c r="D101" s="270">
        <f t="shared" si="2"/>
        <v>4454</v>
      </c>
      <c r="E101" s="261">
        <v>22428</v>
      </c>
      <c r="F101" s="29">
        <v>1</v>
      </c>
      <c r="G101" s="39">
        <f t="shared" si="0"/>
        <v>22428</v>
      </c>
      <c r="H101" s="31">
        <v>42886</v>
      </c>
      <c r="I101" s="62" t="s">
        <v>1172</v>
      </c>
      <c r="L101" s="195"/>
      <c r="M101" s="195"/>
      <c r="N101" s="195"/>
    </row>
    <row r="102" spans="1:14" x14ac:dyDescent="0.25">
      <c r="A102" s="290" t="s">
        <v>924</v>
      </c>
      <c r="B102" s="768"/>
      <c r="C102" s="269"/>
      <c r="D102" s="270">
        <f t="shared" si="2"/>
        <v>4455</v>
      </c>
      <c r="G102" s="39">
        <f t="shared" si="0"/>
        <v>0</v>
      </c>
      <c r="H102" s="31"/>
      <c r="J102" s="8"/>
      <c r="L102" s="195"/>
      <c r="M102" s="195"/>
      <c r="N102" s="195"/>
    </row>
    <row r="103" spans="1:14" x14ac:dyDescent="0.25">
      <c r="A103" s="290" t="s">
        <v>1171</v>
      </c>
      <c r="B103" s="768" t="s">
        <v>206</v>
      </c>
      <c r="C103" s="269">
        <v>42886</v>
      </c>
      <c r="D103" s="270">
        <f t="shared" si="2"/>
        <v>4456</v>
      </c>
      <c r="E103" s="261">
        <v>1588.2</v>
      </c>
      <c r="F103" s="29">
        <v>68</v>
      </c>
      <c r="G103" s="39">
        <f t="shared" si="0"/>
        <v>107997.6</v>
      </c>
      <c r="H103" s="700">
        <v>42889</v>
      </c>
      <c r="I103" s="739" t="s">
        <v>1172</v>
      </c>
      <c r="L103" s="195"/>
      <c r="M103" s="195"/>
      <c r="N103" s="195"/>
    </row>
    <row r="104" spans="1:14" x14ac:dyDescent="0.25">
      <c r="A104" s="293"/>
      <c r="B104" s="768"/>
      <c r="C104" s="294"/>
      <c r="D104" s="270"/>
      <c r="G104" s="39">
        <f t="shared" si="0"/>
        <v>0</v>
      </c>
      <c r="H104" s="31"/>
      <c r="J104" s="8"/>
      <c r="L104" s="195"/>
      <c r="M104" s="195"/>
      <c r="N104" s="195"/>
    </row>
    <row r="105" spans="1:14" x14ac:dyDescent="0.25">
      <c r="A105" s="293"/>
      <c r="B105" s="768"/>
      <c r="C105" s="294"/>
      <c r="D105" s="270"/>
      <c r="G105" s="39">
        <f t="shared" si="0"/>
        <v>0</v>
      </c>
      <c r="H105" s="31"/>
      <c r="J105" s="8"/>
      <c r="L105" s="195"/>
      <c r="M105" s="195"/>
      <c r="N105" s="195"/>
    </row>
    <row r="106" spans="1:14" x14ac:dyDescent="0.25">
      <c r="A106" s="293"/>
      <c r="B106" s="768"/>
      <c r="C106" s="294"/>
      <c r="D106" s="270"/>
      <c r="G106" s="39">
        <f t="shared" si="0"/>
        <v>0</v>
      </c>
      <c r="H106" s="31"/>
      <c r="J106" s="8"/>
      <c r="L106" s="195"/>
      <c r="M106" s="195"/>
      <c r="N106" s="195"/>
    </row>
    <row r="107" spans="1:14" x14ac:dyDescent="0.25">
      <c r="A107" s="290"/>
      <c r="B107" s="769"/>
      <c r="C107" s="269"/>
      <c r="D107" s="270"/>
      <c r="G107" s="39">
        <f t="shared" si="0"/>
        <v>0</v>
      </c>
      <c r="H107" s="31"/>
      <c r="L107" s="195"/>
      <c r="M107" s="195"/>
      <c r="N107" s="195"/>
    </row>
    <row r="108" spans="1:14" x14ac:dyDescent="0.25">
      <c r="A108" s="290"/>
      <c r="B108" s="769"/>
      <c r="C108" s="269"/>
      <c r="D108" s="270"/>
      <c r="G108" s="39">
        <f t="shared" si="0"/>
        <v>0</v>
      </c>
      <c r="H108" s="31"/>
      <c r="L108" s="195"/>
      <c r="M108" s="195"/>
      <c r="N108" s="195"/>
    </row>
    <row r="109" spans="1:14" x14ac:dyDescent="0.25">
      <c r="A109" s="290"/>
      <c r="B109" s="769"/>
      <c r="C109" s="269"/>
      <c r="D109" s="270"/>
      <c r="G109" s="39">
        <f t="shared" si="0"/>
        <v>0</v>
      </c>
      <c r="H109" s="31"/>
      <c r="L109" s="195"/>
      <c r="M109" s="195"/>
      <c r="N109" s="195"/>
    </row>
    <row r="110" spans="1:14" x14ac:dyDescent="0.25">
      <c r="A110" s="290"/>
      <c r="B110" s="768"/>
      <c r="C110" s="269"/>
      <c r="D110" s="270"/>
      <c r="G110" s="39">
        <f t="shared" si="0"/>
        <v>0</v>
      </c>
      <c r="H110" s="31"/>
      <c r="J110" s="8"/>
      <c r="L110" s="195"/>
      <c r="M110" s="195"/>
      <c r="N110" s="195"/>
    </row>
    <row r="111" spans="1:14" x14ac:dyDescent="0.25">
      <c r="A111" s="290"/>
      <c r="B111" s="768"/>
      <c r="C111" s="269"/>
      <c r="D111" s="270"/>
      <c r="G111" s="39">
        <f t="shared" si="0"/>
        <v>0</v>
      </c>
      <c r="H111" s="31"/>
      <c r="J111" s="8"/>
      <c r="L111" s="195"/>
      <c r="M111" s="195"/>
      <c r="N111" s="195"/>
    </row>
    <row r="112" spans="1:14" x14ac:dyDescent="0.25">
      <c r="A112" s="290"/>
      <c r="B112" s="768"/>
      <c r="C112" s="269"/>
      <c r="D112" s="270"/>
      <c r="G112" s="39">
        <f t="shared" si="0"/>
        <v>0</v>
      </c>
      <c r="H112" s="31"/>
      <c r="J112" s="8"/>
      <c r="L112" s="195"/>
      <c r="M112" s="195"/>
      <c r="N112" s="195"/>
    </row>
    <row r="113" spans="1:14" x14ac:dyDescent="0.25">
      <c r="A113" s="290"/>
      <c r="B113" s="768"/>
      <c r="C113" s="269"/>
      <c r="D113" s="270"/>
      <c r="G113" s="39">
        <f t="shared" si="0"/>
        <v>0</v>
      </c>
      <c r="H113" s="31"/>
      <c r="J113" s="8"/>
      <c r="L113" s="195"/>
      <c r="M113" s="195"/>
      <c r="N113" s="195"/>
    </row>
    <row r="114" spans="1:14" x14ac:dyDescent="0.25">
      <c r="A114" s="290"/>
      <c r="B114" s="768"/>
      <c r="C114" s="269"/>
      <c r="D114" s="270"/>
      <c r="G114" s="39">
        <f t="shared" si="0"/>
        <v>0</v>
      </c>
      <c r="H114" s="31"/>
      <c r="L114" s="195"/>
      <c r="M114" s="195"/>
      <c r="N114" s="195"/>
    </row>
    <row r="115" spans="1:14" x14ac:dyDescent="0.25">
      <c r="A115" s="290"/>
      <c r="B115" s="768"/>
      <c r="C115" s="269"/>
      <c r="D115" s="270"/>
      <c r="G115" s="39">
        <f t="shared" si="0"/>
        <v>0</v>
      </c>
      <c r="H115" s="31"/>
      <c r="J115" s="8"/>
      <c r="L115" s="195"/>
      <c r="M115" s="195"/>
      <c r="N115" s="195"/>
    </row>
    <row r="116" spans="1:14" ht="17.25" customHeight="1" x14ac:dyDescent="0.25">
      <c r="A116" s="290"/>
      <c r="B116" s="770"/>
      <c r="C116" s="269"/>
      <c r="D116" s="270"/>
      <c r="E116" s="296"/>
      <c r="F116" s="297"/>
      <c r="G116" s="39">
        <f t="shared" si="0"/>
        <v>0</v>
      </c>
      <c r="H116" s="298"/>
      <c r="I116" s="298"/>
      <c r="J116" s="300"/>
      <c r="K116" s="208"/>
      <c r="L116" s="301"/>
      <c r="M116" s="301"/>
      <c r="N116" s="301"/>
    </row>
    <row r="117" spans="1:14" x14ac:dyDescent="0.25">
      <c r="A117" s="290"/>
      <c r="B117" s="768"/>
      <c r="C117" s="269"/>
      <c r="D117" s="270"/>
      <c r="G117" s="39">
        <f t="shared" si="0"/>
        <v>0</v>
      </c>
      <c r="H117" s="31"/>
      <c r="K117" s="302"/>
      <c r="L117" s="302"/>
      <c r="M117" s="302"/>
      <c r="N117" s="302"/>
    </row>
    <row r="118" spans="1:14" x14ac:dyDescent="0.25">
      <c r="A118" s="290"/>
      <c r="B118" s="768"/>
      <c r="C118" s="269"/>
      <c r="D118" s="270"/>
      <c r="G118" s="39">
        <f t="shared" si="0"/>
        <v>0</v>
      </c>
      <c r="H118" s="31"/>
      <c r="K118" s="302"/>
      <c r="L118" s="302"/>
      <c r="M118" s="302"/>
      <c r="N118" s="302"/>
    </row>
    <row r="119" spans="1:14" x14ac:dyDescent="0.25">
      <c r="A119" s="290"/>
      <c r="B119" s="771"/>
      <c r="C119" s="269"/>
      <c r="D119" s="270"/>
      <c r="G119" s="39">
        <f t="shared" si="0"/>
        <v>0</v>
      </c>
      <c r="H119" s="31"/>
      <c r="L119" s="195"/>
      <c r="M119" s="195"/>
      <c r="N119" s="195"/>
    </row>
    <row r="120" spans="1:14" x14ac:dyDescent="0.25">
      <c r="A120" s="290"/>
      <c r="B120" s="771"/>
      <c r="C120" s="269"/>
      <c r="D120" s="270"/>
      <c r="G120" s="39">
        <f t="shared" si="0"/>
        <v>0</v>
      </c>
      <c r="H120" s="31"/>
      <c r="L120" s="195"/>
      <c r="M120" s="195"/>
      <c r="N120" s="195"/>
    </row>
    <row r="121" spans="1:14" x14ac:dyDescent="0.25">
      <c r="A121" s="290"/>
      <c r="B121" s="768"/>
      <c r="C121" s="269"/>
      <c r="D121" s="270"/>
      <c r="G121" s="39">
        <f t="shared" si="0"/>
        <v>0</v>
      </c>
      <c r="H121" s="31"/>
      <c r="L121" s="195"/>
      <c r="M121" s="195"/>
      <c r="N121" s="195"/>
    </row>
    <row r="122" spans="1:14" x14ac:dyDescent="0.25">
      <c r="A122" s="290"/>
      <c r="B122" s="768"/>
      <c r="C122" s="269"/>
      <c r="D122" s="270"/>
      <c r="G122" s="39">
        <f t="shared" si="0"/>
        <v>0</v>
      </c>
      <c r="H122" s="31"/>
      <c r="L122" s="195"/>
      <c r="M122" s="195"/>
      <c r="N122" s="195"/>
    </row>
    <row r="123" spans="1:14" x14ac:dyDescent="0.25">
      <c r="A123" s="291"/>
      <c r="B123" s="768"/>
      <c r="C123" s="292"/>
      <c r="D123" s="270"/>
      <c r="G123" s="39">
        <f t="shared" si="0"/>
        <v>0</v>
      </c>
      <c r="H123" s="31"/>
      <c r="J123" s="8"/>
      <c r="L123" s="195"/>
      <c r="M123" s="195"/>
      <c r="N123" s="195"/>
    </row>
    <row r="124" spans="1:14" x14ac:dyDescent="0.25">
      <c r="A124" s="290"/>
      <c r="B124" s="768"/>
      <c r="C124" s="269"/>
      <c r="D124" s="270"/>
      <c r="G124" s="39">
        <f t="shared" si="0"/>
        <v>0</v>
      </c>
      <c r="H124" s="31"/>
      <c r="J124" s="8"/>
      <c r="L124" s="195"/>
      <c r="M124" s="195"/>
      <c r="N124" s="195"/>
    </row>
    <row r="125" spans="1:14" x14ac:dyDescent="0.25">
      <c r="A125" s="290"/>
      <c r="B125" s="768"/>
      <c r="C125" s="269"/>
      <c r="D125" s="270"/>
      <c r="G125" s="39">
        <f t="shared" si="0"/>
        <v>0</v>
      </c>
      <c r="H125" s="31"/>
      <c r="J125" s="8"/>
      <c r="L125" s="195"/>
      <c r="M125" s="195"/>
      <c r="N125" s="195"/>
    </row>
    <row r="126" spans="1:14" x14ac:dyDescent="0.25">
      <c r="A126" s="290"/>
      <c r="B126" s="768"/>
      <c r="C126" s="269"/>
      <c r="D126" s="270"/>
      <c r="G126" s="39">
        <f t="shared" si="0"/>
        <v>0</v>
      </c>
      <c r="H126" s="31"/>
      <c r="J126" s="8"/>
      <c r="L126" s="195"/>
      <c r="M126" s="195"/>
      <c r="N126" s="195"/>
    </row>
    <row r="127" spans="1:14" x14ac:dyDescent="0.25">
      <c r="A127" s="291"/>
      <c r="B127" s="768"/>
      <c r="C127" s="292"/>
      <c r="D127" s="270"/>
      <c r="G127" s="39">
        <f t="shared" si="0"/>
        <v>0</v>
      </c>
      <c r="H127" s="31"/>
      <c r="J127" s="8"/>
      <c r="L127" s="195"/>
      <c r="M127" s="195"/>
      <c r="N127" s="195"/>
    </row>
    <row r="128" spans="1:14" x14ac:dyDescent="0.25">
      <c r="A128" s="288"/>
      <c r="B128" s="768"/>
      <c r="C128" s="289"/>
      <c r="D128" s="270"/>
      <c r="G128" s="39">
        <f t="shared" si="0"/>
        <v>0</v>
      </c>
      <c r="H128" s="31"/>
      <c r="J128" s="8"/>
      <c r="L128" s="195"/>
      <c r="M128" s="195"/>
      <c r="N128" s="195"/>
    </row>
    <row r="129" spans="1:14" x14ac:dyDescent="0.25">
      <c r="A129" s="290"/>
      <c r="B129" s="769"/>
      <c r="C129" s="269"/>
      <c r="D129" s="270"/>
      <c r="G129" s="39">
        <f t="shared" si="0"/>
        <v>0</v>
      </c>
      <c r="H129" s="31"/>
      <c r="J129" s="8"/>
      <c r="L129" s="195"/>
      <c r="M129" s="195"/>
      <c r="N129" s="195"/>
    </row>
    <row r="130" spans="1:14" x14ac:dyDescent="0.25">
      <c r="A130" s="288"/>
      <c r="B130" s="769"/>
      <c r="C130" s="289"/>
      <c r="D130" s="270"/>
      <c r="G130" s="39">
        <f t="shared" si="0"/>
        <v>0</v>
      </c>
      <c r="H130" s="31"/>
      <c r="J130" s="8"/>
      <c r="L130" s="195"/>
      <c r="M130" s="195"/>
      <c r="N130" s="195"/>
    </row>
    <row r="131" spans="1:14" x14ac:dyDescent="0.25">
      <c r="A131" s="290"/>
      <c r="B131" s="768"/>
      <c r="C131" s="269"/>
      <c r="D131" s="270"/>
      <c r="G131" s="39">
        <f t="shared" si="0"/>
        <v>0</v>
      </c>
      <c r="H131" s="31"/>
      <c r="L131" s="195"/>
      <c r="M131" s="195"/>
      <c r="N131" s="195"/>
    </row>
    <row r="132" spans="1:14" x14ac:dyDescent="0.25">
      <c r="A132" s="290"/>
      <c r="B132" s="768"/>
      <c r="C132" s="269"/>
      <c r="D132" s="270"/>
      <c r="G132" s="39">
        <f t="shared" si="0"/>
        <v>0</v>
      </c>
      <c r="H132" s="31"/>
      <c r="L132" s="195"/>
      <c r="M132" s="195"/>
      <c r="N132" s="195"/>
    </row>
    <row r="133" spans="1:14" x14ac:dyDescent="0.25">
      <c r="A133" s="290"/>
      <c r="B133" s="768"/>
      <c r="C133" s="269"/>
      <c r="D133" s="270"/>
      <c r="G133" s="39">
        <f t="shared" si="0"/>
        <v>0</v>
      </c>
      <c r="H133" s="31"/>
      <c r="L133" s="195"/>
      <c r="M133" s="195"/>
      <c r="N133" s="195"/>
    </row>
    <row r="134" spans="1:14" x14ac:dyDescent="0.25">
      <c r="A134" s="290"/>
      <c r="B134" s="768"/>
      <c r="C134" s="269"/>
      <c r="D134" s="270"/>
      <c r="G134" s="39">
        <f t="shared" si="0"/>
        <v>0</v>
      </c>
      <c r="H134" s="31"/>
      <c r="L134" s="195"/>
      <c r="M134" s="195"/>
      <c r="N134" s="195"/>
    </row>
    <row r="135" spans="1:14" x14ac:dyDescent="0.25">
      <c r="A135" s="290"/>
      <c r="B135" s="768"/>
      <c r="C135" s="269"/>
      <c r="D135" s="270"/>
      <c r="G135" s="39">
        <f t="shared" si="0"/>
        <v>0</v>
      </c>
      <c r="H135" s="31"/>
      <c r="L135" s="195"/>
      <c r="M135" s="195"/>
      <c r="N135" s="195"/>
    </row>
    <row r="136" spans="1:14" x14ac:dyDescent="0.25">
      <c r="A136" s="290"/>
      <c r="B136" s="768"/>
      <c r="C136" s="269"/>
      <c r="D136" s="270"/>
      <c r="G136" s="39">
        <f t="shared" si="0"/>
        <v>0</v>
      </c>
      <c r="H136" s="31"/>
      <c r="L136" s="195"/>
      <c r="M136" s="195"/>
      <c r="N136" s="195"/>
    </row>
    <row r="137" spans="1:14" x14ac:dyDescent="0.25">
      <c r="A137" s="290"/>
      <c r="B137" s="768"/>
      <c r="C137" s="269"/>
      <c r="D137" s="270"/>
      <c r="G137" s="39">
        <f t="shared" si="0"/>
        <v>0</v>
      </c>
      <c r="H137" s="31"/>
      <c r="L137" s="195"/>
      <c r="M137" s="195"/>
      <c r="N137" s="195"/>
    </row>
    <row r="138" spans="1:14" x14ac:dyDescent="0.25">
      <c r="A138" s="290"/>
      <c r="B138" s="768"/>
      <c r="C138" s="269"/>
      <c r="D138" s="270"/>
      <c r="G138" s="39">
        <f t="shared" si="0"/>
        <v>0</v>
      </c>
      <c r="H138" s="31"/>
      <c r="L138" s="195"/>
      <c r="M138" s="195"/>
      <c r="N138" s="195"/>
    </row>
    <row r="139" spans="1:14" x14ac:dyDescent="0.25">
      <c r="A139" s="304"/>
      <c r="B139" s="768"/>
      <c r="C139" s="305"/>
      <c r="D139" s="270"/>
      <c r="G139" s="39">
        <f t="shared" ref="G139:G241" si="3">F139*E139</f>
        <v>0</v>
      </c>
      <c r="H139" s="31"/>
      <c r="L139" s="195"/>
      <c r="M139" s="195"/>
      <c r="N139" s="195"/>
    </row>
    <row r="140" spans="1:14" x14ac:dyDescent="0.25">
      <c r="A140" s="290"/>
      <c r="B140" s="768"/>
      <c r="C140" s="269"/>
      <c r="D140" s="270"/>
      <c r="G140" s="39">
        <f t="shared" si="3"/>
        <v>0</v>
      </c>
      <c r="H140" s="31"/>
      <c r="L140" s="195"/>
      <c r="M140" s="195"/>
      <c r="N140" s="195"/>
    </row>
    <row r="141" spans="1:14" x14ac:dyDescent="0.25">
      <c r="A141" s="290"/>
      <c r="B141" s="768"/>
      <c r="C141" s="269"/>
      <c r="D141" s="270"/>
      <c r="G141" s="39">
        <f t="shared" si="3"/>
        <v>0</v>
      </c>
      <c r="H141" s="31"/>
      <c r="L141" s="195"/>
      <c r="M141" s="195"/>
      <c r="N141" s="195"/>
    </row>
    <row r="142" spans="1:14" x14ac:dyDescent="0.25">
      <c r="A142" s="290"/>
      <c r="B142" s="768"/>
      <c r="C142" s="269"/>
      <c r="D142" s="270"/>
      <c r="G142" s="39">
        <f t="shared" si="3"/>
        <v>0</v>
      </c>
      <c r="H142" s="31"/>
      <c r="L142" s="195"/>
      <c r="M142" s="195"/>
      <c r="N142" s="195"/>
    </row>
    <row r="143" spans="1:14" x14ac:dyDescent="0.25">
      <c r="A143" s="290"/>
      <c r="B143" s="768"/>
      <c r="C143" s="269"/>
      <c r="D143" s="270"/>
      <c r="G143" s="39">
        <f t="shared" si="3"/>
        <v>0</v>
      </c>
      <c r="H143" s="31"/>
      <c r="L143" s="195"/>
      <c r="M143" s="195"/>
      <c r="N143" s="195"/>
    </row>
    <row r="144" spans="1:14" x14ac:dyDescent="0.25">
      <c r="A144" s="290"/>
      <c r="B144" s="768"/>
      <c r="C144" s="269"/>
      <c r="D144" s="270"/>
      <c r="G144" s="39">
        <f t="shared" si="3"/>
        <v>0</v>
      </c>
      <c r="H144" s="31"/>
      <c r="L144" s="195"/>
      <c r="M144" s="195"/>
      <c r="N144" s="195"/>
    </row>
    <row r="145" spans="1:14" x14ac:dyDescent="0.25">
      <c r="A145" s="290"/>
      <c r="B145" s="768"/>
      <c r="C145" s="269"/>
      <c r="D145" s="270"/>
      <c r="G145" s="39">
        <f t="shared" si="3"/>
        <v>0</v>
      </c>
      <c r="H145" s="31"/>
      <c r="L145" s="195"/>
      <c r="M145" s="195"/>
      <c r="N145" s="195"/>
    </row>
    <row r="146" spans="1:14" x14ac:dyDescent="0.25">
      <c r="A146" s="290"/>
      <c r="B146" s="768"/>
      <c r="C146" s="269"/>
      <c r="D146" s="270"/>
      <c r="G146" s="39">
        <f t="shared" si="3"/>
        <v>0</v>
      </c>
      <c r="H146" s="31"/>
      <c r="L146" s="195"/>
      <c r="M146" s="195"/>
      <c r="N146" s="195"/>
    </row>
    <row r="147" spans="1:14" x14ac:dyDescent="0.25">
      <c r="A147" s="304"/>
      <c r="B147" s="768"/>
      <c r="C147" s="305"/>
      <c r="D147" s="270"/>
      <c r="G147" s="39">
        <f t="shared" si="3"/>
        <v>0</v>
      </c>
      <c r="H147" s="31"/>
      <c r="L147" s="195"/>
      <c r="M147" s="195"/>
      <c r="N147" s="195"/>
    </row>
    <row r="148" spans="1:14" x14ac:dyDescent="0.25">
      <c r="A148" s="304"/>
      <c r="B148" s="768"/>
      <c r="C148" s="305"/>
      <c r="D148" s="270"/>
      <c r="G148" s="39">
        <f t="shared" si="3"/>
        <v>0</v>
      </c>
      <c r="H148" s="31"/>
      <c r="L148" s="195"/>
      <c r="M148" s="195"/>
      <c r="N148" s="195"/>
    </row>
    <row r="149" spans="1:14" x14ac:dyDescent="0.25">
      <c r="A149" s="290"/>
      <c r="B149" s="768"/>
      <c r="C149" s="269"/>
      <c r="D149" s="270"/>
      <c r="G149" s="39">
        <f t="shared" si="3"/>
        <v>0</v>
      </c>
      <c r="H149" s="31"/>
      <c r="L149" s="195"/>
      <c r="M149" s="195"/>
      <c r="N149" s="195"/>
    </row>
    <row r="150" spans="1:14" x14ac:dyDescent="0.25">
      <c r="A150" s="290"/>
      <c r="B150" s="768"/>
      <c r="C150" s="269"/>
      <c r="D150" s="270"/>
      <c r="G150" s="39">
        <f t="shared" si="3"/>
        <v>0</v>
      </c>
      <c r="H150" s="31"/>
      <c r="L150" s="195"/>
      <c r="M150" s="195"/>
      <c r="N150" s="195"/>
    </row>
    <row r="151" spans="1:14" x14ac:dyDescent="0.25">
      <c r="A151" s="290"/>
      <c r="B151" s="768"/>
      <c r="C151" s="269"/>
      <c r="D151" s="270"/>
      <c r="G151" s="39">
        <f t="shared" si="3"/>
        <v>0</v>
      </c>
      <c r="H151" s="31"/>
      <c r="L151" s="195"/>
      <c r="M151" s="195"/>
      <c r="N151" s="195"/>
    </row>
    <row r="152" spans="1:14" x14ac:dyDescent="0.25">
      <c r="A152" s="290"/>
      <c r="B152" s="768"/>
      <c r="C152" s="269"/>
      <c r="D152" s="270"/>
      <c r="G152" s="39">
        <f t="shared" si="3"/>
        <v>0</v>
      </c>
      <c r="H152" s="31"/>
      <c r="L152" s="195"/>
      <c r="M152" s="195"/>
      <c r="N152" s="195"/>
    </row>
    <row r="153" spans="1:14" x14ac:dyDescent="0.25">
      <c r="A153" s="291"/>
      <c r="B153" s="769"/>
      <c r="C153" s="292"/>
      <c r="D153" s="270"/>
      <c r="G153" s="39">
        <f t="shared" si="3"/>
        <v>0</v>
      </c>
      <c r="H153" s="31"/>
      <c r="L153" s="195"/>
      <c r="M153" s="195"/>
      <c r="N153" s="195"/>
    </row>
    <row r="154" spans="1:14" x14ac:dyDescent="0.25">
      <c r="A154" s="291"/>
      <c r="B154" s="769"/>
      <c r="C154" s="292"/>
      <c r="D154" s="270"/>
      <c r="G154" s="39">
        <f t="shared" si="3"/>
        <v>0</v>
      </c>
      <c r="H154" s="31"/>
      <c r="L154" s="195"/>
      <c r="M154" s="195"/>
      <c r="N154" s="195"/>
    </row>
    <row r="155" spans="1:14" x14ac:dyDescent="0.25">
      <c r="A155" s="306"/>
      <c r="B155" s="769"/>
      <c r="C155" s="307"/>
      <c r="D155" s="270"/>
      <c r="G155" s="39">
        <f t="shared" si="3"/>
        <v>0</v>
      </c>
      <c r="H155" s="31"/>
      <c r="L155" s="195"/>
      <c r="M155" s="195"/>
      <c r="N155" s="195"/>
    </row>
    <row r="156" spans="1:14" x14ac:dyDescent="0.25">
      <c r="A156" s="291"/>
      <c r="B156" s="769"/>
      <c r="C156" s="292"/>
      <c r="D156" s="270"/>
      <c r="G156" s="39">
        <f t="shared" si="3"/>
        <v>0</v>
      </c>
      <c r="H156" s="31"/>
      <c r="L156" s="195"/>
      <c r="M156" s="195"/>
      <c r="N156" s="195"/>
    </row>
    <row r="157" spans="1:14" x14ac:dyDescent="0.25">
      <c r="A157" s="291"/>
      <c r="B157" s="769"/>
      <c r="C157" s="292"/>
      <c r="D157" s="270"/>
      <c r="G157" s="39">
        <f t="shared" si="3"/>
        <v>0</v>
      </c>
      <c r="H157" s="31"/>
      <c r="L157" s="195"/>
      <c r="M157" s="195"/>
      <c r="N157" s="195"/>
    </row>
    <row r="158" spans="1:14" x14ac:dyDescent="0.25">
      <c r="A158" s="291"/>
      <c r="B158" s="769"/>
      <c r="C158" s="292"/>
      <c r="D158" s="270"/>
      <c r="G158" s="39">
        <f t="shared" si="3"/>
        <v>0</v>
      </c>
      <c r="H158" s="31"/>
      <c r="L158" s="195"/>
      <c r="M158" s="195"/>
      <c r="N158" s="195"/>
    </row>
    <row r="159" spans="1:14" x14ac:dyDescent="0.25">
      <c r="A159" s="290"/>
      <c r="B159" s="768"/>
      <c r="C159" s="269"/>
      <c r="D159" s="270"/>
      <c r="G159" s="39">
        <f t="shared" si="3"/>
        <v>0</v>
      </c>
      <c r="H159" s="31"/>
      <c r="L159" s="195"/>
      <c r="M159" s="195"/>
      <c r="N159" s="195"/>
    </row>
    <row r="160" spans="1:14" x14ac:dyDescent="0.25">
      <c r="A160" s="290"/>
      <c r="B160" s="768"/>
      <c r="C160" s="269"/>
      <c r="D160" s="270"/>
      <c r="G160" s="39">
        <f t="shared" si="3"/>
        <v>0</v>
      </c>
      <c r="H160" s="31"/>
      <c r="L160" s="195"/>
      <c r="M160" s="195"/>
      <c r="N160" s="195"/>
    </row>
    <row r="161" spans="1:14" x14ac:dyDescent="0.25">
      <c r="A161" s="290"/>
      <c r="B161" s="768"/>
      <c r="C161" s="269"/>
      <c r="D161" s="270"/>
      <c r="G161" s="39">
        <f t="shared" si="3"/>
        <v>0</v>
      </c>
      <c r="H161" s="31"/>
      <c r="L161" s="195"/>
      <c r="M161" s="195"/>
      <c r="N161" s="195"/>
    </row>
    <row r="162" spans="1:14" x14ac:dyDescent="0.25">
      <c r="A162" s="290"/>
      <c r="B162" s="768"/>
      <c r="C162" s="269"/>
      <c r="D162" s="270"/>
      <c r="G162" s="39">
        <f t="shared" si="3"/>
        <v>0</v>
      </c>
      <c r="H162" s="31"/>
      <c r="L162" s="195"/>
      <c r="M162" s="195"/>
      <c r="N162" s="195"/>
    </row>
    <row r="163" spans="1:14" x14ac:dyDescent="0.25">
      <c r="A163" s="290"/>
      <c r="B163" s="768"/>
      <c r="C163" s="269"/>
      <c r="D163" s="270"/>
      <c r="G163" s="39">
        <f t="shared" si="3"/>
        <v>0</v>
      </c>
      <c r="H163" s="31"/>
      <c r="L163" s="195"/>
      <c r="M163" s="195"/>
      <c r="N163" s="195"/>
    </row>
    <row r="164" spans="1:14" x14ac:dyDescent="0.25">
      <c r="A164" s="290"/>
      <c r="B164" s="768"/>
      <c r="C164" s="269"/>
      <c r="D164" s="270"/>
      <c r="G164" s="39">
        <f t="shared" si="3"/>
        <v>0</v>
      </c>
      <c r="H164" s="31"/>
      <c r="L164" s="195"/>
      <c r="M164" s="195"/>
      <c r="N164" s="195"/>
    </row>
    <row r="165" spans="1:14" x14ac:dyDescent="0.25">
      <c r="A165" s="288"/>
      <c r="B165" s="768"/>
      <c r="C165" s="289"/>
      <c r="D165" s="270"/>
      <c r="G165" s="39">
        <f t="shared" si="3"/>
        <v>0</v>
      </c>
      <c r="H165" s="31"/>
      <c r="L165" s="195"/>
      <c r="M165" s="195"/>
      <c r="N165" s="195"/>
    </row>
    <row r="166" spans="1:14" x14ac:dyDescent="0.25">
      <c r="A166" s="290"/>
      <c r="B166" s="768"/>
      <c r="C166" s="269"/>
      <c r="D166" s="270"/>
      <c r="G166" s="39">
        <f t="shared" si="3"/>
        <v>0</v>
      </c>
      <c r="H166" s="31"/>
      <c r="L166" s="195"/>
      <c r="M166" s="195"/>
      <c r="N166" s="195"/>
    </row>
    <row r="167" spans="1:14" x14ac:dyDescent="0.25">
      <c r="A167" s="290"/>
      <c r="B167" s="768"/>
      <c r="C167" s="269"/>
      <c r="D167" s="270"/>
      <c r="G167" s="39">
        <f t="shared" si="3"/>
        <v>0</v>
      </c>
      <c r="H167" s="31"/>
      <c r="L167" s="195"/>
      <c r="M167" s="195"/>
      <c r="N167" s="195"/>
    </row>
    <row r="168" spans="1:14" x14ac:dyDescent="0.25">
      <c r="A168" s="290"/>
      <c r="B168" s="768"/>
      <c r="C168" s="269"/>
      <c r="D168" s="270"/>
      <c r="G168" s="39">
        <f t="shared" si="3"/>
        <v>0</v>
      </c>
      <c r="H168" s="31"/>
      <c r="L168" s="195"/>
      <c r="M168" s="195"/>
      <c r="N168" s="195"/>
    </row>
    <row r="169" spans="1:14" x14ac:dyDescent="0.25">
      <c r="A169" s="290"/>
      <c r="B169" s="768"/>
      <c r="C169" s="269"/>
      <c r="D169" s="270"/>
      <c r="G169" s="39">
        <f t="shared" si="3"/>
        <v>0</v>
      </c>
      <c r="H169" s="31"/>
      <c r="L169" s="195"/>
      <c r="M169" s="195"/>
      <c r="N169" s="195"/>
    </row>
    <row r="170" spans="1:14" x14ac:dyDescent="0.25">
      <c r="A170" s="288"/>
      <c r="B170" s="768"/>
      <c r="C170" s="289"/>
      <c r="D170" s="270"/>
      <c r="G170" s="39">
        <f t="shared" si="3"/>
        <v>0</v>
      </c>
      <c r="H170" s="31"/>
      <c r="L170" s="195"/>
      <c r="M170" s="195"/>
      <c r="N170" s="195"/>
    </row>
    <row r="171" spans="1:14" x14ac:dyDescent="0.25">
      <c r="A171" s="290"/>
      <c r="B171" s="768"/>
      <c r="C171" s="269"/>
      <c r="D171" s="270"/>
      <c r="G171" s="39">
        <f t="shared" si="3"/>
        <v>0</v>
      </c>
      <c r="H171" s="31"/>
      <c r="L171" s="195"/>
      <c r="M171" s="195"/>
      <c r="N171" s="195"/>
    </row>
    <row r="172" spans="1:14" x14ac:dyDescent="0.25">
      <c r="A172" s="288"/>
      <c r="B172" s="768"/>
      <c r="C172" s="289"/>
      <c r="D172" s="270"/>
      <c r="G172" s="39">
        <f t="shared" si="3"/>
        <v>0</v>
      </c>
      <c r="H172" s="31"/>
      <c r="L172" s="195"/>
      <c r="M172" s="195"/>
      <c r="N172" s="195"/>
    </row>
    <row r="173" spans="1:14" x14ac:dyDescent="0.25">
      <c r="A173" s="290"/>
      <c r="B173" s="768"/>
      <c r="C173" s="269"/>
      <c r="D173" s="270"/>
      <c r="G173" s="39">
        <f t="shared" si="3"/>
        <v>0</v>
      </c>
      <c r="H173" s="31"/>
      <c r="L173" s="195"/>
      <c r="M173" s="195"/>
      <c r="N173" s="195"/>
    </row>
    <row r="174" spans="1:14" x14ac:dyDescent="0.25">
      <c r="A174" s="290"/>
      <c r="B174" s="768"/>
      <c r="C174" s="269"/>
      <c r="D174" s="270"/>
      <c r="G174" s="39">
        <f t="shared" si="3"/>
        <v>0</v>
      </c>
      <c r="H174" s="31"/>
      <c r="L174" s="195"/>
      <c r="M174" s="195"/>
      <c r="N174" s="195"/>
    </row>
    <row r="175" spans="1:14" x14ac:dyDescent="0.25">
      <c r="A175" s="290"/>
      <c r="B175" s="768"/>
      <c r="C175" s="269"/>
      <c r="D175" s="270"/>
      <c r="G175" s="39">
        <f t="shared" si="3"/>
        <v>0</v>
      </c>
      <c r="H175" s="31"/>
      <c r="L175" s="195"/>
      <c r="M175" s="195"/>
      <c r="N175" s="195"/>
    </row>
    <row r="176" spans="1:14" x14ac:dyDescent="0.25">
      <c r="A176" s="288"/>
      <c r="B176" s="768"/>
      <c r="C176" s="289"/>
      <c r="D176" s="270"/>
      <c r="G176" s="39">
        <f t="shared" si="3"/>
        <v>0</v>
      </c>
      <c r="H176" s="31"/>
      <c r="L176" s="195"/>
      <c r="M176" s="195"/>
      <c r="N176" s="195"/>
    </row>
    <row r="177" spans="1:14" x14ac:dyDescent="0.25">
      <c r="A177" s="290"/>
      <c r="B177" s="768"/>
      <c r="C177" s="269"/>
      <c r="D177" s="270"/>
      <c r="G177" s="39">
        <f t="shared" si="3"/>
        <v>0</v>
      </c>
      <c r="H177" s="31"/>
      <c r="L177" s="195"/>
      <c r="M177" s="195"/>
      <c r="N177" s="195"/>
    </row>
    <row r="178" spans="1:14" x14ac:dyDescent="0.25">
      <c r="A178" s="290"/>
      <c r="B178" s="768"/>
      <c r="C178" s="269"/>
      <c r="D178" s="270"/>
      <c r="G178" s="39">
        <f t="shared" si="3"/>
        <v>0</v>
      </c>
      <c r="H178" s="31"/>
      <c r="L178" s="195"/>
      <c r="M178" s="195"/>
      <c r="N178" s="195"/>
    </row>
    <row r="179" spans="1:14" x14ac:dyDescent="0.25">
      <c r="A179" s="290"/>
      <c r="B179" s="768"/>
      <c r="C179" s="269"/>
      <c r="D179" s="270"/>
      <c r="G179" s="39">
        <f t="shared" si="3"/>
        <v>0</v>
      </c>
      <c r="H179" s="31"/>
      <c r="L179" s="195"/>
      <c r="M179" s="195"/>
      <c r="N179" s="195"/>
    </row>
    <row r="180" spans="1:14" x14ac:dyDescent="0.25">
      <c r="A180" s="288"/>
      <c r="B180" s="768"/>
      <c r="C180" s="289"/>
      <c r="D180" s="270"/>
      <c r="G180" s="39">
        <f t="shared" si="3"/>
        <v>0</v>
      </c>
      <c r="H180" s="31"/>
      <c r="L180" s="195"/>
      <c r="M180" s="195"/>
      <c r="N180" s="195"/>
    </row>
    <row r="181" spans="1:14" x14ac:dyDescent="0.25">
      <c r="A181" s="290"/>
      <c r="B181" s="768"/>
      <c r="C181" s="269"/>
      <c r="D181" s="270"/>
      <c r="G181" s="39">
        <f t="shared" si="3"/>
        <v>0</v>
      </c>
      <c r="H181" s="31"/>
      <c r="L181" s="195"/>
      <c r="M181" s="195"/>
      <c r="N181" s="195"/>
    </row>
    <row r="182" spans="1:14" x14ac:dyDescent="0.25">
      <c r="A182" s="290"/>
      <c r="B182" s="768"/>
      <c r="C182" s="269"/>
      <c r="D182" s="270"/>
      <c r="G182" s="39">
        <f t="shared" si="3"/>
        <v>0</v>
      </c>
      <c r="H182" s="31"/>
      <c r="L182" s="195"/>
      <c r="M182" s="195"/>
      <c r="N182" s="195"/>
    </row>
    <row r="183" spans="1:14" x14ac:dyDescent="0.25">
      <c r="A183" s="290"/>
      <c r="B183" s="768"/>
      <c r="C183" s="269"/>
      <c r="D183" s="270"/>
      <c r="G183" s="39">
        <f t="shared" si="3"/>
        <v>0</v>
      </c>
      <c r="H183" s="31"/>
      <c r="L183" s="195"/>
      <c r="M183" s="195"/>
      <c r="N183" s="195"/>
    </row>
    <row r="184" spans="1:14" x14ac:dyDescent="0.25">
      <c r="A184" s="290"/>
      <c r="B184" s="768"/>
      <c r="C184" s="269"/>
      <c r="D184" s="270"/>
      <c r="G184" s="39">
        <f t="shared" si="3"/>
        <v>0</v>
      </c>
      <c r="H184" s="31"/>
      <c r="L184" s="195"/>
      <c r="M184" s="195"/>
      <c r="N184" s="195"/>
    </row>
    <row r="185" spans="1:14" x14ac:dyDescent="0.25">
      <c r="A185" s="290"/>
      <c r="B185" s="768"/>
      <c r="C185" s="269"/>
      <c r="D185" s="270"/>
      <c r="G185" s="39">
        <f t="shared" si="3"/>
        <v>0</v>
      </c>
      <c r="H185" s="31"/>
      <c r="L185" s="195"/>
      <c r="M185" s="195"/>
      <c r="N185" s="195"/>
    </row>
    <row r="186" spans="1:14" x14ac:dyDescent="0.25">
      <c r="A186" s="290"/>
      <c r="B186" s="768"/>
      <c r="C186" s="269"/>
      <c r="D186" s="270"/>
      <c r="G186" s="39">
        <f t="shared" si="3"/>
        <v>0</v>
      </c>
      <c r="H186" s="31"/>
      <c r="L186" s="195"/>
      <c r="M186" s="195"/>
      <c r="N186" s="195"/>
    </row>
    <row r="187" spans="1:14" x14ac:dyDescent="0.25">
      <c r="A187" s="290"/>
      <c r="B187" s="768"/>
      <c r="C187" s="269"/>
      <c r="D187" s="270"/>
      <c r="G187" s="39">
        <f t="shared" si="3"/>
        <v>0</v>
      </c>
      <c r="H187" s="31"/>
      <c r="L187" s="195"/>
      <c r="M187" s="195"/>
      <c r="N187" s="195"/>
    </row>
    <row r="188" spans="1:14" x14ac:dyDescent="0.25">
      <c r="A188" s="290"/>
      <c r="B188" s="768"/>
      <c r="C188" s="269"/>
      <c r="D188" s="270"/>
      <c r="G188" s="39">
        <f t="shared" si="3"/>
        <v>0</v>
      </c>
      <c r="H188" s="31"/>
      <c r="J188" s="8"/>
      <c r="L188" s="195"/>
      <c r="M188" s="195"/>
      <c r="N188" s="195"/>
    </row>
    <row r="189" spans="1:14" x14ac:dyDescent="0.25">
      <c r="A189" s="288"/>
      <c r="B189" s="768"/>
      <c r="C189" s="289"/>
      <c r="D189" s="270"/>
      <c r="G189" s="39">
        <f t="shared" si="3"/>
        <v>0</v>
      </c>
      <c r="H189" s="31"/>
      <c r="L189" s="195"/>
      <c r="M189" s="195"/>
      <c r="N189" s="195"/>
    </row>
    <row r="190" spans="1:14" x14ac:dyDescent="0.25">
      <c r="A190" s="290"/>
      <c r="B190" s="768"/>
      <c r="C190" s="269"/>
      <c r="D190" s="270"/>
      <c r="G190" s="39">
        <f t="shared" si="3"/>
        <v>0</v>
      </c>
      <c r="H190" s="31"/>
      <c r="L190" s="195"/>
      <c r="M190" s="195"/>
      <c r="N190" s="195"/>
    </row>
    <row r="191" spans="1:14" x14ac:dyDescent="0.25">
      <c r="A191" s="290"/>
      <c r="B191" s="768"/>
      <c r="C191" s="269"/>
      <c r="D191" s="270"/>
      <c r="G191" s="39">
        <f t="shared" si="3"/>
        <v>0</v>
      </c>
      <c r="H191" s="31"/>
      <c r="L191" s="195"/>
      <c r="M191" s="195"/>
      <c r="N191" s="195"/>
    </row>
    <row r="192" spans="1:14" x14ac:dyDescent="0.25">
      <c r="A192" s="290"/>
      <c r="B192" s="768"/>
      <c r="C192" s="269"/>
      <c r="D192" s="270"/>
      <c r="G192" s="39">
        <f t="shared" si="3"/>
        <v>0</v>
      </c>
      <c r="H192" s="31"/>
      <c r="L192" s="195"/>
      <c r="M192" s="195"/>
      <c r="N192" s="195"/>
    </row>
    <row r="193" spans="1:14" x14ac:dyDescent="0.25">
      <c r="A193" s="288"/>
      <c r="B193" s="769"/>
      <c r="C193" s="289"/>
      <c r="D193" s="270"/>
      <c r="G193" s="39">
        <f t="shared" si="3"/>
        <v>0</v>
      </c>
      <c r="H193" s="31"/>
      <c r="J193" s="8"/>
      <c r="L193" s="195"/>
      <c r="M193" s="195"/>
      <c r="N193" s="195"/>
    </row>
    <row r="194" spans="1:14" x14ac:dyDescent="0.25">
      <c r="A194" s="291"/>
      <c r="B194" s="768"/>
      <c r="C194" s="292"/>
      <c r="D194" s="270"/>
      <c r="G194" s="39">
        <f t="shared" si="3"/>
        <v>0</v>
      </c>
      <c r="H194" s="31"/>
      <c r="L194" s="195"/>
      <c r="M194" s="195"/>
      <c r="N194" s="195"/>
    </row>
    <row r="195" spans="1:14" x14ac:dyDescent="0.25">
      <c r="A195" s="288"/>
      <c r="B195" s="768"/>
      <c r="C195" s="289"/>
      <c r="D195" s="270"/>
      <c r="G195" s="39">
        <f t="shared" si="3"/>
        <v>0</v>
      </c>
      <c r="H195" s="31"/>
      <c r="L195" s="195"/>
      <c r="M195" s="195"/>
      <c r="N195" s="195"/>
    </row>
    <row r="196" spans="1:14" x14ac:dyDescent="0.25">
      <c r="A196" s="288"/>
      <c r="B196" s="768"/>
      <c r="C196" s="289"/>
      <c r="D196" s="270"/>
      <c r="G196" s="39">
        <f t="shared" si="3"/>
        <v>0</v>
      </c>
      <c r="H196" s="31"/>
      <c r="J196" s="8"/>
      <c r="L196" s="195"/>
      <c r="M196" s="195"/>
      <c r="N196" s="195"/>
    </row>
    <row r="197" spans="1:14" x14ac:dyDescent="0.25">
      <c r="A197" s="288"/>
      <c r="B197" s="768"/>
      <c r="C197" s="289"/>
      <c r="D197" s="270"/>
      <c r="G197" s="39">
        <f t="shared" si="3"/>
        <v>0</v>
      </c>
      <c r="H197" s="31"/>
      <c r="J197" s="8"/>
      <c r="L197" s="195"/>
      <c r="M197" s="195"/>
      <c r="N197" s="195"/>
    </row>
    <row r="198" spans="1:14" x14ac:dyDescent="0.25">
      <c r="A198" s="290"/>
      <c r="B198" s="768"/>
      <c r="C198" s="269"/>
      <c r="D198" s="270"/>
      <c r="G198" s="39">
        <f t="shared" si="3"/>
        <v>0</v>
      </c>
      <c r="H198" s="31"/>
      <c r="J198" s="8"/>
      <c r="L198" s="195"/>
      <c r="M198" s="195"/>
      <c r="N198" s="195"/>
    </row>
    <row r="199" spans="1:14" x14ac:dyDescent="0.25">
      <c r="A199" s="288"/>
      <c r="B199" s="768"/>
      <c r="C199" s="289"/>
      <c r="D199" s="270"/>
      <c r="G199" s="39">
        <f t="shared" si="3"/>
        <v>0</v>
      </c>
      <c r="H199" s="31"/>
      <c r="L199" s="195"/>
      <c r="M199" s="195"/>
      <c r="N199" s="195"/>
    </row>
    <row r="200" spans="1:14" x14ac:dyDescent="0.25">
      <c r="A200" s="290"/>
      <c r="B200" s="768"/>
      <c r="C200" s="269"/>
      <c r="D200" s="270"/>
      <c r="G200" s="39">
        <f t="shared" si="3"/>
        <v>0</v>
      </c>
      <c r="H200" s="31"/>
      <c r="L200" s="195"/>
      <c r="M200" s="195"/>
      <c r="N200" s="195"/>
    </row>
    <row r="201" spans="1:14" x14ac:dyDescent="0.25">
      <c r="A201" s="288"/>
      <c r="B201" s="768"/>
      <c r="C201" s="289"/>
      <c r="D201" s="270"/>
      <c r="G201" s="39">
        <f t="shared" si="3"/>
        <v>0</v>
      </c>
      <c r="H201" s="31"/>
      <c r="L201" s="195"/>
      <c r="M201" s="195"/>
      <c r="N201" s="195"/>
    </row>
    <row r="202" spans="1:14" x14ac:dyDescent="0.25">
      <c r="A202" s="288"/>
      <c r="B202" s="768"/>
      <c r="C202" s="289"/>
      <c r="D202" s="270"/>
      <c r="G202" s="39">
        <f t="shared" si="3"/>
        <v>0</v>
      </c>
      <c r="H202" s="31"/>
      <c r="L202" s="195"/>
      <c r="M202" s="195"/>
      <c r="N202" s="195"/>
    </row>
    <row r="203" spans="1:14" x14ac:dyDescent="0.25">
      <c r="A203" s="290"/>
      <c r="B203" s="768"/>
      <c r="C203" s="269"/>
      <c r="D203" s="270"/>
      <c r="G203" s="39">
        <f t="shared" si="3"/>
        <v>0</v>
      </c>
      <c r="H203" s="31"/>
      <c r="L203" s="195"/>
      <c r="M203" s="195"/>
      <c r="N203" s="195"/>
    </row>
    <row r="204" spans="1:14" x14ac:dyDescent="0.25">
      <c r="A204" s="306"/>
      <c r="B204" s="768"/>
      <c r="C204" s="307"/>
      <c r="D204" s="270"/>
      <c r="G204" s="39">
        <f t="shared" si="3"/>
        <v>0</v>
      </c>
      <c r="H204" s="31"/>
      <c r="L204" s="195"/>
      <c r="M204" s="195"/>
      <c r="N204" s="195"/>
    </row>
    <row r="205" spans="1:14" x14ac:dyDescent="0.25">
      <c r="A205" s="306"/>
      <c r="B205" s="768"/>
      <c r="C205" s="307"/>
      <c r="D205" s="270"/>
      <c r="G205" s="39">
        <f t="shared" si="3"/>
        <v>0</v>
      </c>
      <c r="H205" s="31"/>
      <c r="L205" s="195"/>
      <c r="M205" s="195"/>
      <c r="N205" s="195"/>
    </row>
    <row r="206" spans="1:14" x14ac:dyDescent="0.25">
      <c r="A206" s="290"/>
      <c r="B206" s="768"/>
      <c r="C206" s="269"/>
      <c r="D206" s="270"/>
      <c r="G206" s="39">
        <f t="shared" si="3"/>
        <v>0</v>
      </c>
      <c r="H206" s="31"/>
      <c r="L206" s="195"/>
      <c r="M206" s="195"/>
      <c r="N206" s="195"/>
    </row>
    <row r="207" spans="1:14" x14ac:dyDescent="0.25">
      <c r="A207" s="290"/>
      <c r="B207" s="768"/>
      <c r="C207" s="269"/>
      <c r="D207" s="270"/>
      <c r="G207" s="39">
        <f t="shared" si="3"/>
        <v>0</v>
      </c>
      <c r="H207" s="31"/>
      <c r="L207" s="195"/>
      <c r="M207" s="195"/>
      <c r="N207" s="195"/>
    </row>
    <row r="208" spans="1:14" x14ac:dyDescent="0.25">
      <c r="A208" s="290"/>
      <c r="B208" s="768"/>
      <c r="C208" s="269"/>
      <c r="D208" s="270"/>
      <c r="G208" s="39">
        <f t="shared" si="3"/>
        <v>0</v>
      </c>
      <c r="H208" s="31"/>
      <c r="L208" s="195"/>
      <c r="M208" s="195"/>
      <c r="N208" s="195"/>
    </row>
    <row r="209" spans="1:14" x14ac:dyDescent="0.25">
      <c r="A209" s="290"/>
      <c r="B209" s="768"/>
      <c r="C209" s="269"/>
      <c r="D209" s="270"/>
      <c r="G209" s="39">
        <f t="shared" si="3"/>
        <v>0</v>
      </c>
      <c r="H209" s="31"/>
      <c r="L209" s="195"/>
      <c r="M209" s="195"/>
      <c r="N209" s="195"/>
    </row>
    <row r="210" spans="1:14" x14ac:dyDescent="0.25">
      <c r="A210" s="290"/>
      <c r="B210" s="768"/>
      <c r="C210" s="269"/>
      <c r="D210" s="270"/>
      <c r="G210" s="39">
        <f t="shared" si="3"/>
        <v>0</v>
      </c>
      <c r="H210" s="31"/>
      <c r="L210" s="195"/>
      <c r="M210" s="195"/>
      <c r="N210" s="195"/>
    </row>
    <row r="211" spans="1:14" x14ac:dyDescent="0.25">
      <c r="A211" s="290"/>
      <c r="B211" s="768"/>
      <c r="C211" s="269"/>
      <c r="D211" s="270"/>
      <c r="G211" s="39">
        <f t="shared" si="3"/>
        <v>0</v>
      </c>
      <c r="H211" s="31"/>
      <c r="L211" s="195"/>
      <c r="M211" s="195"/>
      <c r="N211" s="195"/>
    </row>
    <row r="212" spans="1:14" x14ac:dyDescent="0.25">
      <c r="A212" s="290"/>
      <c r="B212" s="768"/>
      <c r="C212" s="269"/>
      <c r="D212" s="270"/>
      <c r="G212" s="39">
        <f t="shared" si="3"/>
        <v>0</v>
      </c>
      <c r="H212" s="31"/>
      <c r="L212" s="195"/>
      <c r="M212" s="195"/>
      <c r="N212" s="195"/>
    </row>
    <row r="213" spans="1:14" x14ac:dyDescent="0.25">
      <c r="A213" s="290"/>
      <c r="B213" s="768"/>
      <c r="C213" s="269"/>
      <c r="D213" s="270"/>
      <c r="G213" s="39">
        <f t="shared" si="3"/>
        <v>0</v>
      </c>
      <c r="H213" s="31"/>
      <c r="L213" s="195"/>
      <c r="M213" s="195"/>
      <c r="N213" s="195"/>
    </row>
    <row r="214" spans="1:14" x14ac:dyDescent="0.25">
      <c r="A214" s="290"/>
      <c r="B214" s="768"/>
      <c r="C214" s="269"/>
      <c r="D214" s="270"/>
      <c r="G214" s="39">
        <f t="shared" si="3"/>
        <v>0</v>
      </c>
      <c r="H214" s="31"/>
      <c r="L214" s="195"/>
      <c r="M214" s="195"/>
      <c r="N214" s="195"/>
    </row>
    <row r="215" spans="1:14" x14ac:dyDescent="0.25">
      <c r="A215" s="290"/>
      <c r="B215" s="768"/>
      <c r="C215" s="269"/>
      <c r="D215" s="270"/>
      <c r="G215" s="39">
        <f t="shared" si="3"/>
        <v>0</v>
      </c>
      <c r="H215" s="31"/>
      <c r="L215" s="195"/>
      <c r="M215" s="195"/>
      <c r="N215" s="195"/>
    </row>
    <row r="216" spans="1:14" x14ac:dyDescent="0.25">
      <c r="A216" s="290"/>
      <c r="B216" s="768"/>
      <c r="C216" s="269"/>
      <c r="D216" s="270"/>
      <c r="G216" s="39">
        <f t="shared" si="3"/>
        <v>0</v>
      </c>
      <c r="H216" s="31"/>
      <c r="L216" s="195"/>
      <c r="M216" s="195"/>
      <c r="N216" s="195"/>
    </row>
    <row r="217" spans="1:14" x14ac:dyDescent="0.25">
      <c r="A217" s="290"/>
      <c r="B217" s="768"/>
      <c r="C217" s="269"/>
      <c r="D217" s="270"/>
      <c r="G217" s="39">
        <f t="shared" si="3"/>
        <v>0</v>
      </c>
      <c r="H217" s="31"/>
      <c r="L217" s="195"/>
      <c r="M217" s="195"/>
      <c r="N217" s="195"/>
    </row>
    <row r="218" spans="1:14" x14ac:dyDescent="0.25">
      <c r="A218" s="290"/>
      <c r="B218" s="768"/>
      <c r="C218" s="269"/>
      <c r="D218" s="270"/>
      <c r="G218" s="39">
        <f t="shared" si="3"/>
        <v>0</v>
      </c>
      <c r="H218" s="31"/>
      <c r="L218" s="195"/>
      <c r="M218" s="195"/>
      <c r="N218" s="195"/>
    </row>
    <row r="219" spans="1:14" x14ac:dyDescent="0.25">
      <c r="A219" s="290"/>
      <c r="B219" s="768"/>
      <c r="C219" s="269"/>
      <c r="D219" s="270"/>
      <c r="G219" s="39">
        <f t="shared" si="3"/>
        <v>0</v>
      </c>
      <c r="H219" s="31"/>
      <c r="L219" s="195"/>
      <c r="M219" s="195"/>
      <c r="N219" s="195"/>
    </row>
    <row r="220" spans="1:14" x14ac:dyDescent="0.25">
      <c r="A220" s="290"/>
      <c r="B220" s="768"/>
      <c r="C220" s="269"/>
      <c r="D220" s="270"/>
      <c r="G220" s="39">
        <f t="shared" si="3"/>
        <v>0</v>
      </c>
      <c r="H220" s="31"/>
      <c r="L220" s="195"/>
      <c r="M220" s="195"/>
      <c r="N220" s="195"/>
    </row>
    <row r="221" spans="1:14" x14ac:dyDescent="0.25">
      <c r="A221" s="290"/>
      <c r="B221" s="768"/>
      <c r="C221" s="269"/>
      <c r="D221" s="270"/>
      <c r="G221" s="39">
        <f t="shared" si="3"/>
        <v>0</v>
      </c>
      <c r="H221" s="31"/>
      <c r="J221" s="8"/>
      <c r="L221" s="195"/>
      <c r="M221" s="195"/>
      <c r="N221" s="195"/>
    </row>
    <row r="222" spans="1:14" x14ac:dyDescent="0.25">
      <c r="A222" s="290"/>
      <c r="B222" s="768"/>
      <c r="C222" s="269"/>
      <c r="D222" s="270"/>
      <c r="G222" s="39">
        <f t="shared" si="3"/>
        <v>0</v>
      </c>
      <c r="H222" s="31"/>
      <c r="J222" s="8"/>
      <c r="L222" s="195"/>
      <c r="M222" s="195"/>
      <c r="N222" s="195"/>
    </row>
    <row r="223" spans="1:14" x14ac:dyDescent="0.25">
      <c r="A223" s="290"/>
      <c r="B223" s="768"/>
      <c r="C223" s="269"/>
      <c r="D223" s="270"/>
      <c r="G223" s="39">
        <f t="shared" si="3"/>
        <v>0</v>
      </c>
      <c r="H223" s="31"/>
      <c r="J223" s="8"/>
      <c r="L223" s="195"/>
      <c r="M223" s="195"/>
      <c r="N223" s="195"/>
    </row>
    <row r="224" spans="1:14" x14ac:dyDescent="0.25">
      <c r="A224" s="290"/>
      <c r="B224" s="768"/>
      <c r="C224" s="269"/>
      <c r="D224" s="270"/>
      <c r="G224" s="39">
        <f t="shared" si="3"/>
        <v>0</v>
      </c>
      <c r="H224" s="31"/>
      <c r="J224" s="8"/>
      <c r="L224" s="195"/>
      <c r="M224" s="195"/>
      <c r="N224" s="195"/>
    </row>
    <row r="225" spans="1:14" x14ac:dyDescent="0.25">
      <c r="A225" s="290"/>
      <c r="B225" s="768"/>
      <c r="C225" s="269"/>
      <c r="D225" s="270"/>
      <c r="G225" s="39">
        <f t="shared" si="3"/>
        <v>0</v>
      </c>
      <c r="H225" s="31"/>
      <c r="L225" s="195"/>
      <c r="M225" s="195"/>
      <c r="N225" s="195"/>
    </row>
    <row r="226" spans="1:14" x14ac:dyDescent="0.25">
      <c r="A226" s="290"/>
      <c r="B226" s="768"/>
      <c r="C226" s="269"/>
      <c r="D226" s="270"/>
      <c r="G226" s="39">
        <f t="shared" si="3"/>
        <v>0</v>
      </c>
      <c r="H226" s="31"/>
      <c r="L226" s="195"/>
      <c r="M226" s="195"/>
      <c r="N226" s="195"/>
    </row>
    <row r="227" spans="1:14" x14ac:dyDescent="0.25">
      <c r="A227" s="290"/>
      <c r="B227" s="768"/>
      <c r="C227" s="269"/>
      <c r="D227" s="270"/>
      <c r="G227" s="39">
        <f t="shared" si="3"/>
        <v>0</v>
      </c>
      <c r="H227" s="31"/>
      <c r="L227" s="195"/>
      <c r="M227" s="195"/>
      <c r="N227" s="195"/>
    </row>
    <row r="228" spans="1:14" x14ac:dyDescent="0.25">
      <c r="A228" s="290"/>
      <c r="B228" s="768"/>
      <c r="C228" s="269"/>
      <c r="D228" s="270"/>
      <c r="G228" s="39">
        <f t="shared" si="3"/>
        <v>0</v>
      </c>
      <c r="H228" s="31"/>
      <c r="L228" s="195"/>
      <c r="M228" s="195"/>
      <c r="N228" s="195"/>
    </row>
    <row r="229" spans="1:14" x14ac:dyDescent="0.25">
      <c r="A229" s="290"/>
      <c r="B229" s="768"/>
      <c r="C229" s="269"/>
      <c r="D229" s="270"/>
      <c r="G229" s="39">
        <f t="shared" si="3"/>
        <v>0</v>
      </c>
      <c r="H229" s="31"/>
      <c r="L229" s="195"/>
      <c r="M229" s="195"/>
      <c r="N229" s="195"/>
    </row>
    <row r="230" spans="1:14" x14ac:dyDescent="0.25">
      <c r="A230" s="290"/>
      <c r="B230" s="768"/>
      <c r="C230" s="31"/>
      <c r="D230" s="270"/>
      <c r="G230" s="39">
        <f t="shared" si="3"/>
        <v>0</v>
      </c>
      <c r="H230" s="31"/>
      <c r="L230" s="195"/>
      <c r="M230" s="195"/>
      <c r="N230" s="195"/>
    </row>
    <row r="231" spans="1:14" x14ac:dyDescent="0.25">
      <c r="A231" s="288"/>
      <c r="B231" s="768"/>
      <c r="C231" s="31"/>
      <c r="D231" s="270"/>
      <c r="G231" s="39">
        <f t="shared" si="3"/>
        <v>0</v>
      </c>
      <c r="H231" s="31"/>
      <c r="L231" s="195"/>
      <c r="M231" s="195"/>
      <c r="N231" s="195"/>
    </row>
    <row r="232" spans="1:14" x14ac:dyDescent="0.25">
      <c r="A232" s="290"/>
      <c r="B232" s="768"/>
      <c r="C232" s="31"/>
      <c r="D232" s="270"/>
      <c r="G232" s="39">
        <f t="shared" si="3"/>
        <v>0</v>
      </c>
      <c r="H232" s="31"/>
      <c r="L232" s="195"/>
      <c r="M232" s="195"/>
      <c r="N232" s="195"/>
    </row>
    <row r="233" spans="1:14" x14ac:dyDescent="0.25">
      <c r="A233" s="290"/>
      <c r="B233" s="768"/>
      <c r="C233" s="31"/>
      <c r="D233" s="270"/>
      <c r="G233" s="39">
        <f t="shared" si="3"/>
        <v>0</v>
      </c>
      <c r="H233" s="31"/>
      <c r="L233" s="195"/>
      <c r="M233" s="195"/>
      <c r="N233" s="195"/>
    </row>
    <row r="234" spans="1:14" x14ac:dyDescent="0.25">
      <c r="A234" s="290"/>
      <c r="B234" s="768"/>
      <c r="C234" s="31"/>
      <c r="D234" s="270"/>
      <c r="G234" s="39">
        <f t="shared" si="3"/>
        <v>0</v>
      </c>
      <c r="H234" s="31"/>
      <c r="L234" s="195"/>
      <c r="M234" s="195"/>
      <c r="N234" s="195"/>
    </row>
    <row r="235" spans="1:14" x14ac:dyDescent="0.25">
      <c r="A235" s="290"/>
      <c r="B235" s="768"/>
      <c r="C235" s="31"/>
      <c r="D235" s="270"/>
      <c r="G235" s="39">
        <f t="shared" si="3"/>
        <v>0</v>
      </c>
      <c r="H235" s="31"/>
      <c r="L235" s="195"/>
      <c r="M235" s="195"/>
      <c r="N235" s="195"/>
    </row>
    <row r="236" spans="1:14" x14ac:dyDescent="0.25">
      <c r="A236" s="290"/>
      <c r="B236" s="768"/>
      <c r="C236" s="31"/>
      <c r="D236" s="270"/>
      <c r="G236" s="39">
        <f t="shared" si="3"/>
        <v>0</v>
      </c>
      <c r="H236" s="31"/>
      <c r="L236" s="195"/>
      <c r="M236" s="195"/>
      <c r="N236" s="195"/>
    </row>
    <row r="237" spans="1:14" x14ac:dyDescent="0.25">
      <c r="A237" s="290"/>
      <c r="B237" s="768"/>
      <c r="C237" s="31"/>
      <c r="D237" s="270"/>
      <c r="G237" s="39">
        <f t="shared" si="3"/>
        <v>0</v>
      </c>
      <c r="H237" s="31"/>
      <c r="L237" s="195"/>
      <c r="M237" s="195"/>
      <c r="N237" s="195"/>
    </row>
    <row r="238" spans="1:14" x14ac:dyDescent="0.25">
      <c r="A238" s="290"/>
      <c r="B238" s="768"/>
      <c r="C238" s="31"/>
      <c r="D238" s="270"/>
      <c r="G238" s="39">
        <f t="shared" si="3"/>
        <v>0</v>
      </c>
      <c r="H238" s="31"/>
      <c r="L238" s="195"/>
      <c r="M238" s="195"/>
      <c r="N238" s="195"/>
    </row>
    <row r="239" spans="1:14" x14ac:dyDescent="0.25">
      <c r="A239" s="290"/>
      <c r="B239" s="768"/>
      <c r="C239" s="31"/>
      <c r="D239" s="270"/>
      <c r="G239" s="39">
        <f t="shared" si="3"/>
        <v>0</v>
      </c>
      <c r="H239" s="31"/>
      <c r="L239" s="195"/>
      <c r="M239" s="195"/>
      <c r="N239" s="195"/>
    </row>
    <row r="240" spans="1:14" x14ac:dyDescent="0.25">
      <c r="A240" s="290"/>
      <c r="B240" s="768"/>
      <c r="C240" s="31"/>
      <c r="D240" s="270"/>
      <c r="G240" s="39">
        <f t="shared" si="3"/>
        <v>0</v>
      </c>
      <c r="H240" s="31"/>
      <c r="L240" s="195"/>
      <c r="M240" s="195"/>
      <c r="N240" s="195"/>
    </row>
    <row r="241" spans="1:14" x14ac:dyDescent="0.25">
      <c r="A241" s="288"/>
      <c r="B241" s="768"/>
      <c r="C241" s="31"/>
      <c r="D241" s="270"/>
      <c r="G241" s="39">
        <f t="shared" si="3"/>
        <v>0</v>
      </c>
      <c r="H241" s="31"/>
      <c r="L241" s="195"/>
      <c r="M241" s="195"/>
      <c r="N241" s="195"/>
    </row>
    <row r="242" spans="1:14" x14ac:dyDescent="0.25">
      <c r="A242" s="290"/>
      <c r="B242" s="768"/>
      <c r="C242" s="31"/>
      <c r="D242" s="270"/>
      <c r="G242" s="39">
        <f t="shared" ref="G242:G270" si="4">F242*E242</f>
        <v>0</v>
      </c>
      <c r="H242" s="31"/>
      <c r="L242" s="195"/>
      <c r="M242" s="195"/>
      <c r="N242" s="195"/>
    </row>
    <row r="243" spans="1:14" x14ac:dyDescent="0.25">
      <c r="A243" s="290"/>
      <c r="B243" s="768"/>
      <c r="C243" s="31"/>
      <c r="D243" s="270"/>
      <c r="G243" s="39">
        <f t="shared" si="4"/>
        <v>0</v>
      </c>
      <c r="H243" s="31"/>
      <c r="L243" s="195"/>
      <c r="M243" s="195"/>
      <c r="N243" s="195"/>
    </row>
    <row r="244" spans="1:14" x14ac:dyDescent="0.25">
      <c r="A244" s="290"/>
      <c r="B244" s="768"/>
      <c r="C244" s="31"/>
      <c r="D244" s="270"/>
      <c r="G244" s="39">
        <f t="shared" si="4"/>
        <v>0</v>
      </c>
      <c r="H244" s="31"/>
      <c r="L244" s="195"/>
      <c r="M244" s="195"/>
      <c r="N244" s="195"/>
    </row>
    <row r="245" spans="1:14" x14ac:dyDescent="0.25">
      <c r="A245" s="290"/>
      <c r="B245" s="768"/>
      <c r="C245" s="31"/>
      <c r="D245" s="270"/>
      <c r="G245" s="39">
        <f t="shared" si="4"/>
        <v>0</v>
      </c>
      <c r="H245" s="31"/>
      <c r="L245" s="195"/>
      <c r="M245" s="195"/>
      <c r="N245" s="195"/>
    </row>
    <row r="246" spans="1:14" x14ac:dyDescent="0.25">
      <c r="A246" s="288"/>
      <c r="B246" s="768"/>
      <c r="C246" s="31"/>
      <c r="D246" s="270"/>
      <c r="G246" s="39">
        <f t="shared" si="4"/>
        <v>0</v>
      </c>
      <c r="H246" s="31"/>
      <c r="L246" s="195"/>
      <c r="M246" s="195"/>
      <c r="N246" s="195"/>
    </row>
    <row r="247" spans="1:14" x14ac:dyDescent="0.25">
      <c r="A247" s="290"/>
      <c r="B247" s="768"/>
      <c r="C247" s="31"/>
      <c r="D247" s="270"/>
      <c r="G247" s="39">
        <f t="shared" si="4"/>
        <v>0</v>
      </c>
      <c r="H247" s="31"/>
      <c r="L247" s="195"/>
      <c r="M247" s="195"/>
      <c r="N247" s="195"/>
    </row>
    <row r="248" spans="1:14" x14ac:dyDescent="0.25">
      <c r="A248" s="290"/>
      <c r="B248" s="768"/>
      <c r="C248" s="31"/>
      <c r="D248" s="270"/>
      <c r="G248" s="39">
        <f t="shared" si="4"/>
        <v>0</v>
      </c>
      <c r="H248" s="31"/>
      <c r="L248" s="195"/>
      <c r="M248" s="195"/>
      <c r="N248" s="195"/>
    </row>
    <row r="249" spans="1:14" x14ac:dyDescent="0.25">
      <c r="A249" s="290"/>
      <c r="B249" s="768"/>
      <c r="C249" s="31"/>
      <c r="D249" s="270"/>
      <c r="G249" s="39">
        <f t="shared" si="4"/>
        <v>0</v>
      </c>
      <c r="H249" s="31"/>
      <c r="L249" s="195"/>
      <c r="M249" s="195"/>
      <c r="N249" s="195"/>
    </row>
    <row r="250" spans="1:14" x14ac:dyDescent="0.25">
      <c r="A250" s="290"/>
      <c r="B250" s="768"/>
      <c r="C250" s="31"/>
      <c r="D250" s="270"/>
      <c r="G250" s="39">
        <f t="shared" si="4"/>
        <v>0</v>
      </c>
      <c r="H250" s="31"/>
      <c r="L250" s="195"/>
      <c r="M250" s="195"/>
      <c r="N250" s="195"/>
    </row>
    <row r="251" spans="1:14" x14ac:dyDescent="0.25">
      <c r="A251" s="290"/>
      <c r="B251" s="768"/>
      <c r="C251" s="31"/>
      <c r="D251" s="270"/>
      <c r="G251" s="39">
        <f t="shared" si="4"/>
        <v>0</v>
      </c>
      <c r="H251" s="31"/>
      <c r="L251" s="195"/>
      <c r="M251" s="195"/>
      <c r="N251" s="195"/>
    </row>
    <row r="252" spans="1:14" x14ac:dyDescent="0.25">
      <c r="A252" s="290"/>
      <c r="B252" s="768"/>
      <c r="C252" s="31"/>
      <c r="D252" s="270"/>
      <c r="G252" s="39">
        <f t="shared" si="4"/>
        <v>0</v>
      </c>
      <c r="H252" s="31"/>
      <c r="L252" s="195"/>
      <c r="M252" s="195"/>
      <c r="N252" s="195"/>
    </row>
    <row r="253" spans="1:14" x14ac:dyDescent="0.25">
      <c r="A253" s="290"/>
      <c r="B253" s="768"/>
      <c r="C253" s="31"/>
      <c r="D253" s="270"/>
      <c r="G253" s="39">
        <f t="shared" si="4"/>
        <v>0</v>
      </c>
      <c r="H253" s="31"/>
      <c r="L253" s="195"/>
      <c r="M253" s="195"/>
      <c r="N253" s="195"/>
    </row>
    <row r="254" spans="1:14" x14ac:dyDescent="0.25">
      <c r="A254" s="290"/>
      <c r="B254" s="768"/>
      <c r="C254" s="31"/>
      <c r="D254" s="270"/>
      <c r="G254" s="39">
        <f t="shared" si="4"/>
        <v>0</v>
      </c>
      <c r="H254" s="31"/>
      <c r="L254" s="195"/>
      <c r="M254" s="195"/>
      <c r="N254" s="195"/>
    </row>
    <row r="255" spans="1:14" x14ac:dyDescent="0.25">
      <c r="A255" s="290"/>
      <c r="B255" s="768"/>
      <c r="C255" s="31"/>
      <c r="D255" s="270"/>
      <c r="G255" s="39">
        <f t="shared" si="4"/>
        <v>0</v>
      </c>
      <c r="H255" s="31"/>
      <c r="L255" s="195"/>
      <c r="M255" s="195"/>
      <c r="N255" s="195"/>
    </row>
    <row r="256" spans="1:14" x14ac:dyDescent="0.25">
      <c r="A256" s="290"/>
      <c r="B256" s="768"/>
      <c r="C256" s="31"/>
      <c r="D256" s="270"/>
      <c r="G256" s="39">
        <f t="shared" si="4"/>
        <v>0</v>
      </c>
      <c r="H256" s="31"/>
      <c r="L256" s="195"/>
      <c r="M256" s="195"/>
      <c r="N256" s="195"/>
    </row>
    <row r="257" spans="1:14" x14ac:dyDescent="0.25">
      <c r="A257" s="290"/>
      <c r="B257" s="768"/>
      <c r="C257" s="31"/>
      <c r="D257" s="270"/>
      <c r="G257" s="39">
        <f t="shared" si="4"/>
        <v>0</v>
      </c>
      <c r="H257" s="31"/>
      <c r="L257" s="195"/>
      <c r="M257" s="195"/>
      <c r="N257" s="195"/>
    </row>
    <row r="258" spans="1:14" x14ac:dyDescent="0.25">
      <c r="A258" s="290"/>
      <c r="B258" s="768"/>
      <c r="C258" s="31"/>
      <c r="D258" s="270"/>
      <c r="G258" s="39">
        <f t="shared" si="4"/>
        <v>0</v>
      </c>
      <c r="H258" s="31"/>
      <c r="L258" s="195"/>
      <c r="M258" s="195"/>
      <c r="N258" s="195"/>
    </row>
    <row r="259" spans="1:14" x14ac:dyDescent="0.25">
      <c r="A259" s="290"/>
      <c r="B259" s="768"/>
      <c r="C259" s="31"/>
      <c r="D259" s="270"/>
      <c r="G259" s="39">
        <f t="shared" si="4"/>
        <v>0</v>
      </c>
      <c r="H259" s="31"/>
      <c r="L259" s="195"/>
      <c r="M259" s="195"/>
      <c r="N259" s="195"/>
    </row>
    <row r="260" spans="1:14" x14ac:dyDescent="0.25">
      <c r="A260" s="290"/>
      <c r="B260" s="768"/>
      <c r="C260" s="31"/>
      <c r="D260" s="270"/>
      <c r="G260" s="39">
        <f t="shared" si="4"/>
        <v>0</v>
      </c>
      <c r="H260" s="31"/>
      <c r="L260" s="195"/>
      <c r="M260" s="195"/>
      <c r="N260" s="195"/>
    </row>
    <row r="261" spans="1:14" x14ac:dyDescent="0.25">
      <c r="A261" s="290"/>
      <c r="B261" s="768"/>
      <c r="C261" s="31"/>
      <c r="D261" s="270"/>
      <c r="G261" s="39">
        <f t="shared" si="4"/>
        <v>0</v>
      </c>
      <c r="H261" s="31"/>
      <c r="L261" s="195"/>
      <c r="M261" s="195"/>
      <c r="N261" s="195"/>
    </row>
    <row r="262" spans="1:14" x14ac:dyDescent="0.25">
      <c r="A262" s="290"/>
      <c r="B262" s="768"/>
      <c r="C262" s="31"/>
      <c r="D262" s="270"/>
      <c r="G262" s="39">
        <f t="shared" si="4"/>
        <v>0</v>
      </c>
      <c r="H262" s="31"/>
      <c r="L262" s="195"/>
      <c r="M262" s="195"/>
      <c r="N262" s="195"/>
    </row>
    <row r="263" spans="1:14" x14ac:dyDescent="0.25">
      <c r="A263" s="290"/>
      <c r="B263" s="768"/>
      <c r="C263" s="31"/>
      <c r="D263" s="270"/>
      <c r="G263" s="39">
        <f t="shared" si="4"/>
        <v>0</v>
      </c>
      <c r="H263" s="31"/>
      <c r="L263" s="195"/>
      <c r="M263" s="195"/>
      <c r="N263" s="195"/>
    </row>
    <row r="264" spans="1:14" x14ac:dyDescent="0.25">
      <c r="A264" s="290"/>
      <c r="B264" s="768"/>
      <c r="C264" s="31"/>
      <c r="D264" s="270"/>
      <c r="G264" s="39">
        <f t="shared" si="4"/>
        <v>0</v>
      </c>
      <c r="H264" s="31"/>
      <c r="L264" s="195"/>
      <c r="M264" s="195"/>
      <c r="N264" s="195"/>
    </row>
    <row r="265" spans="1:14" x14ac:dyDescent="0.25">
      <c r="A265" s="290"/>
      <c r="B265" s="768"/>
      <c r="C265" s="31"/>
      <c r="D265" s="270"/>
      <c r="G265" s="39">
        <f t="shared" si="4"/>
        <v>0</v>
      </c>
      <c r="H265" s="31"/>
      <c r="L265" s="195"/>
      <c r="M265" s="195"/>
      <c r="N265" s="195"/>
    </row>
    <row r="266" spans="1:14" x14ac:dyDescent="0.25">
      <c r="A266" s="290"/>
      <c r="B266" s="768"/>
      <c r="C266" s="31"/>
      <c r="D266" s="270"/>
      <c r="G266" s="39">
        <f t="shared" si="4"/>
        <v>0</v>
      </c>
      <c r="H266" s="31"/>
      <c r="L266" s="195"/>
      <c r="M266" s="195"/>
      <c r="N266" s="195"/>
    </row>
    <row r="267" spans="1:14" x14ac:dyDescent="0.25">
      <c r="A267" s="290"/>
      <c r="B267" s="768"/>
      <c r="C267" s="31"/>
      <c r="D267" s="270"/>
      <c r="G267" s="39">
        <f t="shared" si="4"/>
        <v>0</v>
      </c>
      <c r="H267" s="31"/>
      <c r="L267" s="195"/>
      <c r="M267" s="195"/>
      <c r="N267" s="195"/>
    </row>
    <row r="268" spans="1:14" x14ac:dyDescent="0.25">
      <c r="A268" s="288"/>
      <c r="B268" s="772"/>
      <c r="C268" s="309"/>
      <c r="D268" s="270"/>
      <c r="G268" s="39">
        <f t="shared" si="4"/>
        <v>0</v>
      </c>
      <c r="H268" s="31"/>
      <c r="L268" s="195"/>
      <c r="M268" s="195"/>
      <c r="N268" s="195"/>
    </row>
    <row r="269" spans="1:14" x14ac:dyDescent="0.25">
      <c r="A269" s="288"/>
      <c r="B269" s="772"/>
      <c r="C269" s="309"/>
      <c r="D269" s="270"/>
      <c r="G269" s="39">
        <f t="shared" si="4"/>
        <v>0</v>
      </c>
      <c r="H269" s="31"/>
      <c r="L269" s="195"/>
      <c r="M269" s="195"/>
      <c r="N269" s="195"/>
    </row>
    <row r="270" spans="1:14" ht="16.5" thickBot="1" x14ac:dyDescent="0.3">
      <c r="A270" s="288"/>
      <c r="B270" s="772"/>
      <c r="C270" s="309"/>
      <c r="D270" s="310"/>
      <c r="E270" s="311"/>
      <c r="G270" s="39">
        <f t="shared" si="4"/>
        <v>0</v>
      </c>
      <c r="H270" s="312"/>
      <c r="L270" s="195"/>
      <c r="M270" s="195"/>
      <c r="N270" s="195"/>
    </row>
    <row r="271" spans="1:14" ht="19.5" thickBot="1" x14ac:dyDescent="0.35">
      <c r="A271" s="313"/>
      <c r="B271" s="768"/>
      <c r="C271" s="31"/>
      <c r="D271" s="314"/>
      <c r="E271" s="891" t="s">
        <v>30</v>
      </c>
      <c r="F271" s="892"/>
      <c r="G271" s="214">
        <f>SUM(G72:G270)</f>
        <v>1320155.7999999998</v>
      </c>
      <c r="H271" s="315"/>
    </row>
    <row r="272" spans="1:14" x14ac:dyDescent="0.25">
      <c r="A272" s="313"/>
      <c r="B272" s="768"/>
      <c r="C272" s="31"/>
      <c r="D272" s="314"/>
      <c r="E272" s="311"/>
      <c r="F272" s="316"/>
      <c r="G272" s="39"/>
      <c r="H272" s="315"/>
    </row>
    <row r="273" spans="1:11" x14ac:dyDescent="0.25">
      <c r="A273" s="313"/>
      <c r="B273" s="768"/>
      <c r="C273" s="31"/>
      <c r="D273" s="314"/>
      <c r="E273" s="311"/>
      <c r="F273" s="316"/>
      <c r="G273" s="39"/>
      <c r="H273" s="315"/>
    </row>
    <row r="274" spans="1:11" x14ac:dyDescent="0.25">
      <c r="A274" s="313"/>
      <c r="B274" s="768"/>
      <c r="C274" s="31"/>
      <c r="D274" s="314"/>
      <c r="E274" s="311"/>
      <c r="F274" s="316"/>
      <c r="G274" s="39"/>
      <c r="H274" s="315"/>
    </row>
    <row r="275" spans="1:11" ht="18.75" x14ac:dyDescent="0.25">
      <c r="A275" s="313"/>
      <c r="B275" s="768"/>
      <c r="C275" s="31"/>
      <c r="D275" s="317"/>
      <c r="E275" s="318"/>
      <c r="F275" s="319"/>
      <c r="G275" s="320"/>
      <c r="H275" s="315"/>
    </row>
    <row r="276" spans="1:11" ht="18.75" x14ac:dyDescent="0.25">
      <c r="A276" s="313"/>
      <c r="B276" s="768"/>
      <c r="C276" s="31"/>
      <c r="D276" s="317"/>
      <c r="E276" s="318"/>
      <c r="F276" s="319"/>
      <c r="G276" s="320"/>
      <c r="H276" s="315"/>
    </row>
    <row r="277" spans="1:11" x14ac:dyDescent="0.25">
      <c r="A277" s="313"/>
      <c r="B277" s="768"/>
      <c r="C277" s="31"/>
      <c r="D277" s="317"/>
      <c r="E277" s="321"/>
      <c r="F277" s="322"/>
      <c r="G277" s="323"/>
      <c r="H277" s="315"/>
      <c r="K277"/>
    </row>
    <row r="278" spans="1:11" x14ac:dyDescent="0.25">
      <c r="A278" s="313"/>
      <c r="B278" s="768"/>
      <c r="C278" s="31"/>
      <c r="D278" s="317"/>
      <c r="E278" s="321"/>
      <c r="F278" s="322"/>
      <c r="G278" s="323"/>
      <c r="H278" s="315"/>
      <c r="K278"/>
    </row>
    <row r="279" spans="1:11" x14ac:dyDescent="0.25">
      <c r="A279" s="313"/>
      <c r="B279" s="768"/>
      <c r="C279" s="31"/>
      <c r="D279" s="317"/>
      <c r="E279" s="321"/>
      <c r="F279" s="322"/>
      <c r="G279" s="323"/>
      <c r="H279" s="315"/>
      <c r="K279"/>
    </row>
    <row r="280" spans="1:11" x14ac:dyDescent="0.25">
      <c r="A280" s="313"/>
      <c r="B280" s="768"/>
      <c r="C280" s="31"/>
      <c r="D280" s="317"/>
      <c r="E280" s="321"/>
      <c r="F280" s="322"/>
      <c r="G280" s="323"/>
      <c r="H280" s="315"/>
      <c r="K280"/>
    </row>
    <row r="281" spans="1:11" x14ac:dyDescent="0.25">
      <c r="A281" s="313"/>
      <c r="B281" s="768"/>
      <c r="C281" s="31"/>
      <c r="D281" s="317"/>
      <c r="E281" s="321"/>
      <c r="F281" s="322"/>
      <c r="G281" s="323"/>
      <c r="H281" s="315"/>
      <c r="K281"/>
    </row>
    <row r="282" spans="1:11" x14ac:dyDescent="0.25">
      <c r="A282" s="313"/>
      <c r="B282" s="768"/>
      <c r="C282" s="31"/>
      <c r="D282" s="317"/>
      <c r="E282" s="321"/>
      <c r="F282" s="322"/>
      <c r="G282" s="323"/>
      <c r="H282" s="315"/>
      <c r="K282"/>
    </row>
    <row r="283" spans="1:11" x14ac:dyDescent="0.25">
      <c r="A283" s="313"/>
      <c r="B283" s="768"/>
      <c r="C283" s="31"/>
      <c r="D283" s="317"/>
      <c r="E283" s="321"/>
      <c r="F283" s="322"/>
      <c r="G283" s="323"/>
      <c r="H283" s="315"/>
      <c r="K283"/>
    </row>
    <row r="284" spans="1:11" x14ac:dyDescent="0.25">
      <c r="A284" s="313"/>
      <c r="B284" s="773"/>
      <c r="C284" s="31"/>
      <c r="D284" s="260"/>
      <c r="E284" s="325"/>
      <c r="F284" s="326"/>
      <c r="G284" s="39"/>
      <c r="H284" s="315"/>
      <c r="K284"/>
    </row>
    <row r="285" spans="1:11" x14ac:dyDescent="0.25">
      <c r="A285" s="313"/>
      <c r="B285" s="773"/>
      <c r="C285" s="31"/>
      <c r="D285" s="260"/>
      <c r="E285" s="325"/>
      <c r="F285" s="326"/>
      <c r="G285" s="39"/>
      <c r="H285" s="315"/>
      <c r="K285"/>
    </row>
    <row r="286" spans="1:11" x14ac:dyDescent="0.25">
      <c r="A286" s="313"/>
      <c r="B286" s="773"/>
      <c r="C286" s="31"/>
      <c r="D286" s="260"/>
      <c r="E286" s="325"/>
      <c r="F286" s="326"/>
      <c r="G286" s="39"/>
      <c r="H286" s="315"/>
      <c r="K286"/>
    </row>
    <row r="287" spans="1:11" x14ac:dyDescent="0.25">
      <c r="A287" s="313"/>
      <c r="B287" s="773"/>
      <c r="C287" s="31"/>
      <c r="D287" s="260"/>
      <c r="E287" s="325"/>
      <c r="F287" s="326"/>
      <c r="G287" s="39"/>
      <c r="H287" s="315"/>
      <c r="K287"/>
    </row>
    <row r="288" spans="1:11" x14ac:dyDescent="0.25">
      <c r="A288" s="313"/>
      <c r="B288" s="773"/>
      <c r="C288" s="31"/>
      <c r="D288" s="260"/>
      <c r="E288" s="325"/>
      <c r="F288" s="326"/>
      <c r="G288" s="39"/>
      <c r="H288" s="315"/>
      <c r="K288"/>
    </row>
    <row r="289" spans="1:11" x14ac:dyDescent="0.25">
      <c r="A289" s="313"/>
      <c r="B289" s="773"/>
      <c r="C289" s="31"/>
      <c r="D289" s="260"/>
      <c r="E289" s="325"/>
      <c r="F289" s="326"/>
      <c r="G289" s="39"/>
      <c r="H289" s="315"/>
      <c r="K289"/>
    </row>
    <row r="290" spans="1:11" x14ac:dyDescent="0.25">
      <c r="A290" s="313"/>
      <c r="B290" s="773"/>
      <c r="C290" s="31"/>
      <c r="D290" s="260"/>
      <c r="E290" s="325"/>
      <c r="F290" s="326"/>
      <c r="G290" s="39"/>
      <c r="H290" s="315"/>
      <c r="K290"/>
    </row>
    <row r="291" spans="1:11" x14ac:dyDescent="0.25">
      <c r="A291" s="313"/>
      <c r="B291" s="773"/>
      <c r="C291" s="31"/>
      <c r="D291" s="260"/>
      <c r="E291" s="325"/>
      <c r="F291" s="326"/>
      <c r="G291" s="39"/>
      <c r="H291" s="315"/>
      <c r="K291"/>
    </row>
    <row r="292" spans="1:11" x14ac:dyDescent="0.25">
      <c r="A292" s="313"/>
      <c r="B292" s="773"/>
      <c r="C292" s="31"/>
      <c r="D292" s="260"/>
      <c r="E292" s="325"/>
      <c r="F292" s="326"/>
      <c r="G292" s="39"/>
      <c r="H292" s="315"/>
      <c r="K292"/>
    </row>
    <row r="293" spans="1:11" x14ac:dyDescent="0.25">
      <c r="A293" s="313"/>
      <c r="B293" s="773"/>
      <c r="C293" s="31"/>
      <c r="D293" s="260"/>
      <c r="E293" s="325"/>
      <c r="F293" s="326"/>
      <c r="G293" s="39"/>
      <c r="H293" s="315"/>
      <c r="K293"/>
    </row>
    <row r="294" spans="1:11" x14ac:dyDescent="0.25">
      <c r="A294" s="313"/>
      <c r="B294" s="773"/>
      <c r="C294" s="31"/>
      <c r="D294" s="260"/>
      <c r="E294" s="327"/>
      <c r="F294" s="328"/>
      <c r="G294" s="39"/>
      <c r="H294" s="315"/>
      <c r="K294"/>
    </row>
    <row r="295" spans="1:11" x14ac:dyDescent="0.25">
      <c r="A295" s="183"/>
      <c r="B295" s="773"/>
      <c r="C295" s="329"/>
      <c r="D295" s="260"/>
      <c r="E295" s="327"/>
      <c r="F295" s="328"/>
      <c r="G295" s="39"/>
      <c r="H295" s="315"/>
      <c r="K295"/>
    </row>
    <row r="296" spans="1:11" x14ac:dyDescent="0.25">
      <c r="B296" s="773"/>
      <c r="C296" s="329"/>
      <c r="D296" s="260"/>
      <c r="E296" s="327"/>
      <c r="F296" s="328"/>
      <c r="G296" s="39"/>
      <c r="H296" s="315"/>
      <c r="K296"/>
    </row>
    <row r="297" spans="1:11" x14ac:dyDescent="0.25">
      <c r="B297" s="773"/>
      <c r="C297" s="329"/>
      <c r="D297" s="260"/>
      <c r="E297" s="327"/>
      <c r="F297" s="328"/>
      <c r="G297" s="39"/>
      <c r="H297" s="315"/>
      <c r="K297"/>
    </row>
    <row r="298" spans="1:11" x14ac:dyDescent="0.25">
      <c r="B298" s="773"/>
      <c r="C298" s="329"/>
      <c r="D298" s="260"/>
      <c r="E298" s="327"/>
      <c r="F298" s="328"/>
      <c r="G298" s="39"/>
      <c r="H298" s="315"/>
      <c r="K298"/>
    </row>
    <row r="299" spans="1:11" x14ac:dyDescent="0.25">
      <c r="B299" s="773"/>
      <c r="C299" s="329"/>
      <c r="D299" s="260"/>
      <c r="E299" s="327"/>
      <c r="F299" s="328"/>
      <c r="G299" s="39"/>
      <c r="H299" s="315"/>
      <c r="K299"/>
    </row>
    <row r="300" spans="1:11" x14ac:dyDescent="0.25">
      <c r="A300" s="290"/>
      <c r="B300" s="773"/>
      <c r="C300" s="329"/>
      <c r="D300" s="260"/>
      <c r="E300" s="327"/>
      <c r="F300" s="328"/>
      <c r="G300" s="27"/>
      <c r="H300" s="315"/>
      <c r="K300"/>
    </row>
    <row r="301" spans="1:11" x14ac:dyDescent="0.25">
      <c r="B301" s="773"/>
      <c r="C301" s="329"/>
      <c r="D301" s="260"/>
      <c r="E301" s="327"/>
      <c r="F301" s="328"/>
      <c r="G301" s="330"/>
      <c r="H301" s="315"/>
      <c r="K301"/>
    </row>
    <row r="302" spans="1:11" x14ac:dyDescent="0.25">
      <c r="B302" s="768"/>
      <c r="C302" s="329"/>
      <c r="D302" s="331"/>
      <c r="E302" s="311"/>
      <c r="F302" s="316"/>
      <c r="G302" s="330"/>
      <c r="H302" s="315"/>
      <c r="K302"/>
    </row>
    <row r="303" spans="1:11" x14ac:dyDescent="0.25">
      <c r="B303" s="768"/>
      <c r="C303" s="329"/>
      <c r="D303" s="331"/>
      <c r="E303" s="311"/>
      <c r="F303" s="316"/>
      <c r="G303" s="330"/>
      <c r="H303" s="315"/>
      <c r="K303"/>
    </row>
    <row r="304" spans="1:11" x14ac:dyDescent="0.25">
      <c r="B304" s="768"/>
      <c r="C304" s="329"/>
      <c r="D304" s="331"/>
      <c r="E304" s="311"/>
      <c r="F304" s="316"/>
      <c r="G304" s="330"/>
      <c r="H304" s="315"/>
      <c r="K304"/>
    </row>
    <row r="305" spans="2:11" x14ac:dyDescent="0.25">
      <c r="B305" s="768"/>
      <c r="C305" s="329"/>
      <c r="D305" s="331"/>
      <c r="E305" s="311"/>
      <c r="F305" s="316"/>
      <c r="G305" s="330"/>
      <c r="H305" s="315"/>
      <c r="K305"/>
    </row>
    <row r="306" spans="2:11" x14ac:dyDescent="0.25">
      <c r="B306" s="768"/>
      <c r="C306" s="329"/>
      <c r="D306" s="331"/>
      <c r="E306" s="311"/>
      <c r="F306" s="316"/>
      <c r="G306" s="330"/>
      <c r="H306" s="315"/>
      <c r="K306"/>
    </row>
    <row r="307" spans="2:11" x14ac:dyDescent="0.25">
      <c r="B307" s="768"/>
      <c r="C307" s="329"/>
      <c r="D307" s="331"/>
      <c r="E307" s="311"/>
      <c r="F307" s="316"/>
      <c r="G307" s="330"/>
      <c r="H307" s="315"/>
      <c r="K307"/>
    </row>
    <row r="308" spans="2:11" x14ac:dyDescent="0.25">
      <c r="B308" s="768"/>
      <c r="C308" s="329"/>
      <c r="D308" s="331"/>
      <c r="E308" s="311"/>
      <c r="F308" s="316"/>
      <c r="G308" s="330"/>
      <c r="H308" s="315"/>
      <c r="K308"/>
    </row>
  </sheetData>
  <mergeCells count="2">
    <mergeCell ref="A1:G1"/>
    <mergeCell ref="E271:F27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66FF"/>
  </sheetPr>
  <dimension ref="A1:HA109"/>
  <sheetViews>
    <sheetView topLeftCell="J1" workbookViewId="0">
      <pane xSplit="4" ySplit="3" topLeftCell="GX31" activePane="bottomRight" state="frozen"/>
      <selection activeCell="J1" sqref="J1"/>
      <selection pane="topRight" activeCell="N1" sqref="N1"/>
      <selection pane="bottomLeft" activeCell="J4" sqref="J4"/>
      <selection pane="bottomRight" activeCell="GZ44" sqref="GZ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207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453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32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48" t="s">
        <v>16</v>
      </c>
      <c r="L3" s="334" t="s">
        <v>17</v>
      </c>
      <c r="M3" s="335" t="s">
        <v>18</v>
      </c>
      <c r="N3" s="43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54"/>
      <c r="GZ3" s="55"/>
    </row>
    <row r="4" spans="1:208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335</v>
      </c>
      <c r="K4" s="407" t="s">
        <v>41</v>
      </c>
      <c r="L4" s="77">
        <v>22820</v>
      </c>
      <c r="M4" s="71">
        <v>42887</v>
      </c>
      <c r="N4" s="534" t="s">
        <v>524</v>
      </c>
      <c r="O4" s="351">
        <v>28320</v>
      </c>
      <c r="P4" s="60">
        <f t="shared" ref="P4:P69" si="0">O4-L4</f>
        <v>5500</v>
      </c>
      <c r="Q4" s="333">
        <v>28</v>
      </c>
      <c r="R4" s="905"/>
      <c r="S4" s="906"/>
      <c r="T4" s="39">
        <f>Q4*O4</f>
        <v>792960</v>
      </c>
      <c r="U4" s="61" t="s">
        <v>72</v>
      </c>
      <c r="V4" s="62">
        <v>42912</v>
      </c>
      <c r="W4" s="63">
        <v>18850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508">
        <v>42912</v>
      </c>
      <c r="GU4" s="226"/>
      <c r="GV4" s="258"/>
      <c r="GW4" s="31"/>
      <c r="GX4" s="31"/>
      <c r="GY4" s="537" t="s">
        <v>598</v>
      </c>
      <c r="GZ4" s="33">
        <v>3712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335</v>
      </c>
      <c r="K5" s="407" t="s">
        <v>35</v>
      </c>
      <c r="L5" s="77">
        <v>11420</v>
      </c>
      <c r="M5" s="71">
        <v>42887</v>
      </c>
      <c r="N5" s="56" t="s">
        <v>519</v>
      </c>
      <c r="O5" s="27">
        <v>15045</v>
      </c>
      <c r="P5" s="60">
        <f t="shared" si="0"/>
        <v>3625</v>
      </c>
      <c r="Q5" s="29">
        <v>28</v>
      </c>
      <c r="R5" s="57"/>
      <c r="S5" s="57"/>
      <c r="T5" s="39">
        <f>Q5*O5</f>
        <v>421260</v>
      </c>
      <c r="U5" s="336" t="s">
        <v>72</v>
      </c>
      <c r="V5" s="166">
        <v>42909</v>
      </c>
      <c r="W5" s="86">
        <v>9802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42909</v>
      </c>
      <c r="GU5" s="64">
        <v>17584</v>
      </c>
      <c r="GV5" s="532" t="s">
        <v>487</v>
      </c>
      <c r="GW5" s="66"/>
      <c r="GX5" s="66"/>
      <c r="GY5" s="389" t="s">
        <v>598</v>
      </c>
      <c r="GZ5" s="67">
        <v>2088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480</v>
      </c>
      <c r="K6" s="407" t="s">
        <v>46</v>
      </c>
      <c r="L6" s="77">
        <v>11940</v>
      </c>
      <c r="M6" s="71">
        <v>42888</v>
      </c>
      <c r="N6" s="418" t="s">
        <v>523</v>
      </c>
      <c r="O6" s="27">
        <v>11325</v>
      </c>
      <c r="P6" s="60">
        <f t="shared" si="0"/>
        <v>-615</v>
      </c>
      <c r="Q6" s="29">
        <v>28</v>
      </c>
      <c r="R6" s="57"/>
      <c r="S6" s="57"/>
      <c r="T6" s="39">
        <f t="shared" ref="T6:T71" si="1">Q6*O6</f>
        <v>317100</v>
      </c>
      <c r="U6" s="336" t="s">
        <v>72</v>
      </c>
      <c r="V6" s="166">
        <v>42912</v>
      </c>
      <c r="W6" s="86">
        <v>7540</v>
      </c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>
        <v>42912</v>
      </c>
      <c r="GU6" s="64">
        <v>17584</v>
      </c>
      <c r="GV6" s="532" t="s">
        <v>488</v>
      </c>
      <c r="GW6" s="66"/>
      <c r="GX6" s="66"/>
      <c r="GY6" s="389" t="s">
        <v>598</v>
      </c>
      <c r="GZ6" s="67">
        <v>2088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481</v>
      </c>
      <c r="K7" s="407" t="s">
        <v>533</v>
      </c>
      <c r="L7" s="70"/>
      <c r="M7" s="71">
        <v>42888</v>
      </c>
      <c r="N7" s="56" t="s">
        <v>522</v>
      </c>
      <c r="O7" s="72">
        <v>1260</v>
      </c>
      <c r="P7" s="60">
        <f t="shared" si="0"/>
        <v>1260</v>
      </c>
      <c r="Q7" s="64">
        <v>28</v>
      </c>
      <c r="R7" s="57"/>
      <c r="S7" s="57"/>
      <c r="T7" s="39">
        <f t="shared" si="1"/>
        <v>35280</v>
      </c>
      <c r="U7" s="82" t="s">
        <v>72</v>
      </c>
      <c r="V7" s="339">
        <v>42912</v>
      </c>
      <c r="W7" s="340">
        <v>754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42912</v>
      </c>
      <c r="GU7" s="73">
        <v>0</v>
      </c>
      <c r="GV7" s="65" t="s">
        <v>176</v>
      </c>
      <c r="GW7" s="74"/>
      <c r="GX7" s="74"/>
      <c r="GY7" s="167" t="s">
        <v>598</v>
      </c>
      <c r="GZ7" s="75">
        <v>0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534</v>
      </c>
      <c r="K8" s="407" t="s">
        <v>498</v>
      </c>
      <c r="L8" s="77">
        <v>19810</v>
      </c>
      <c r="M8" s="71">
        <v>42888</v>
      </c>
      <c r="N8" s="56" t="s">
        <v>532</v>
      </c>
      <c r="O8" s="78">
        <v>26750</v>
      </c>
      <c r="P8" s="60">
        <f t="shared" si="0"/>
        <v>6940</v>
      </c>
      <c r="Q8" s="79">
        <v>28</v>
      </c>
      <c r="R8" s="80"/>
      <c r="S8" s="81"/>
      <c r="T8" s="39">
        <f t="shared" si="1"/>
        <v>749000</v>
      </c>
      <c r="U8" s="82" t="s">
        <v>72</v>
      </c>
      <c r="V8" s="339">
        <v>42912</v>
      </c>
      <c r="W8" s="340">
        <v>16663.400000000001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515">
        <v>42912</v>
      </c>
      <c r="GU8" s="73">
        <v>22176</v>
      </c>
      <c r="GV8" s="533" t="s">
        <v>489</v>
      </c>
      <c r="GW8" s="74"/>
      <c r="GX8" s="74"/>
      <c r="GY8" s="167" t="s">
        <v>598</v>
      </c>
      <c r="GZ8" s="86">
        <v>3712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481</v>
      </c>
      <c r="K9" s="407" t="s">
        <v>37</v>
      </c>
      <c r="L9" s="77">
        <v>17010</v>
      </c>
      <c r="M9" s="71">
        <v>42890</v>
      </c>
      <c r="N9" s="56" t="s">
        <v>535</v>
      </c>
      <c r="O9" s="78">
        <v>21340</v>
      </c>
      <c r="P9" s="60">
        <f t="shared" si="0"/>
        <v>4330</v>
      </c>
      <c r="Q9" s="79">
        <v>28.5</v>
      </c>
      <c r="R9" s="64"/>
      <c r="S9" s="89"/>
      <c r="T9" s="39">
        <f t="shared" si="1"/>
        <v>608190</v>
      </c>
      <c r="U9" s="90" t="s">
        <v>72</v>
      </c>
      <c r="V9" s="83">
        <v>42913</v>
      </c>
      <c r="W9" s="91">
        <v>15080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97">
        <v>42913</v>
      </c>
      <c r="GU9" s="98"/>
      <c r="GV9" s="65"/>
      <c r="GW9" s="74"/>
      <c r="GX9" s="74"/>
      <c r="GY9" s="167" t="s">
        <v>598</v>
      </c>
      <c r="GZ9" s="86">
        <v>3712</v>
      </c>
    </row>
    <row r="10" spans="1:208" ht="30" x14ac:dyDescent="0.25">
      <c r="C10" s="87"/>
      <c r="D10" s="35"/>
      <c r="E10" s="36"/>
      <c r="F10" s="37"/>
      <c r="G10" s="38"/>
      <c r="H10" s="39"/>
      <c r="I10" s="40"/>
      <c r="J10" s="88" t="s">
        <v>33</v>
      </c>
      <c r="K10" s="407" t="s">
        <v>482</v>
      </c>
      <c r="L10" s="77">
        <v>17550</v>
      </c>
      <c r="M10" s="71">
        <v>42891</v>
      </c>
      <c r="N10" s="56" t="s">
        <v>538</v>
      </c>
      <c r="O10" s="78">
        <f>22310-115.55</f>
        <v>22194.45</v>
      </c>
      <c r="P10" s="60">
        <f t="shared" si="0"/>
        <v>4644.4500000000007</v>
      </c>
      <c r="Q10" s="79">
        <v>28.5</v>
      </c>
      <c r="R10" s="64"/>
      <c r="S10" s="89"/>
      <c r="T10" s="39">
        <f t="shared" si="1"/>
        <v>632541.82500000007</v>
      </c>
      <c r="U10" s="90" t="s">
        <v>72</v>
      </c>
      <c r="V10" s="83">
        <v>42916</v>
      </c>
      <c r="W10" s="91">
        <v>15080</v>
      </c>
      <c r="X10" s="17"/>
      <c r="Y10" s="20"/>
      <c r="Z10" s="92"/>
      <c r="AA10" s="93"/>
      <c r="AB10" s="92"/>
      <c r="AC10" s="94"/>
      <c r="AD10" s="95"/>
      <c r="AE10" s="17"/>
      <c r="AF10" s="17"/>
      <c r="AG10" s="17"/>
      <c r="AH10" s="20"/>
      <c r="AI10" s="92"/>
      <c r="AJ10" s="93"/>
      <c r="AK10" s="92"/>
      <c r="AL10" s="94"/>
      <c r="AM10" s="95"/>
      <c r="AN10" s="17"/>
      <c r="AO10" s="17"/>
      <c r="AP10" s="17"/>
      <c r="AQ10" s="20"/>
      <c r="AR10" s="92"/>
      <c r="AS10" s="93"/>
      <c r="AT10" s="92"/>
      <c r="AU10" s="94"/>
      <c r="AV10" s="95"/>
      <c r="AW10" s="17"/>
      <c r="AX10" s="17"/>
      <c r="AY10" s="17"/>
      <c r="AZ10" s="20"/>
      <c r="BA10" s="92"/>
      <c r="BB10" s="93"/>
      <c r="BC10" s="92"/>
      <c r="BD10" s="94"/>
      <c r="BE10" s="95"/>
      <c r="BF10" s="17"/>
      <c r="BG10" s="17"/>
      <c r="BH10" s="17"/>
      <c r="BI10" s="20"/>
      <c r="BJ10" s="92"/>
      <c r="BK10" s="93"/>
      <c r="BL10" s="92"/>
      <c r="BM10" s="94"/>
      <c r="BN10" s="95"/>
      <c r="BO10" s="17"/>
      <c r="BP10" s="17"/>
      <c r="BQ10" s="17"/>
      <c r="BR10" s="20"/>
      <c r="BS10" s="92"/>
      <c r="BT10" s="93"/>
      <c r="BU10" s="92"/>
      <c r="BV10" s="94"/>
      <c r="BW10" s="95"/>
      <c r="BX10" s="17"/>
      <c r="BY10" s="17"/>
      <c r="BZ10" s="17"/>
      <c r="CA10" s="20"/>
      <c r="CB10" s="92"/>
      <c r="CC10" s="93"/>
      <c r="CD10" s="92"/>
      <c r="CE10" s="94"/>
      <c r="CF10" s="95"/>
      <c r="CG10" s="17"/>
      <c r="CH10" s="17"/>
      <c r="CI10" s="17"/>
      <c r="CJ10" s="20"/>
      <c r="CK10" s="92"/>
      <c r="CL10" s="93"/>
      <c r="CM10" s="92"/>
      <c r="CN10" s="94"/>
      <c r="CO10" s="95"/>
      <c r="CP10" s="17"/>
      <c r="CQ10" s="17"/>
      <c r="CR10" s="17"/>
      <c r="CS10" s="20"/>
      <c r="CT10" s="92"/>
      <c r="CU10" s="93"/>
      <c r="CV10" s="96"/>
      <c r="CW10" s="94"/>
      <c r="CX10" s="95"/>
      <c r="CY10" s="17"/>
      <c r="CZ10" s="17"/>
      <c r="DA10" s="17"/>
      <c r="DB10" s="20"/>
      <c r="DC10" s="92"/>
      <c r="DD10" s="93"/>
      <c r="DE10" s="92"/>
      <c r="DF10" s="94"/>
      <c r="DG10" s="95"/>
      <c r="DH10" s="17"/>
      <c r="DI10" s="17"/>
      <c r="DJ10" s="17"/>
      <c r="DK10" s="20"/>
      <c r="DL10" s="92"/>
      <c r="DM10" s="93"/>
      <c r="DN10" s="92"/>
      <c r="DO10" s="94"/>
      <c r="DP10" s="95"/>
      <c r="DQ10" s="17"/>
      <c r="DR10" s="17"/>
      <c r="DS10" s="17"/>
      <c r="DT10" s="20"/>
      <c r="DU10" s="92"/>
      <c r="DV10" s="93"/>
      <c r="DW10" s="92"/>
      <c r="DX10" s="94"/>
      <c r="DY10" s="95"/>
      <c r="DZ10" s="17"/>
      <c r="EA10" s="17"/>
      <c r="EB10" s="17"/>
      <c r="EC10" s="20"/>
      <c r="ED10" s="92"/>
      <c r="EE10" s="93"/>
      <c r="EF10" s="92"/>
      <c r="EG10" s="94"/>
      <c r="EH10" s="95"/>
      <c r="EI10" s="17"/>
      <c r="EJ10" s="17"/>
      <c r="EK10" s="17"/>
      <c r="EL10" s="20"/>
      <c r="EM10" s="92"/>
      <c r="EN10" s="93"/>
      <c r="EO10" s="92"/>
      <c r="EP10" s="94"/>
      <c r="EQ10" s="95"/>
      <c r="ER10" s="17"/>
      <c r="ES10" s="17"/>
      <c r="ET10" s="17"/>
      <c r="EU10" s="20"/>
      <c r="EV10" s="92"/>
      <c r="EW10" s="93"/>
      <c r="EX10" s="92"/>
      <c r="EY10" s="94"/>
      <c r="EZ10" s="95"/>
      <c r="FA10" s="17"/>
      <c r="FB10" s="17"/>
      <c r="FC10" s="17"/>
      <c r="FD10" s="20"/>
      <c r="FE10" s="92"/>
      <c r="FF10" s="93"/>
      <c r="FG10" s="92"/>
      <c r="FH10" s="94"/>
      <c r="FI10" s="95"/>
      <c r="FJ10" s="17"/>
      <c r="FK10" s="17"/>
      <c r="FL10" s="17"/>
      <c r="FM10" s="20"/>
      <c r="FN10" s="92"/>
      <c r="FO10" s="93"/>
      <c r="FP10" s="92"/>
      <c r="FQ10" s="94"/>
      <c r="FR10" s="95"/>
      <c r="FS10" s="17"/>
      <c r="FT10" s="17"/>
      <c r="FU10" s="17"/>
      <c r="FV10" s="20"/>
      <c r="FW10" s="92"/>
      <c r="FX10" s="93"/>
      <c r="FY10" s="92"/>
      <c r="FZ10" s="94"/>
      <c r="GA10" s="95"/>
      <c r="GB10" s="17"/>
      <c r="GC10" s="17"/>
      <c r="GD10" s="17"/>
      <c r="GE10" s="20"/>
      <c r="GF10" s="92"/>
      <c r="GG10" s="93"/>
      <c r="GH10" s="92"/>
      <c r="GI10" s="94"/>
      <c r="GJ10" s="95"/>
      <c r="GK10" s="17"/>
      <c r="GL10" s="17"/>
      <c r="GM10" s="17"/>
      <c r="GN10" s="20"/>
      <c r="GO10" s="92"/>
      <c r="GP10" s="93"/>
      <c r="GQ10" s="92"/>
      <c r="GR10" s="94"/>
      <c r="GS10" s="95"/>
      <c r="GT10" s="97">
        <v>42916</v>
      </c>
      <c r="GU10" s="98">
        <v>22176</v>
      </c>
      <c r="GV10" s="532" t="s">
        <v>503</v>
      </c>
      <c r="GW10" s="74"/>
      <c r="GX10" s="74"/>
      <c r="GY10" s="167" t="s">
        <v>598</v>
      </c>
      <c r="GZ10" s="86">
        <v>3712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45</v>
      </c>
      <c r="K11" s="407" t="s">
        <v>37</v>
      </c>
      <c r="L11" s="70">
        <v>18730</v>
      </c>
      <c r="M11" s="71">
        <v>42892</v>
      </c>
      <c r="N11" s="56" t="s">
        <v>537</v>
      </c>
      <c r="O11" s="72">
        <v>23510</v>
      </c>
      <c r="P11" s="60">
        <f t="shared" si="0"/>
        <v>4780</v>
      </c>
      <c r="Q11" s="518">
        <v>28.5</v>
      </c>
      <c r="R11" s="64"/>
      <c r="S11" s="99"/>
      <c r="T11" s="39">
        <f t="shared" si="1"/>
        <v>670035</v>
      </c>
      <c r="U11" s="90" t="s">
        <v>72</v>
      </c>
      <c r="V11" s="83">
        <v>42915</v>
      </c>
      <c r="W11" s="91">
        <v>15080</v>
      </c>
      <c r="X11" s="17"/>
      <c r="Y11" s="20"/>
      <c r="Z11" s="92"/>
      <c r="AA11" s="93"/>
      <c r="AB11" s="92"/>
      <c r="AC11" s="94"/>
      <c r="AD11" s="95"/>
      <c r="AE11" s="17"/>
      <c r="AF11" s="17"/>
      <c r="AG11" s="17"/>
      <c r="AH11" s="20"/>
      <c r="AI11" s="92"/>
      <c r="AJ11" s="93"/>
      <c r="AK11" s="92"/>
      <c r="AL11" s="94"/>
      <c r="AM11" s="95"/>
      <c r="AN11" s="17"/>
      <c r="AO11" s="17"/>
      <c r="AP11" s="17"/>
      <c r="AQ11" s="20"/>
      <c r="AR11" s="92"/>
      <c r="AS11" s="93"/>
      <c r="AT11" s="92"/>
      <c r="AU11" s="94"/>
      <c r="AV11" s="95"/>
      <c r="AW11" s="17"/>
      <c r="AX11" s="17"/>
      <c r="AY11" s="17"/>
      <c r="AZ11" s="20"/>
      <c r="BA11" s="92"/>
      <c r="BB11" s="93"/>
      <c r="BC11" s="92"/>
      <c r="BD11" s="94"/>
      <c r="BE11" s="95"/>
      <c r="BF11" s="17"/>
      <c r="BG11" s="17"/>
      <c r="BH11" s="17"/>
      <c r="BI11" s="20"/>
      <c r="BJ11" s="92"/>
      <c r="BK11" s="93"/>
      <c r="BL11" s="92"/>
      <c r="BM11" s="94"/>
      <c r="BN11" s="95"/>
      <c r="BO11" s="17"/>
      <c r="BP11" s="17"/>
      <c r="BQ11" s="17"/>
      <c r="BR11" s="20"/>
      <c r="BS11" s="92"/>
      <c r="BT11" s="93"/>
      <c r="BU11" s="92"/>
      <c r="BV11" s="94"/>
      <c r="BW11" s="95"/>
      <c r="BX11" s="17"/>
      <c r="BY11" s="17"/>
      <c r="BZ11" s="17"/>
      <c r="CA11" s="20"/>
      <c r="CB11" s="92"/>
      <c r="CC11" s="93"/>
      <c r="CD11" s="92"/>
      <c r="CE11" s="94"/>
      <c r="CF11" s="95"/>
      <c r="CG11" s="17"/>
      <c r="CH11" s="17"/>
      <c r="CI11" s="17"/>
      <c r="CJ11" s="20"/>
      <c r="CK11" s="92"/>
      <c r="CL11" s="93"/>
      <c r="CM11" s="92"/>
      <c r="CN11" s="94"/>
      <c r="CO11" s="95"/>
      <c r="CP11" s="17"/>
      <c r="CQ11" s="17"/>
      <c r="CR11" s="17"/>
      <c r="CS11" s="20"/>
      <c r="CT11" s="92"/>
      <c r="CU11" s="93"/>
      <c r="CV11" s="96"/>
      <c r="CW11" s="94"/>
      <c r="CX11" s="95"/>
      <c r="CY11" s="17"/>
      <c r="CZ11" s="17"/>
      <c r="DA11" s="17"/>
      <c r="DB11" s="20"/>
      <c r="DC11" s="92"/>
      <c r="DD11" s="93"/>
      <c r="DE11" s="92"/>
      <c r="DF11" s="94"/>
      <c r="DG11" s="95"/>
      <c r="DH11" s="17"/>
      <c r="DI11" s="17"/>
      <c r="DJ11" s="17"/>
      <c r="DK11" s="20"/>
      <c r="DL11" s="92"/>
      <c r="DM11" s="93"/>
      <c r="DN11" s="92"/>
      <c r="DO11" s="94"/>
      <c r="DP11" s="95"/>
      <c r="DQ11" s="17"/>
      <c r="DR11" s="17"/>
      <c r="DS11" s="17"/>
      <c r="DT11" s="20"/>
      <c r="DU11" s="92"/>
      <c r="DV11" s="93"/>
      <c r="DW11" s="92"/>
      <c r="DX11" s="94"/>
      <c r="DY11" s="95"/>
      <c r="DZ11" s="17"/>
      <c r="EA11" s="17"/>
      <c r="EB11" s="17"/>
      <c r="EC11" s="20"/>
      <c r="ED11" s="92"/>
      <c r="EE11" s="93"/>
      <c r="EF11" s="92"/>
      <c r="EG11" s="94"/>
      <c r="EH11" s="95"/>
      <c r="EI11" s="17"/>
      <c r="EJ11" s="17"/>
      <c r="EK11" s="17"/>
      <c r="EL11" s="20"/>
      <c r="EM11" s="92"/>
      <c r="EN11" s="93"/>
      <c r="EO11" s="92"/>
      <c r="EP11" s="94"/>
      <c r="EQ11" s="95"/>
      <c r="ER11" s="17"/>
      <c r="ES11" s="17"/>
      <c r="ET11" s="17"/>
      <c r="EU11" s="20"/>
      <c r="EV11" s="92"/>
      <c r="EW11" s="93"/>
      <c r="EX11" s="92"/>
      <c r="EY11" s="94"/>
      <c r="EZ11" s="95"/>
      <c r="FA11" s="17"/>
      <c r="FB11" s="17"/>
      <c r="FC11" s="17"/>
      <c r="FD11" s="20"/>
      <c r="FE11" s="92"/>
      <c r="FF11" s="93"/>
      <c r="FG11" s="92"/>
      <c r="FH11" s="94"/>
      <c r="FI11" s="95"/>
      <c r="FJ11" s="17"/>
      <c r="FK11" s="17"/>
      <c r="FL11" s="17"/>
      <c r="FM11" s="20"/>
      <c r="FN11" s="92"/>
      <c r="FO11" s="93"/>
      <c r="FP11" s="92"/>
      <c r="FQ11" s="94"/>
      <c r="FR11" s="95"/>
      <c r="FS11" s="17"/>
      <c r="FT11" s="17"/>
      <c r="FU11" s="17"/>
      <c r="FV11" s="20"/>
      <c r="FW11" s="92"/>
      <c r="FX11" s="93"/>
      <c r="FY11" s="92"/>
      <c r="FZ11" s="94"/>
      <c r="GA11" s="95"/>
      <c r="GB11" s="17"/>
      <c r="GC11" s="17"/>
      <c r="GD11" s="17"/>
      <c r="GE11" s="20"/>
      <c r="GF11" s="92"/>
      <c r="GG11" s="93"/>
      <c r="GH11" s="92"/>
      <c r="GI11" s="94"/>
      <c r="GJ11" s="95"/>
      <c r="GK11" s="17"/>
      <c r="GL11" s="17"/>
      <c r="GM11" s="17"/>
      <c r="GN11" s="20"/>
      <c r="GO11" s="92"/>
      <c r="GP11" s="93"/>
      <c r="GQ11" s="92"/>
      <c r="GR11" s="94"/>
      <c r="GS11" s="95"/>
      <c r="GT11" s="97">
        <v>42915</v>
      </c>
      <c r="GU11" s="98"/>
      <c r="GV11" s="65"/>
      <c r="GW11" s="74"/>
      <c r="GX11" s="74"/>
      <c r="GY11" s="167" t="s">
        <v>598</v>
      </c>
      <c r="GZ11" s="86">
        <v>3712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481</v>
      </c>
      <c r="K12" s="449" t="s">
        <v>37</v>
      </c>
      <c r="L12" s="101">
        <v>18530</v>
      </c>
      <c r="M12" s="102">
        <v>42893</v>
      </c>
      <c r="N12" s="416" t="s">
        <v>569</v>
      </c>
      <c r="O12" s="104">
        <v>23270</v>
      </c>
      <c r="P12" s="60">
        <f t="shared" si="0"/>
        <v>4740</v>
      </c>
      <c r="Q12" s="29">
        <v>28.5</v>
      </c>
      <c r="R12" s="105"/>
      <c r="S12" s="106"/>
      <c r="T12" s="39">
        <f t="shared" si="1"/>
        <v>663195</v>
      </c>
      <c r="U12" s="409" t="s">
        <v>72</v>
      </c>
      <c r="V12" s="410">
        <v>42919</v>
      </c>
      <c r="W12" s="354">
        <v>15080</v>
      </c>
      <c r="X12" s="355"/>
      <c r="Y12" s="356"/>
      <c r="Z12" s="357"/>
      <c r="AA12" s="358"/>
      <c r="AB12" s="357"/>
      <c r="AC12" s="359"/>
      <c r="AD12" s="360"/>
      <c r="AE12" s="355"/>
      <c r="AF12" s="355"/>
      <c r="AG12" s="355"/>
      <c r="AH12" s="356"/>
      <c r="AI12" s="357"/>
      <c r="AJ12" s="358"/>
      <c r="AK12" s="357"/>
      <c r="AL12" s="359"/>
      <c r="AM12" s="360"/>
      <c r="AN12" s="355"/>
      <c r="AO12" s="355"/>
      <c r="AP12" s="355"/>
      <c r="AQ12" s="356"/>
      <c r="AR12" s="357"/>
      <c r="AS12" s="358"/>
      <c r="AT12" s="357"/>
      <c r="AU12" s="359"/>
      <c r="AV12" s="360"/>
      <c r="AW12" s="355"/>
      <c r="AX12" s="355"/>
      <c r="AY12" s="355"/>
      <c r="AZ12" s="356"/>
      <c r="BA12" s="357"/>
      <c r="BB12" s="358"/>
      <c r="BC12" s="357"/>
      <c r="BD12" s="359"/>
      <c r="BE12" s="360"/>
      <c r="BF12" s="355"/>
      <c r="BG12" s="355"/>
      <c r="BH12" s="355"/>
      <c r="BI12" s="356"/>
      <c r="BJ12" s="357"/>
      <c r="BK12" s="358"/>
      <c r="BL12" s="357"/>
      <c r="BM12" s="359"/>
      <c r="BN12" s="360"/>
      <c r="BO12" s="355"/>
      <c r="BP12" s="355"/>
      <c r="BQ12" s="355"/>
      <c r="BR12" s="356"/>
      <c r="BS12" s="357"/>
      <c r="BT12" s="358"/>
      <c r="BU12" s="357"/>
      <c r="BV12" s="359"/>
      <c r="BW12" s="360"/>
      <c r="BX12" s="355"/>
      <c r="BY12" s="355"/>
      <c r="BZ12" s="355"/>
      <c r="CA12" s="356"/>
      <c r="CB12" s="357"/>
      <c r="CC12" s="358"/>
      <c r="CD12" s="357"/>
      <c r="CE12" s="359"/>
      <c r="CF12" s="360"/>
      <c r="CG12" s="355"/>
      <c r="CH12" s="355"/>
      <c r="CI12" s="355"/>
      <c r="CJ12" s="356"/>
      <c r="CK12" s="357"/>
      <c r="CL12" s="358"/>
      <c r="CM12" s="357"/>
      <c r="CN12" s="359"/>
      <c r="CO12" s="360"/>
      <c r="CP12" s="355"/>
      <c r="CQ12" s="355"/>
      <c r="CR12" s="355"/>
      <c r="CS12" s="356"/>
      <c r="CT12" s="357"/>
      <c r="CU12" s="358"/>
      <c r="CV12" s="361"/>
      <c r="CW12" s="359"/>
      <c r="CX12" s="360"/>
      <c r="CY12" s="355"/>
      <c r="CZ12" s="355"/>
      <c r="DA12" s="355"/>
      <c r="DB12" s="356"/>
      <c r="DC12" s="357"/>
      <c r="DD12" s="358"/>
      <c r="DE12" s="357"/>
      <c r="DF12" s="359"/>
      <c r="DG12" s="360"/>
      <c r="DH12" s="355"/>
      <c r="DI12" s="355"/>
      <c r="DJ12" s="355"/>
      <c r="DK12" s="356"/>
      <c r="DL12" s="357"/>
      <c r="DM12" s="358"/>
      <c r="DN12" s="357"/>
      <c r="DO12" s="359"/>
      <c r="DP12" s="360"/>
      <c r="DQ12" s="355"/>
      <c r="DR12" s="355"/>
      <c r="DS12" s="355"/>
      <c r="DT12" s="356"/>
      <c r="DU12" s="357"/>
      <c r="DV12" s="358"/>
      <c r="DW12" s="357"/>
      <c r="DX12" s="359"/>
      <c r="DY12" s="360"/>
      <c r="DZ12" s="355"/>
      <c r="EA12" s="355"/>
      <c r="EB12" s="355"/>
      <c r="EC12" s="356"/>
      <c r="ED12" s="357"/>
      <c r="EE12" s="358"/>
      <c r="EF12" s="357"/>
      <c r="EG12" s="359"/>
      <c r="EH12" s="360"/>
      <c r="EI12" s="355"/>
      <c r="EJ12" s="355"/>
      <c r="EK12" s="355"/>
      <c r="EL12" s="356"/>
      <c r="EM12" s="357"/>
      <c r="EN12" s="358"/>
      <c r="EO12" s="357"/>
      <c r="EP12" s="359"/>
      <c r="EQ12" s="360"/>
      <c r="ER12" s="355"/>
      <c r="ES12" s="355"/>
      <c r="ET12" s="355"/>
      <c r="EU12" s="356"/>
      <c r="EV12" s="357"/>
      <c r="EW12" s="358"/>
      <c r="EX12" s="357"/>
      <c r="EY12" s="359"/>
      <c r="EZ12" s="360"/>
      <c r="FA12" s="355"/>
      <c r="FB12" s="355"/>
      <c r="FC12" s="355"/>
      <c r="FD12" s="356"/>
      <c r="FE12" s="357"/>
      <c r="FF12" s="358"/>
      <c r="FG12" s="357"/>
      <c r="FH12" s="359"/>
      <c r="FI12" s="360"/>
      <c r="FJ12" s="355"/>
      <c r="FK12" s="355"/>
      <c r="FL12" s="355"/>
      <c r="FM12" s="356"/>
      <c r="FN12" s="357"/>
      <c r="FO12" s="358"/>
      <c r="FP12" s="357"/>
      <c r="FQ12" s="359"/>
      <c r="FR12" s="360"/>
      <c r="FS12" s="355"/>
      <c r="FT12" s="355"/>
      <c r="FU12" s="355"/>
      <c r="FV12" s="356"/>
      <c r="FW12" s="357"/>
      <c r="FX12" s="358"/>
      <c r="FY12" s="357"/>
      <c r="FZ12" s="359"/>
      <c r="GA12" s="360"/>
      <c r="GB12" s="355"/>
      <c r="GC12" s="355"/>
      <c r="GD12" s="355"/>
      <c r="GE12" s="356"/>
      <c r="GF12" s="357"/>
      <c r="GG12" s="358"/>
      <c r="GH12" s="357"/>
      <c r="GI12" s="359"/>
      <c r="GJ12" s="360"/>
      <c r="GK12" s="355"/>
      <c r="GL12" s="355"/>
      <c r="GM12" s="355"/>
      <c r="GN12" s="356"/>
      <c r="GO12" s="357"/>
      <c r="GP12" s="358"/>
      <c r="GQ12" s="357"/>
      <c r="GR12" s="359"/>
      <c r="GS12" s="360"/>
      <c r="GT12" s="362">
        <v>42919</v>
      </c>
      <c r="GU12" s="98">
        <v>22176</v>
      </c>
      <c r="GV12" s="532" t="s">
        <v>504</v>
      </c>
      <c r="GW12" s="74"/>
      <c r="GX12" s="74"/>
      <c r="GY12" s="167" t="s">
        <v>598</v>
      </c>
      <c r="GZ12" s="86">
        <v>3712</v>
      </c>
    </row>
    <row r="13" spans="1:208" ht="30" x14ac:dyDescent="0.25">
      <c r="C13" s="87"/>
      <c r="D13" s="35"/>
      <c r="E13" s="36"/>
      <c r="F13" s="37"/>
      <c r="G13" s="38"/>
      <c r="H13" s="39"/>
      <c r="I13" s="40"/>
      <c r="J13" s="68" t="s">
        <v>481</v>
      </c>
      <c r="K13" s="407" t="s">
        <v>92</v>
      </c>
      <c r="L13" s="110">
        <v>11140</v>
      </c>
      <c r="M13" s="71">
        <v>42894</v>
      </c>
      <c r="N13" s="380" t="s">
        <v>579</v>
      </c>
      <c r="O13" s="72">
        <f>14490-111.46</f>
        <v>14378.54</v>
      </c>
      <c r="P13" s="60">
        <f t="shared" si="0"/>
        <v>3238.5400000000009</v>
      </c>
      <c r="Q13" s="64">
        <v>28.5</v>
      </c>
      <c r="R13" s="64"/>
      <c r="S13" s="111"/>
      <c r="T13" s="39">
        <f t="shared" si="1"/>
        <v>409788.39</v>
      </c>
      <c r="U13" s="352" t="s">
        <v>72</v>
      </c>
      <c r="V13" s="353">
        <v>42920</v>
      </c>
      <c r="W13" s="354">
        <v>9802</v>
      </c>
      <c r="X13" s="355"/>
      <c r="Y13" s="356"/>
      <c r="Z13" s="357"/>
      <c r="AA13" s="358"/>
      <c r="AB13" s="357"/>
      <c r="AC13" s="359"/>
      <c r="AD13" s="360"/>
      <c r="AE13" s="355"/>
      <c r="AF13" s="355"/>
      <c r="AG13" s="355"/>
      <c r="AH13" s="356"/>
      <c r="AI13" s="357"/>
      <c r="AJ13" s="358"/>
      <c r="AK13" s="357"/>
      <c r="AL13" s="359"/>
      <c r="AM13" s="360"/>
      <c r="AN13" s="355"/>
      <c r="AO13" s="355"/>
      <c r="AP13" s="355"/>
      <c r="AQ13" s="356"/>
      <c r="AR13" s="357"/>
      <c r="AS13" s="358"/>
      <c r="AT13" s="357"/>
      <c r="AU13" s="359"/>
      <c r="AV13" s="360"/>
      <c r="AW13" s="355"/>
      <c r="AX13" s="355"/>
      <c r="AY13" s="355"/>
      <c r="AZ13" s="356"/>
      <c r="BA13" s="357"/>
      <c r="BB13" s="358"/>
      <c r="BC13" s="357"/>
      <c r="BD13" s="359"/>
      <c r="BE13" s="360"/>
      <c r="BF13" s="355"/>
      <c r="BG13" s="355"/>
      <c r="BH13" s="355"/>
      <c r="BI13" s="356"/>
      <c r="BJ13" s="357"/>
      <c r="BK13" s="358"/>
      <c r="BL13" s="357"/>
      <c r="BM13" s="359"/>
      <c r="BN13" s="360"/>
      <c r="BO13" s="355"/>
      <c r="BP13" s="355"/>
      <c r="BQ13" s="355"/>
      <c r="BR13" s="356"/>
      <c r="BS13" s="357"/>
      <c r="BT13" s="358"/>
      <c r="BU13" s="357"/>
      <c r="BV13" s="359"/>
      <c r="BW13" s="360"/>
      <c r="BX13" s="355"/>
      <c r="BY13" s="355"/>
      <c r="BZ13" s="355"/>
      <c r="CA13" s="356"/>
      <c r="CB13" s="357"/>
      <c r="CC13" s="358"/>
      <c r="CD13" s="357"/>
      <c r="CE13" s="359"/>
      <c r="CF13" s="360"/>
      <c r="CG13" s="355"/>
      <c r="CH13" s="355"/>
      <c r="CI13" s="355"/>
      <c r="CJ13" s="356"/>
      <c r="CK13" s="357"/>
      <c r="CL13" s="358"/>
      <c r="CM13" s="357"/>
      <c r="CN13" s="359"/>
      <c r="CO13" s="360"/>
      <c r="CP13" s="355"/>
      <c r="CQ13" s="355"/>
      <c r="CR13" s="355"/>
      <c r="CS13" s="356"/>
      <c r="CT13" s="357"/>
      <c r="CU13" s="358"/>
      <c r="CV13" s="361"/>
      <c r="CW13" s="359"/>
      <c r="CX13" s="360"/>
      <c r="CY13" s="355"/>
      <c r="CZ13" s="355"/>
      <c r="DA13" s="355"/>
      <c r="DB13" s="356"/>
      <c r="DC13" s="357"/>
      <c r="DD13" s="358"/>
      <c r="DE13" s="357"/>
      <c r="DF13" s="359"/>
      <c r="DG13" s="360"/>
      <c r="DH13" s="355"/>
      <c r="DI13" s="355"/>
      <c r="DJ13" s="355"/>
      <c r="DK13" s="356"/>
      <c r="DL13" s="357"/>
      <c r="DM13" s="358"/>
      <c r="DN13" s="357"/>
      <c r="DO13" s="359"/>
      <c r="DP13" s="360"/>
      <c r="DQ13" s="355"/>
      <c r="DR13" s="355"/>
      <c r="DS13" s="355"/>
      <c r="DT13" s="356"/>
      <c r="DU13" s="357"/>
      <c r="DV13" s="358"/>
      <c r="DW13" s="357"/>
      <c r="DX13" s="359"/>
      <c r="DY13" s="360"/>
      <c r="DZ13" s="355"/>
      <c r="EA13" s="355"/>
      <c r="EB13" s="355"/>
      <c r="EC13" s="356"/>
      <c r="ED13" s="357"/>
      <c r="EE13" s="358"/>
      <c r="EF13" s="357"/>
      <c r="EG13" s="359"/>
      <c r="EH13" s="360"/>
      <c r="EI13" s="355"/>
      <c r="EJ13" s="355"/>
      <c r="EK13" s="355"/>
      <c r="EL13" s="356"/>
      <c r="EM13" s="357"/>
      <c r="EN13" s="358"/>
      <c r="EO13" s="357"/>
      <c r="EP13" s="359"/>
      <c r="EQ13" s="360"/>
      <c r="ER13" s="355"/>
      <c r="ES13" s="355"/>
      <c r="ET13" s="355"/>
      <c r="EU13" s="356"/>
      <c r="EV13" s="357"/>
      <c r="EW13" s="358"/>
      <c r="EX13" s="357"/>
      <c r="EY13" s="359"/>
      <c r="EZ13" s="360"/>
      <c r="FA13" s="355"/>
      <c r="FB13" s="355"/>
      <c r="FC13" s="355"/>
      <c r="FD13" s="356"/>
      <c r="FE13" s="357"/>
      <c r="FF13" s="358"/>
      <c r="FG13" s="357"/>
      <c r="FH13" s="359"/>
      <c r="FI13" s="360"/>
      <c r="FJ13" s="355"/>
      <c r="FK13" s="355"/>
      <c r="FL13" s="355"/>
      <c r="FM13" s="356"/>
      <c r="FN13" s="357"/>
      <c r="FO13" s="358"/>
      <c r="FP13" s="357"/>
      <c r="FQ13" s="359"/>
      <c r="FR13" s="360"/>
      <c r="FS13" s="355"/>
      <c r="FT13" s="355"/>
      <c r="FU13" s="355"/>
      <c r="FV13" s="356"/>
      <c r="FW13" s="357"/>
      <c r="FX13" s="358"/>
      <c r="FY13" s="357"/>
      <c r="FZ13" s="359"/>
      <c r="GA13" s="360"/>
      <c r="GB13" s="355"/>
      <c r="GC13" s="355"/>
      <c r="GD13" s="355"/>
      <c r="GE13" s="356"/>
      <c r="GF13" s="357"/>
      <c r="GG13" s="358"/>
      <c r="GH13" s="357"/>
      <c r="GI13" s="359"/>
      <c r="GJ13" s="360"/>
      <c r="GK13" s="355"/>
      <c r="GL13" s="355"/>
      <c r="GM13" s="355"/>
      <c r="GN13" s="356"/>
      <c r="GO13" s="357"/>
      <c r="GP13" s="358"/>
      <c r="GQ13" s="357"/>
      <c r="GR13" s="359"/>
      <c r="GS13" s="360"/>
      <c r="GT13" s="362">
        <v>42920</v>
      </c>
      <c r="GU13" s="98">
        <v>17584</v>
      </c>
      <c r="GV13" s="532" t="s">
        <v>505</v>
      </c>
      <c r="GW13" s="74"/>
      <c r="GX13" s="74"/>
      <c r="GY13" s="390" t="s">
        <v>598</v>
      </c>
      <c r="GZ13" s="86">
        <v>2088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38</v>
      </c>
      <c r="K14" s="407" t="s">
        <v>41</v>
      </c>
      <c r="L14" s="110">
        <v>22310</v>
      </c>
      <c r="M14" s="71">
        <v>42894</v>
      </c>
      <c r="N14" s="56" t="s">
        <v>536</v>
      </c>
      <c r="O14" s="72">
        <v>27885</v>
      </c>
      <c r="P14" s="60">
        <f t="shared" si="0"/>
        <v>5575</v>
      </c>
      <c r="Q14" s="64">
        <v>28.5</v>
      </c>
      <c r="R14" s="905"/>
      <c r="S14" s="906"/>
      <c r="T14" s="39">
        <f t="shared" si="1"/>
        <v>794722.5</v>
      </c>
      <c r="U14" s="90" t="s">
        <v>72</v>
      </c>
      <c r="V14" s="112">
        <v>42914</v>
      </c>
      <c r="W14" s="373">
        <v>18850</v>
      </c>
      <c r="X14" s="146"/>
      <c r="Y14" s="147"/>
      <c r="Z14" s="148"/>
      <c r="AA14" s="149"/>
      <c r="AB14" s="148"/>
      <c r="AC14" s="150"/>
      <c r="AD14" s="151"/>
      <c r="AE14" s="146"/>
      <c r="AF14" s="146"/>
      <c r="AG14" s="146"/>
      <c r="AH14" s="147"/>
      <c r="AI14" s="148"/>
      <c r="AJ14" s="149"/>
      <c r="AK14" s="148"/>
      <c r="AL14" s="150"/>
      <c r="AM14" s="151"/>
      <c r="AN14" s="146"/>
      <c r="AO14" s="146"/>
      <c r="AP14" s="146"/>
      <c r="AQ14" s="147"/>
      <c r="AR14" s="148"/>
      <c r="AS14" s="149"/>
      <c r="AT14" s="148"/>
      <c r="AU14" s="150"/>
      <c r="AV14" s="151"/>
      <c r="AW14" s="146"/>
      <c r="AX14" s="146"/>
      <c r="AY14" s="146"/>
      <c r="AZ14" s="147"/>
      <c r="BA14" s="148"/>
      <c r="BB14" s="149"/>
      <c r="BC14" s="148"/>
      <c r="BD14" s="150"/>
      <c r="BE14" s="151"/>
      <c r="BF14" s="146"/>
      <c r="BG14" s="146"/>
      <c r="BH14" s="146"/>
      <c r="BI14" s="147"/>
      <c r="BJ14" s="148"/>
      <c r="BK14" s="149"/>
      <c r="BL14" s="148"/>
      <c r="BM14" s="150"/>
      <c r="BN14" s="151"/>
      <c r="BO14" s="146"/>
      <c r="BP14" s="146"/>
      <c r="BQ14" s="146"/>
      <c r="BR14" s="147"/>
      <c r="BS14" s="148"/>
      <c r="BT14" s="149"/>
      <c r="BU14" s="148"/>
      <c r="BV14" s="150"/>
      <c r="BW14" s="151"/>
      <c r="BX14" s="146"/>
      <c r="BY14" s="146"/>
      <c r="BZ14" s="146"/>
      <c r="CA14" s="147"/>
      <c r="CB14" s="148"/>
      <c r="CC14" s="149"/>
      <c r="CD14" s="148"/>
      <c r="CE14" s="150"/>
      <c r="CF14" s="151"/>
      <c r="CG14" s="146"/>
      <c r="CH14" s="146"/>
      <c r="CI14" s="146"/>
      <c r="CJ14" s="147"/>
      <c r="CK14" s="148"/>
      <c r="CL14" s="149"/>
      <c r="CM14" s="148"/>
      <c r="CN14" s="150"/>
      <c r="CO14" s="151"/>
      <c r="CP14" s="146"/>
      <c r="CQ14" s="146"/>
      <c r="CR14" s="146"/>
      <c r="CS14" s="147"/>
      <c r="CT14" s="148"/>
      <c r="CU14" s="149"/>
      <c r="CV14" s="374"/>
      <c r="CW14" s="150"/>
      <c r="CX14" s="151"/>
      <c r="CY14" s="146"/>
      <c r="CZ14" s="146"/>
      <c r="DA14" s="146"/>
      <c r="DB14" s="147"/>
      <c r="DC14" s="148"/>
      <c r="DD14" s="149"/>
      <c r="DE14" s="148"/>
      <c r="DF14" s="150"/>
      <c r="DG14" s="151"/>
      <c r="DH14" s="146"/>
      <c r="DI14" s="146"/>
      <c r="DJ14" s="146"/>
      <c r="DK14" s="147"/>
      <c r="DL14" s="148"/>
      <c r="DM14" s="149"/>
      <c r="DN14" s="148"/>
      <c r="DO14" s="150"/>
      <c r="DP14" s="151"/>
      <c r="DQ14" s="146"/>
      <c r="DR14" s="146"/>
      <c r="DS14" s="146"/>
      <c r="DT14" s="147"/>
      <c r="DU14" s="148"/>
      <c r="DV14" s="149"/>
      <c r="DW14" s="148"/>
      <c r="DX14" s="150"/>
      <c r="DY14" s="151"/>
      <c r="DZ14" s="146"/>
      <c r="EA14" s="146"/>
      <c r="EB14" s="146"/>
      <c r="EC14" s="147"/>
      <c r="ED14" s="148"/>
      <c r="EE14" s="149"/>
      <c r="EF14" s="148"/>
      <c r="EG14" s="150"/>
      <c r="EH14" s="151"/>
      <c r="EI14" s="146"/>
      <c r="EJ14" s="146"/>
      <c r="EK14" s="146"/>
      <c r="EL14" s="147"/>
      <c r="EM14" s="148"/>
      <c r="EN14" s="149"/>
      <c r="EO14" s="148"/>
      <c r="EP14" s="150"/>
      <c r="EQ14" s="151"/>
      <c r="ER14" s="146"/>
      <c r="ES14" s="146"/>
      <c r="ET14" s="146"/>
      <c r="EU14" s="147"/>
      <c r="EV14" s="148"/>
      <c r="EW14" s="149"/>
      <c r="EX14" s="148"/>
      <c r="EY14" s="150"/>
      <c r="EZ14" s="151"/>
      <c r="FA14" s="146"/>
      <c r="FB14" s="146"/>
      <c r="FC14" s="146"/>
      <c r="FD14" s="147"/>
      <c r="FE14" s="148"/>
      <c r="FF14" s="149"/>
      <c r="FG14" s="148"/>
      <c r="FH14" s="150"/>
      <c r="FI14" s="151"/>
      <c r="FJ14" s="146"/>
      <c r="FK14" s="146"/>
      <c r="FL14" s="146"/>
      <c r="FM14" s="147"/>
      <c r="FN14" s="148"/>
      <c r="FO14" s="149"/>
      <c r="FP14" s="148"/>
      <c r="FQ14" s="150"/>
      <c r="FR14" s="151"/>
      <c r="FS14" s="146"/>
      <c r="FT14" s="146"/>
      <c r="FU14" s="146"/>
      <c r="FV14" s="147"/>
      <c r="FW14" s="148"/>
      <c r="FX14" s="149"/>
      <c r="FY14" s="148"/>
      <c r="FZ14" s="150"/>
      <c r="GA14" s="151"/>
      <c r="GB14" s="146"/>
      <c r="GC14" s="146"/>
      <c r="GD14" s="146"/>
      <c r="GE14" s="147"/>
      <c r="GF14" s="148"/>
      <c r="GG14" s="149"/>
      <c r="GH14" s="148"/>
      <c r="GI14" s="150"/>
      <c r="GJ14" s="151"/>
      <c r="GK14" s="146"/>
      <c r="GL14" s="146"/>
      <c r="GM14" s="146"/>
      <c r="GN14" s="147"/>
      <c r="GO14" s="148"/>
      <c r="GP14" s="149"/>
      <c r="GQ14" s="148"/>
      <c r="GR14" s="150"/>
      <c r="GS14" s="151"/>
      <c r="GT14" s="152">
        <v>42914</v>
      </c>
      <c r="GU14" s="114"/>
      <c r="GV14" s="65"/>
      <c r="GW14" s="74"/>
      <c r="GX14" s="74"/>
      <c r="GY14" s="167" t="s">
        <v>598</v>
      </c>
      <c r="GZ14" s="86">
        <v>3712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68" t="s">
        <v>483</v>
      </c>
      <c r="K15" s="407" t="s">
        <v>59</v>
      </c>
      <c r="L15" s="110">
        <v>17780</v>
      </c>
      <c r="M15" s="71">
        <v>42895</v>
      </c>
      <c r="N15" s="380" t="s">
        <v>570</v>
      </c>
      <c r="O15" s="72">
        <v>25720</v>
      </c>
      <c r="P15" s="113">
        <f t="shared" si="0"/>
        <v>7940</v>
      </c>
      <c r="Q15" s="64">
        <v>28.5</v>
      </c>
      <c r="R15" s="64"/>
      <c r="S15" s="64"/>
      <c r="T15" s="39">
        <f t="shared" si="1"/>
        <v>733020</v>
      </c>
      <c r="U15" s="352" t="s">
        <v>72</v>
      </c>
      <c r="V15" s="353">
        <v>42919</v>
      </c>
      <c r="W15" s="354">
        <v>17342</v>
      </c>
      <c r="X15" s="355"/>
      <c r="Y15" s="356"/>
      <c r="Z15" s="357"/>
      <c r="AA15" s="358"/>
      <c r="AB15" s="357"/>
      <c r="AC15" s="359"/>
      <c r="AD15" s="360"/>
      <c r="AE15" s="355"/>
      <c r="AF15" s="355"/>
      <c r="AG15" s="355"/>
      <c r="AH15" s="356"/>
      <c r="AI15" s="357"/>
      <c r="AJ15" s="358"/>
      <c r="AK15" s="357"/>
      <c r="AL15" s="359"/>
      <c r="AM15" s="360"/>
      <c r="AN15" s="355"/>
      <c r="AO15" s="355"/>
      <c r="AP15" s="355"/>
      <c r="AQ15" s="356"/>
      <c r="AR15" s="357"/>
      <c r="AS15" s="358"/>
      <c r="AT15" s="357"/>
      <c r="AU15" s="359"/>
      <c r="AV15" s="360"/>
      <c r="AW15" s="355"/>
      <c r="AX15" s="355"/>
      <c r="AY15" s="355"/>
      <c r="AZ15" s="356"/>
      <c r="BA15" s="357"/>
      <c r="BB15" s="358"/>
      <c r="BC15" s="357"/>
      <c r="BD15" s="359"/>
      <c r="BE15" s="360"/>
      <c r="BF15" s="355"/>
      <c r="BG15" s="355"/>
      <c r="BH15" s="355"/>
      <c r="BI15" s="356"/>
      <c r="BJ15" s="357"/>
      <c r="BK15" s="358"/>
      <c r="BL15" s="357"/>
      <c r="BM15" s="359"/>
      <c r="BN15" s="360"/>
      <c r="BO15" s="355"/>
      <c r="BP15" s="355"/>
      <c r="BQ15" s="355"/>
      <c r="BR15" s="356"/>
      <c r="BS15" s="357"/>
      <c r="BT15" s="358"/>
      <c r="BU15" s="357"/>
      <c r="BV15" s="359"/>
      <c r="BW15" s="360"/>
      <c r="BX15" s="355"/>
      <c r="BY15" s="355"/>
      <c r="BZ15" s="355"/>
      <c r="CA15" s="356"/>
      <c r="CB15" s="357"/>
      <c r="CC15" s="358"/>
      <c r="CD15" s="357"/>
      <c r="CE15" s="359"/>
      <c r="CF15" s="360"/>
      <c r="CG15" s="355"/>
      <c r="CH15" s="355"/>
      <c r="CI15" s="355"/>
      <c r="CJ15" s="356"/>
      <c r="CK15" s="357"/>
      <c r="CL15" s="358"/>
      <c r="CM15" s="357"/>
      <c r="CN15" s="359"/>
      <c r="CO15" s="360"/>
      <c r="CP15" s="355"/>
      <c r="CQ15" s="355"/>
      <c r="CR15" s="355"/>
      <c r="CS15" s="356"/>
      <c r="CT15" s="357"/>
      <c r="CU15" s="358"/>
      <c r="CV15" s="361"/>
      <c r="CW15" s="359"/>
      <c r="CX15" s="360"/>
      <c r="CY15" s="355"/>
      <c r="CZ15" s="355"/>
      <c r="DA15" s="355"/>
      <c r="DB15" s="356"/>
      <c r="DC15" s="357"/>
      <c r="DD15" s="358"/>
      <c r="DE15" s="357"/>
      <c r="DF15" s="359"/>
      <c r="DG15" s="360"/>
      <c r="DH15" s="355"/>
      <c r="DI15" s="355"/>
      <c r="DJ15" s="355"/>
      <c r="DK15" s="356"/>
      <c r="DL15" s="357"/>
      <c r="DM15" s="358"/>
      <c r="DN15" s="357"/>
      <c r="DO15" s="359"/>
      <c r="DP15" s="360"/>
      <c r="DQ15" s="355"/>
      <c r="DR15" s="355"/>
      <c r="DS15" s="355"/>
      <c r="DT15" s="356"/>
      <c r="DU15" s="357"/>
      <c r="DV15" s="358"/>
      <c r="DW15" s="357"/>
      <c r="DX15" s="359"/>
      <c r="DY15" s="360"/>
      <c r="DZ15" s="355"/>
      <c r="EA15" s="355"/>
      <c r="EB15" s="355"/>
      <c r="EC15" s="356"/>
      <c r="ED15" s="357"/>
      <c r="EE15" s="358"/>
      <c r="EF15" s="357"/>
      <c r="EG15" s="359"/>
      <c r="EH15" s="360"/>
      <c r="EI15" s="355"/>
      <c r="EJ15" s="355"/>
      <c r="EK15" s="355"/>
      <c r="EL15" s="356"/>
      <c r="EM15" s="357"/>
      <c r="EN15" s="358"/>
      <c r="EO15" s="357"/>
      <c r="EP15" s="359"/>
      <c r="EQ15" s="360"/>
      <c r="ER15" s="355"/>
      <c r="ES15" s="355"/>
      <c r="ET15" s="355"/>
      <c r="EU15" s="356"/>
      <c r="EV15" s="357"/>
      <c r="EW15" s="358"/>
      <c r="EX15" s="357"/>
      <c r="EY15" s="359"/>
      <c r="EZ15" s="360"/>
      <c r="FA15" s="355"/>
      <c r="FB15" s="355"/>
      <c r="FC15" s="355"/>
      <c r="FD15" s="356"/>
      <c r="FE15" s="357"/>
      <c r="FF15" s="358"/>
      <c r="FG15" s="357"/>
      <c r="FH15" s="359"/>
      <c r="FI15" s="360"/>
      <c r="FJ15" s="355"/>
      <c r="FK15" s="355"/>
      <c r="FL15" s="355"/>
      <c r="FM15" s="356"/>
      <c r="FN15" s="357"/>
      <c r="FO15" s="358"/>
      <c r="FP15" s="357"/>
      <c r="FQ15" s="359"/>
      <c r="FR15" s="360"/>
      <c r="FS15" s="355"/>
      <c r="FT15" s="355"/>
      <c r="FU15" s="355"/>
      <c r="FV15" s="356"/>
      <c r="FW15" s="357"/>
      <c r="FX15" s="358"/>
      <c r="FY15" s="357"/>
      <c r="FZ15" s="359"/>
      <c r="GA15" s="360"/>
      <c r="GB15" s="355"/>
      <c r="GC15" s="355"/>
      <c r="GD15" s="355"/>
      <c r="GE15" s="356"/>
      <c r="GF15" s="357"/>
      <c r="GG15" s="358"/>
      <c r="GH15" s="357"/>
      <c r="GI15" s="359"/>
      <c r="GJ15" s="360"/>
      <c r="GK15" s="355"/>
      <c r="GL15" s="355"/>
      <c r="GM15" s="355"/>
      <c r="GN15" s="356"/>
      <c r="GO15" s="357"/>
      <c r="GP15" s="358"/>
      <c r="GQ15" s="357"/>
      <c r="GR15" s="359"/>
      <c r="GS15" s="360"/>
      <c r="GT15" s="362">
        <v>42919</v>
      </c>
      <c r="GU15" s="98">
        <v>22176</v>
      </c>
      <c r="GV15" s="532" t="s">
        <v>507</v>
      </c>
      <c r="GW15" s="74"/>
      <c r="GX15" s="74"/>
      <c r="GY15" s="167" t="s">
        <v>598</v>
      </c>
      <c r="GZ15" s="86">
        <v>3712</v>
      </c>
    </row>
    <row r="16" spans="1:208" x14ac:dyDescent="0.25">
      <c r="C16" s="87"/>
      <c r="D16" s="35"/>
      <c r="E16" s="36"/>
      <c r="F16" s="37"/>
      <c r="G16" s="38"/>
      <c r="H16" s="39"/>
      <c r="I16" s="40"/>
      <c r="J16" s="455" t="s">
        <v>484</v>
      </c>
      <c r="K16" s="407" t="s">
        <v>46</v>
      </c>
      <c r="L16" s="110">
        <v>11720</v>
      </c>
      <c r="M16" s="71">
        <v>42895</v>
      </c>
      <c r="N16" s="380" t="s">
        <v>571</v>
      </c>
      <c r="O16" s="72">
        <v>11345</v>
      </c>
      <c r="P16" s="456">
        <f t="shared" si="0"/>
        <v>-375</v>
      </c>
      <c r="Q16" s="64">
        <v>28.5</v>
      </c>
      <c r="R16" s="64"/>
      <c r="S16" s="64"/>
      <c r="T16" s="39">
        <f t="shared" si="1"/>
        <v>323332.5</v>
      </c>
      <c r="U16" s="352" t="s">
        <v>72</v>
      </c>
      <c r="V16" s="353">
        <v>42919</v>
      </c>
      <c r="W16" s="354">
        <v>7540</v>
      </c>
      <c r="X16" s="355"/>
      <c r="Y16" s="356"/>
      <c r="Z16" s="357"/>
      <c r="AA16" s="358"/>
      <c r="AB16" s="357"/>
      <c r="AC16" s="359"/>
      <c r="AD16" s="360"/>
      <c r="AE16" s="355"/>
      <c r="AF16" s="355"/>
      <c r="AG16" s="355"/>
      <c r="AH16" s="356"/>
      <c r="AI16" s="357"/>
      <c r="AJ16" s="358"/>
      <c r="AK16" s="357"/>
      <c r="AL16" s="359"/>
      <c r="AM16" s="360"/>
      <c r="AN16" s="355"/>
      <c r="AO16" s="355"/>
      <c r="AP16" s="355"/>
      <c r="AQ16" s="356"/>
      <c r="AR16" s="357"/>
      <c r="AS16" s="358"/>
      <c r="AT16" s="357"/>
      <c r="AU16" s="359"/>
      <c r="AV16" s="360"/>
      <c r="AW16" s="355"/>
      <c r="AX16" s="355"/>
      <c r="AY16" s="355"/>
      <c r="AZ16" s="356"/>
      <c r="BA16" s="357"/>
      <c r="BB16" s="358"/>
      <c r="BC16" s="357"/>
      <c r="BD16" s="359"/>
      <c r="BE16" s="360"/>
      <c r="BF16" s="355"/>
      <c r="BG16" s="355"/>
      <c r="BH16" s="355"/>
      <c r="BI16" s="356"/>
      <c r="BJ16" s="357"/>
      <c r="BK16" s="358"/>
      <c r="BL16" s="357"/>
      <c r="BM16" s="359"/>
      <c r="BN16" s="360"/>
      <c r="BO16" s="355"/>
      <c r="BP16" s="355"/>
      <c r="BQ16" s="355"/>
      <c r="BR16" s="356"/>
      <c r="BS16" s="357"/>
      <c r="BT16" s="358"/>
      <c r="BU16" s="357"/>
      <c r="BV16" s="359"/>
      <c r="BW16" s="360"/>
      <c r="BX16" s="355"/>
      <c r="BY16" s="355"/>
      <c r="BZ16" s="355"/>
      <c r="CA16" s="356"/>
      <c r="CB16" s="357"/>
      <c r="CC16" s="358"/>
      <c r="CD16" s="357"/>
      <c r="CE16" s="359"/>
      <c r="CF16" s="360"/>
      <c r="CG16" s="355"/>
      <c r="CH16" s="355"/>
      <c r="CI16" s="355"/>
      <c r="CJ16" s="356"/>
      <c r="CK16" s="357"/>
      <c r="CL16" s="358"/>
      <c r="CM16" s="357"/>
      <c r="CN16" s="359"/>
      <c r="CO16" s="360"/>
      <c r="CP16" s="355"/>
      <c r="CQ16" s="355"/>
      <c r="CR16" s="355"/>
      <c r="CS16" s="356"/>
      <c r="CT16" s="357"/>
      <c r="CU16" s="358"/>
      <c r="CV16" s="361"/>
      <c r="CW16" s="359"/>
      <c r="CX16" s="360"/>
      <c r="CY16" s="355"/>
      <c r="CZ16" s="355"/>
      <c r="DA16" s="355"/>
      <c r="DB16" s="356"/>
      <c r="DC16" s="357"/>
      <c r="DD16" s="358"/>
      <c r="DE16" s="357"/>
      <c r="DF16" s="359"/>
      <c r="DG16" s="360"/>
      <c r="DH16" s="355"/>
      <c r="DI16" s="355"/>
      <c r="DJ16" s="355"/>
      <c r="DK16" s="356"/>
      <c r="DL16" s="357"/>
      <c r="DM16" s="358"/>
      <c r="DN16" s="357"/>
      <c r="DO16" s="359"/>
      <c r="DP16" s="360"/>
      <c r="DQ16" s="355"/>
      <c r="DR16" s="355"/>
      <c r="DS16" s="355"/>
      <c r="DT16" s="356"/>
      <c r="DU16" s="357"/>
      <c r="DV16" s="358"/>
      <c r="DW16" s="357"/>
      <c r="DX16" s="359"/>
      <c r="DY16" s="360"/>
      <c r="DZ16" s="355"/>
      <c r="EA16" s="355"/>
      <c r="EB16" s="355"/>
      <c r="EC16" s="356"/>
      <c r="ED16" s="357"/>
      <c r="EE16" s="358"/>
      <c r="EF16" s="357"/>
      <c r="EG16" s="359"/>
      <c r="EH16" s="360"/>
      <c r="EI16" s="355"/>
      <c r="EJ16" s="355"/>
      <c r="EK16" s="355"/>
      <c r="EL16" s="356"/>
      <c r="EM16" s="357"/>
      <c r="EN16" s="358"/>
      <c r="EO16" s="357"/>
      <c r="EP16" s="359"/>
      <c r="EQ16" s="360"/>
      <c r="ER16" s="355"/>
      <c r="ES16" s="355"/>
      <c r="ET16" s="355"/>
      <c r="EU16" s="356"/>
      <c r="EV16" s="357"/>
      <c r="EW16" s="358"/>
      <c r="EX16" s="357"/>
      <c r="EY16" s="359"/>
      <c r="EZ16" s="360"/>
      <c r="FA16" s="355"/>
      <c r="FB16" s="355"/>
      <c r="FC16" s="355"/>
      <c r="FD16" s="356"/>
      <c r="FE16" s="357"/>
      <c r="FF16" s="358"/>
      <c r="FG16" s="357"/>
      <c r="FH16" s="359"/>
      <c r="FI16" s="360"/>
      <c r="FJ16" s="355"/>
      <c r="FK16" s="355"/>
      <c r="FL16" s="355"/>
      <c r="FM16" s="356"/>
      <c r="FN16" s="357"/>
      <c r="FO16" s="358"/>
      <c r="FP16" s="357"/>
      <c r="FQ16" s="359"/>
      <c r="FR16" s="360"/>
      <c r="FS16" s="355"/>
      <c r="FT16" s="355"/>
      <c r="FU16" s="355"/>
      <c r="FV16" s="356"/>
      <c r="FW16" s="357"/>
      <c r="FX16" s="358"/>
      <c r="FY16" s="357"/>
      <c r="FZ16" s="359"/>
      <c r="GA16" s="360"/>
      <c r="GB16" s="355"/>
      <c r="GC16" s="355"/>
      <c r="GD16" s="355"/>
      <c r="GE16" s="356"/>
      <c r="GF16" s="357"/>
      <c r="GG16" s="358"/>
      <c r="GH16" s="357"/>
      <c r="GI16" s="359"/>
      <c r="GJ16" s="360"/>
      <c r="GK16" s="355"/>
      <c r="GL16" s="355"/>
      <c r="GM16" s="355"/>
      <c r="GN16" s="356"/>
      <c r="GO16" s="357"/>
      <c r="GP16" s="358"/>
      <c r="GQ16" s="357"/>
      <c r="GR16" s="359"/>
      <c r="GS16" s="360"/>
      <c r="GT16" s="362">
        <v>42919</v>
      </c>
      <c r="GU16" s="98">
        <v>17584</v>
      </c>
      <c r="GV16" s="532" t="s">
        <v>506</v>
      </c>
      <c r="GW16" s="74"/>
      <c r="GX16" s="74"/>
      <c r="GY16" s="167" t="s">
        <v>598</v>
      </c>
      <c r="GZ16" s="86">
        <v>2088</v>
      </c>
    </row>
    <row r="17" spans="1:209" ht="31.5" customHeight="1" x14ac:dyDescent="0.25">
      <c r="C17" s="87"/>
      <c r="D17" s="35"/>
      <c r="E17" s="36"/>
      <c r="F17" s="37"/>
      <c r="G17" s="38"/>
      <c r="H17" s="39"/>
      <c r="I17" s="40"/>
      <c r="J17" s="455" t="s">
        <v>527</v>
      </c>
      <c r="K17" s="407" t="s">
        <v>143</v>
      </c>
      <c r="L17" s="110"/>
      <c r="M17" s="71">
        <v>42896</v>
      </c>
      <c r="N17" s="56" t="s">
        <v>528</v>
      </c>
      <c r="O17" s="72">
        <v>100</v>
      </c>
      <c r="P17" s="456">
        <v>0</v>
      </c>
      <c r="Q17" s="64">
        <v>165</v>
      </c>
      <c r="R17" s="905" t="s">
        <v>529</v>
      </c>
      <c r="S17" s="906"/>
      <c r="T17" s="39">
        <f t="shared" si="1"/>
        <v>16500</v>
      </c>
      <c r="U17" s="523" t="s">
        <v>72</v>
      </c>
      <c r="V17" s="524">
        <v>42908</v>
      </c>
      <c r="W17" s="109"/>
      <c r="X17" s="17"/>
      <c r="Y17" s="20"/>
      <c r="Z17" s="92"/>
      <c r="AA17" s="93"/>
      <c r="AB17" s="92"/>
      <c r="AC17" s="94"/>
      <c r="AD17" s="95"/>
      <c r="AE17" s="17"/>
      <c r="AF17" s="17"/>
      <c r="AG17" s="17"/>
      <c r="AH17" s="20"/>
      <c r="AI17" s="92"/>
      <c r="AJ17" s="93"/>
      <c r="AK17" s="92"/>
      <c r="AL17" s="94"/>
      <c r="AM17" s="95"/>
      <c r="AN17" s="17"/>
      <c r="AO17" s="17"/>
      <c r="AP17" s="17"/>
      <c r="AQ17" s="20"/>
      <c r="AR17" s="92"/>
      <c r="AS17" s="93"/>
      <c r="AT17" s="92"/>
      <c r="AU17" s="94"/>
      <c r="AV17" s="95"/>
      <c r="AW17" s="17"/>
      <c r="AX17" s="17"/>
      <c r="AY17" s="17"/>
      <c r="AZ17" s="20"/>
      <c r="BA17" s="92"/>
      <c r="BB17" s="93"/>
      <c r="BC17" s="92"/>
      <c r="BD17" s="94"/>
      <c r="BE17" s="95"/>
      <c r="BF17" s="17"/>
      <c r="BG17" s="17"/>
      <c r="BH17" s="17"/>
      <c r="BI17" s="20"/>
      <c r="BJ17" s="92"/>
      <c r="BK17" s="93"/>
      <c r="BL17" s="92"/>
      <c r="BM17" s="94"/>
      <c r="BN17" s="95"/>
      <c r="BO17" s="17"/>
      <c r="BP17" s="17"/>
      <c r="BQ17" s="17"/>
      <c r="BR17" s="20"/>
      <c r="BS17" s="92"/>
      <c r="BT17" s="93"/>
      <c r="BU17" s="92"/>
      <c r="BV17" s="94"/>
      <c r="BW17" s="95"/>
      <c r="BX17" s="17"/>
      <c r="BY17" s="17"/>
      <c r="BZ17" s="17"/>
      <c r="CA17" s="20"/>
      <c r="CB17" s="92"/>
      <c r="CC17" s="93"/>
      <c r="CD17" s="92"/>
      <c r="CE17" s="94"/>
      <c r="CF17" s="95"/>
      <c r="CG17" s="17"/>
      <c r="CH17" s="17"/>
      <c r="CI17" s="17"/>
      <c r="CJ17" s="20"/>
      <c r="CK17" s="92"/>
      <c r="CL17" s="93"/>
      <c r="CM17" s="92"/>
      <c r="CN17" s="94"/>
      <c r="CO17" s="95"/>
      <c r="CP17" s="17"/>
      <c r="CQ17" s="17"/>
      <c r="CR17" s="17"/>
      <c r="CS17" s="20"/>
      <c r="CT17" s="92"/>
      <c r="CU17" s="93"/>
      <c r="CV17" s="96"/>
      <c r="CW17" s="94"/>
      <c r="CX17" s="95"/>
      <c r="CY17" s="17"/>
      <c r="CZ17" s="17"/>
      <c r="DA17" s="17"/>
      <c r="DB17" s="20"/>
      <c r="DC17" s="92"/>
      <c r="DD17" s="93"/>
      <c r="DE17" s="92"/>
      <c r="DF17" s="94"/>
      <c r="DG17" s="95"/>
      <c r="DH17" s="17"/>
      <c r="DI17" s="17"/>
      <c r="DJ17" s="17"/>
      <c r="DK17" s="20"/>
      <c r="DL17" s="92"/>
      <c r="DM17" s="93"/>
      <c r="DN17" s="92"/>
      <c r="DO17" s="94"/>
      <c r="DP17" s="95"/>
      <c r="DQ17" s="17"/>
      <c r="DR17" s="17"/>
      <c r="DS17" s="17"/>
      <c r="DT17" s="20"/>
      <c r="DU17" s="92"/>
      <c r="DV17" s="93"/>
      <c r="DW17" s="92"/>
      <c r="DX17" s="94"/>
      <c r="DY17" s="95"/>
      <c r="DZ17" s="17"/>
      <c r="EA17" s="17"/>
      <c r="EB17" s="17"/>
      <c r="EC17" s="20"/>
      <c r="ED17" s="92"/>
      <c r="EE17" s="93"/>
      <c r="EF17" s="92"/>
      <c r="EG17" s="94"/>
      <c r="EH17" s="95"/>
      <c r="EI17" s="17"/>
      <c r="EJ17" s="17"/>
      <c r="EK17" s="17"/>
      <c r="EL17" s="20"/>
      <c r="EM17" s="92"/>
      <c r="EN17" s="93"/>
      <c r="EO17" s="92"/>
      <c r="EP17" s="94"/>
      <c r="EQ17" s="95"/>
      <c r="ER17" s="17"/>
      <c r="ES17" s="17"/>
      <c r="ET17" s="17"/>
      <c r="EU17" s="20"/>
      <c r="EV17" s="92"/>
      <c r="EW17" s="93"/>
      <c r="EX17" s="92"/>
      <c r="EY17" s="94"/>
      <c r="EZ17" s="95"/>
      <c r="FA17" s="17"/>
      <c r="FB17" s="17"/>
      <c r="FC17" s="17"/>
      <c r="FD17" s="20"/>
      <c r="FE17" s="92"/>
      <c r="FF17" s="93"/>
      <c r="FG17" s="92"/>
      <c r="FH17" s="94"/>
      <c r="FI17" s="95"/>
      <c r="FJ17" s="17"/>
      <c r="FK17" s="17"/>
      <c r="FL17" s="17"/>
      <c r="FM17" s="20"/>
      <c r="FN17" s="92"/>
      <c r="FO17" s="93"/>
      <c r="FP17" s="92"/>
      <c r="FQ17" s="94"/>
      <c r="FR17" s="95"/>
      <c r="FS17" s="17"/>
      <c r="FT17" s="17"/>
      <c r="FU17" s="17"/>
      <c r="FV17" s="20"/>
      <c r="FW17" s="92"/>
      <c r="FX17" s="93"/>
      <c r="FY17" s="92"/>
      <c r="FZ17" s="94"/>
      <c r="GA17" s="95"/>
      <c r="GB17" s="17"/>
      <c r="GC17" s="17"/>
      <c r="GD17" s="17"/>
      <c r="GE17" s="20"/>
      <c r="GF17" s="92"/>
      <c r="GG17" s="93"/>
      <c r="GH17" s="92"/>
      <c r="GI17" s="94"/>
      <c r="GJ17" s="95"/>
      <c r="GK17" s="17"/>
      <c r="GL17" s="17"/>
      <c r="GM17" s="17"/>
      <c r="GN17" s="20"/>
      <c r="GO17" s="92"/>
      <c r="GP17" s="93"/>
      <c r="GQ17" s="92"/>
      <c r="GR17" s="94"/>
      <c r="GS17" s="95"/>
      <c r="GT17" s="97"/>
      <c r="GU17" s="98"/>
      <c r="GV17" s="65"/>
      <c r="GW17" s="74"/>
      <c r="GX17" s="74"/>
      <c r="GY17" s="167">
        <v>0</v>
      </c>
      <c r="GZ17" s="86">
        <v>0</v>
      </c>
    </row>
    <row r="18" spans="1:209" x14ac:dyDescent="0.25">
      <c r="C18" s="87"/>
      <c r="D18" s="35"/>
      <c r="E18" s="36"/>
      <c r="F18" s="37"/>
      <c r="G18" s="38"/>
      <c r="H18" s="39"/>
      <c r="I18" s="40"/>
      <c r="J18" s="68" t="s">
        <v>44</v>
      </c>
      <c r="K18" s="407" t="s">
        <v>485</v>
      </c>
      <c r="L18" s="70">
        <v>22680</v>
      </c>
      <c r="M18" s="71">
        <v>42897</v>
      </c>
      <c r="N18" s="380" t="s">
        <v>572</v>
      </c>
      <c r="O18" s="72">
        <v>28380</v>
      </c>
      <c r="P18" s="113">
        <f t="shared" si="0"/>
        <v>5700</v>
      </c>
      <c r="Q18" s="64">
        <v>28.5</v>
      </c>
      <c r="R18" s="64"/>
      <c r="S18" s="64"/>
      <c r="T18" s="39">
        <f t="shared" si="1"/>
        <v>808830</v>
      </c>
      <c r="U18" s="363" t="s">
        <v>72</v>
      </c>
      <c r="V18" s="353">
        <v>42921</v>
      </c>
      <c r="W18" s="364">
        <v>19453.2</v>
      </c>
      <c r="X18" s="355"/>
      <c r="Y18" s="356"/>
      <c r="Z18" s="357"/>
      <c r="AA18" s="358"/>
      <c r="AB18" s="357"/>
      <c r="AC18" s="359"/>
      <c r="AD18" s="360"/>
      <c r="AE18" s="355"/>
      <c r="AF18" s="355"/>
      <c r="AG18" s="355"/>
      <c r="AH18" s="356"/>
      <c r="AI18" s="357"/>
      <c r="AJ18" s="358"/>
      <c r="AK18" s="357"/>
      <c r="AL18" s="359"/>
      <c r="AM18" s="360"/>
      <c r="AN18" s="355"/>
      <c r="AO18" s="355"/>
      <c r="AP18" s="355"/>
      <c r="AQ18" s="356"/>
      <c r="AR18" s="357"/>
      <c r="AS18" s="358"/>
      <c r="AT18" s="357"/>
      <c r="AU18" s="359"/>
      <c r="AV18" s="360"/>
      <c r="AW18" s="355"/>
      <c r="AX18" s="355"/>
      <c r="AY18" s="355"/>
      <c r="AZ18" s="356"/>
      <c r="BA18" s="357"/>
      <c r="BB18" s="358"/>
      <c r="BC18" s="357"/>
      <c r="BD18" s="359"/>
      <c r="BE18" s="360"/>
      <c r="BF18" s="355"/>
      <c r="BG18" s="355"/>
      <c r="BH18" s="355"/>
      <c r="BI18" s="356"/>
      <c r="BJ18" s="357"/>
      <c r="BK18" s="358"/>
      <c r="BL18" s="357"/>
      <c r="BM18" s="359"/>
      <c r="BN18" s="360"/>
      <c r="BO18" s="355"/>
      <c r="BP18" s="355"/>
      <c r="BQ18" s="355"/>
      <c r="BR18" s="356"/>
      <c r="BS18" s="357"/>
      <c r="BT18" s="358"/>
      <c r="BU18" s="357"/>
      <c r="BV18" s="359"/>
      <c r="BW18" s="360"/>
      <c r="BX18" s="355"/>
      <c r="BY18" s="355"/>
      <c r="BZ18" s="355"/>
      <c r="CA18" s="356"/>
      <c r="CB18" s="357"/>
      <c r="CC18" s="358"/>
      <c r="CD18" s="357"/>
      <c r="CE18" s="359"/>
      <c r="CF18" s="360"/>
      <c r="CG18" s="355"/>
      <c r="CH18" s="355"/>
      <c r="CI18" s="355"/>
      <c r="CJ18" s="356"/>
      <c r="CK18" s="357"/>
      <c r="CL18" s="358"/>
      <c r="CM18" s="357"/>
      <c r="CN18" s="359"/>
      <c r="CO18" s="360"/>
      <c r="CP18" s="355"/>
      <c r="CQ18" s="355"/>
      <c r="CR18" s="355"/>
      <c r="CS18" s="356"/>
      <c r="CT18" s="357"/>
      <c r="CU18" s="358"/>
      <c r="CV18" s="361"/>
      <c r="CW18" s="359"/>
      <c r="CX18" s="360"/>
      <c r="CY18" s="355"/>
      <c r="CZ18" s="355"/>
      <c r="DA18" s="355"/>
      <c r="DB18" s="356"/>
      <c r="DC18" s="357"/>
      <c r="DD18" s="358"/>
      <c r="DE18" s="357"/>
      <c r="DF18" s="359"/>
      <c r="DG18" s="360"/>
      <c r="DH18" s="355"/>
      <c r="DI18" s="355"/>
      <c r="DJ18" s="355"/>
      <c r="DK18" s="356"/>
      <c r="DL18" s="357"/>
      <c r="DM18" s="358"/>
      <c r="DN18" s="357"/>
      <c r="DO18" s="359"/>
      <c r="DP18" s="360"/>
      <c r="DQ18" s="355"/>
      <c r="DR18" s="355"/>
      <c r="DS18" s="355"/>
      <c r="DT18" s="356"/>
      <c r="DU18" s="357"/>
      <c r="DV18" s="358"/>
      <c r="DW18" s="357"/>
      <c r="DX18" s="359"/>
      <c r="DY18" s="360"/>
      <c r="DZ18" s="355"/>
      <c r="EA18" s="355"/>
      <c r="EB18" s="355"/>
      <c r="EC18" s="356"/>
      <c r="ED18" s="357"/>
      <c r="EE18" s="358"/>
      <c r="EF18" s="357"/>
      <c r="EG18" s="359"/>
      <c r="EH18" s="360"/>
      <c r="EI18" s="355"/>
      <c r="EJ18" s="355"/>
      <c r="EK18" s="355"/>
      <c r="EL18" s="356"/>
      <c r="EM18" s="357"/>
      <c r="EN18" s="358"/>
      <c r="EO18" s="357"/>
      <c r="EP18" s="359"/>
      <c r="EQ18" s="360"/>
      <c r="ER18" s="355"/>
      <c r="ES18" s="355"/>
      <c r="ET18" s="355"/>
      <c r="EU18" s="356"/>
      <c r="EV18" s="357"/>
      <c r="EW18" s="358"/>
      <c r="EX18" s="357"/>
      <c r="EY18" s="359"/>
      <c r="EZ18" s="360"/>
      <c r="FA18" s="355"/>
      <c r="FB18" s="355"/>
      <c r="FC18" s="355"/>
      <c r="FD18" s="356"/>
      <c r="FE18" s="357"/>
      <c r="FF18" s="358"/>
      <c r="FG18" s="357"/>
      <c r="FH18" s="359"/>
      <c r="FI18" s="360"/>
      <c r="FJ18" s="355"/>
      <c r="FK18" s="355"/>
      <c r="FL18" s="355"/>
      <c r="FM18" s="356"/>
      <c r="FN18" s="357"/>
      <c r="FO18" s="358"/>
      <c r="FP18" s="357"/>
      <c r="FQ18" s="359"/>
      <c r="FR18" s="360"/>
      <c r="FS18" s="355"/>
      <c r="FT18" s="355"/>
      <c r="FU18" s="355"/>
      <c r="FV18" s="356"/>
      <c r="FW18" s="357"/>
      <c r="FX18" s="358"/>
      <c r="FY18" s="357"/>
      <c r="FZ18" s="359"/>
      <c r="GA18" s="360"/>
      <c r="GB18" s="355"/>
      <c r="GC18" s="355"/>
      <c r="GD18" s="355"/>
      <c r="GE18" s="356"/>
      <c r="GF18" s="357"/>
      <c r="GG18" s="358"/>
      <c r="GH18" s="357"/>
      <c r="GI18" s="359"/>
      <c r="GJ18" s="360"/>
      <c r="GK18" s="355"/>
      <c r="GL18" s="355"/>
      <c r="GM18" s="355"/>
      <c r="GN18" s="356"/>
      <c r="GO18" s="357"/>
      <c r="GP18" s="358"/>
      <c r="GQ18" s="357"/>
      <c r="GR18" s="359"/>
      <c r="GS18" s="360"/>
      <c r="GT18" s="362">
        <v>42921</v>
      </c>
      <c r="GU18" s="98">
        <v>22176</v>
      </c>
      <c r="GV18" s="532" t="s">
        <v>512</v>
      </c>
      <c r="GW18" s="74"/>
      <c r="GX18" s="74"/>
      <c r="GY18" s="167" t="s">
        <v>598</v>
      </c>
      <c r="GZ18" s="86">
        <v>3712</v>
      </c>
    </row>
    <row r="19" spans="1:209" x14ac:dyDescent="0.25">
      <c r="C19" s="87"/>
      <c r="D19" s="35"/>
      <c r="E19" s="36"/>
      <c r="F19" s="37"/>
      <c r="G19" s="38"/>
      <c r="H19" s="39"/>
      <c r="I19" s="40"/>
      <c r="J19" s="68" t="s">
        <v>43</v>
      </c>
      <c r="K19" s="407" t="s">
        <v>486</v>
      </c>
      <c r="L19" s="70">
        <v>21750</v>
      </c>
      <c r="M19" s="71">
        <v>42898</v>
      </c>
      <c r="N19" s="380" t="s">
        <v>573</v>
      </c>
      <c r="O19" s="72">
        <v>26955</v>
      </c>
      <c r="P19" s="462">
        <f t="shared" si="0"/>
        <v>5205</v>
      </c>
      <c r="Q19" s="64">
        <v>28.5</v>
      </c>
      <c r="R19" s="64"/>
      <c r="S19" s="64"/>
      <c r="T19" s="39">
        <f t="shared" si="1"/>
        <v>768217.5</v>
      </c>
      <c r="U19" s="363" t="s">
        <v>72</v>
      </c>
      <c r="V19" s="353">
        <v>42922</v>
      </c>
      <c r="W19" s="364">
        <v>17040.400000000001</v>
      </c>
      <c r="X19" s="355"/>
      <c r="Y19" s="356"/>
      <c r="Z19" s="357"/>
      <c r="AA19" s="358"/>
      <c r="AB19" s="357"/>
      <c r="AC19" s="359"/>
      <c r="AD19" s="360"/>
      <c r="AE19" s="355"/>
      <c r="AF19" s="355"/>
      <c r="AG19" s="355"/>
      <c r="AH19" s="356"/>
      <c r="AI19" s="357"/>
      <c r="AJ19" s="358"/>
      <c r="AK19" s="357"/>
      <c r="AL19" s="359"/>
      <c r="AM19" s="360"/>
      <c r="AN19" s="355"/>
      <c r="AO19" s="355"/>
      <c r="AP19" s="355"/>
      <c r="AQ19" s="356"/>
      <c r="AR19" s="357"/>
      <c r="AS19" s="358"/>
      <c r="AT19" s="357"/>
      <c r="AU19" s="359"/>
      <c r="AV19" s="360"/>
      <c r="AW19" s="355"/>
      <c r="AX19" s="355"/>
      <c r="AY19" s="355"/>
      <c r="AZ19" s="356"/>
      <c r="BA19" s="357"/>
      <c r="BB19" s="358"/>
      <c r="BC19" s="357"/>
      <c r="BD19" s="359"/>
      <c r="BE19" s="360"/>
      <c r="BF19" s="355"/>
      <c r="BG19" s="355"/>
      <c r="BH19" s="355"/>
      <c r="BI19" s="356"/>
      <c r="BJ19" s="357"/>
      <c r="BK19" s="358"/>
      <c r="BL19" s="357"/>
      <c r="BM19" s="359"/>
      <c r="BN19" s="360"/>
      <c r="BO19" s="355"/>
      <c r="BP19" s="355"/>
      <c r="BQ19" s="355"/>
      <c r="BR19" s="356"/>
      <c r="BS19" s="357"/>
      <c r="BT19" s="358"/>
      <c r="BU19" s="357"/>
      <c r="BV19" s="359"/>
      <c r="BW19" s="360"/>
      <c r="BX19" s="355"/>
      <c r="BY19" s="355"/>
      <c r="BZ19" s="355"/>
      <c r="CA19" s="356"/>
      <c r="CB19" s="357"/>
      <c r="CC19" s="358"/>
      <c r="CD19" s="357"/>
      <c r="CE19" s="359"/>
      <c r="CF19" s="360"/>
      <c r="CG19" s="355"/>
      <c r="CH19" s="355"/>
      <c r="CI19" s="355"/>
      <c r="CJ19" s="356"/>
      <c r="CK19" s="357"/>
      <c r="CL19" s="358"/>
      <c r="CM19" s="357"/>
      <c r="CN19" s="359"/>
      <c r="CO19" s="360"/>
      <c r="CP19" s="355"/>
      <c r="CQ19" s="355"/>
      <c r="CR19" s="355"/>
      <c r="CS19" s="356"/>
      <c r="CT19" s="357"/>
      <c r="CU19" s="358"/>
      <c r="CV19" s="361"/>
      <c r="CW19" s="359"/>
      <c r="CX19" s="360"/>
      <c r="CY19" s="355"/>
      <c r="CZ19" s="355"/>
      <c r="DA19" s="355"/>
      <c r="DB19" s="356"/>
      <c r="DC19" s="357"/>
      <c r="DD19" s="358"/>
      <c r="DE19" s="357"/>
      <c r="DF19" s="359"/>
      <c r="DG19" s="360"/>
      <c r="DH19" s="355"/>
      <c r="DI19" s="355"/>
      <c r="DJ19" s="355"/>
      <c r="DK19" s="356"/>
      <c r="DL19" s="357"/>
      <c r="DM19" s="358"/>
      <c r="DN19" s="357"/>
      <c r="DO19" s="359"/>
      <c r="DP19" s="360"/>
      <c r="DQ19" s="355"/>
      <c r="DR19" s="355"/>
      <c r="DS19" s="355"/>
      <c r="DT19" s="356"/>
      <c r="DU19" s="357"/>
      <c r="DV19" s="358"/>
      <c r="DW19" s="357"/>
      <c r="DX19" s="359"/>
      <c r="DY19" s="360"/>
      <c r="DZ19" s="355"/>
      <c r="EA19" s="355"/>
      <c r="EB19" s="355"/>
      <c r="EC19" s="356"/>
      <c r="ED19" s="357"/>
      <c r="EE19" s="358"/>
      <c r="EF19" s="357"/>
      <c r="EG19" s="359"/>
      <c r="EH19" s="360"/>
      <c r="EI19" s="355"/>
      <c r="EJ19" s="355"/>
      <c r="EK19" s="355"/>
      <c r="EL19" s="356"/>
      <c r="EM19" s="357"/>
      <c r="EN19" s="358"/>
      <c r="EO19" s="357"/>
      <c r="EP19" s="359"/>
      <c r="EQ19" s="360"/>
      <c r="ER19" s="355"/>
      <c r="ES19" s="355"/>
      <c r="ET19" s="355"/>
      <c r="EU19" s="356"/>
      <c r="EV19" s="357"/>
      <c r="EW19" s="358"/>
      <c r="EX19" s="357"/>
      <c r="EY19" s="359"/>
      <c r="EZ19" s="360"/>
      <c r="FA19" s="355"/>
      <c r="FB19" s="355"/>
      <c r="FC19" s="355"/>
      <c r="FD19" s="356"/>
      <c r="FE19" s="357"/>
      <c r="FF19" s="358"/>
      <c r="FG19" s="357"/>
      <c r="FH19" s="359"/>
      <c r="FI19" s="360"/>
      <c r="FJ19" s="355"/>
      <c r="FK19" s="355"/>
      <c r="FL19" s="355"/>
      <c r="FM19" s="356"/>
      <c r="FN19" s="357"/>
      <c r="FO19" s="358"/>
      <c r="FP19" s="357"/>
      <c r="FQ19" s="359"/>
      <c r="FR19" s="360"/>
      <c r="FS19" s="355"/>
      <c r="FT19" s="355"/>
      <c r="FU19" s="355"/>
      <c r="FV19" s="356"/>
      <c r="FW19" s="357"/>
      <c r="FX19" s="358"/>
      <c r="FY19" s="357"/>
      <c r="FZ19" s="359"/>
      <c r="GA19" s="360"/>
      <c r="GB19" s="355"/>
      <c r="GC19" s="355"/>
      <c r="GD19" s="355"/>
      <c r="GE19" s="356"/>
      <c r="GF19" s="357"/>
      <c r="GG19" s="358"/>
      <c r="GH19" s="357"/>
      <c r="GI19" s="359"/>
      <c r="GJ19" s="360"/>
      <c r="GK19" s="355"/>
      <c r="GL19" s="355"/>
      <c r="GM19" s="355"/>
      <c r="GN19" s="356"/>
      <c r="GO19" s="357"/>
      <c r="GP19" s="358"/>
      <c r="GQ19" s="357"/>
      <c r="GR19" s="359"/>
      <c r="GS19" s="360"/>
      <c r="GT19" s="362">
        <v>42922</v>
      </c>
      <c r="GU19" s="98">
        <v>22176</v>
      </c>
      <c r="GV19" s="533" t="s">
        <v>513</v>
      </c>
      <c r="GW19" s="74"/>
      <c r="GX19" s="74"/>
      <c r="GY19" s="390" t="s">
        <v>598</v>
      </c>
      <c r="GZ19" s="86">
        <v>3712</v>
      </c>
    </row>
    <row r="20" spans="1:209" x14ac:dyDescent="0.25">
      <c r="C20" s="87"/>
      <c r="D20" s="35"/>
      <c r="E20" s="36"/>
      <c r="F20" s="37"/>
      <c r="G20" s="38"/>
      <c r="H20" s="39"/>
      <c r="I20" s="40"/>
      <c r="J20" s="76" t="s">
        <v>44</v>
      </c>
      <c r="K20" s="407" t="s">
        <v>40</v>
      </c>
      <c r="L20" s="70">
        <v>20670</v>
      </c>
      <c r="M20" s="71">
        <v>42899</v>
      </c>
      <c r="N20" s="380" t="s">
        <v>574</v>
      </c>
      <c r="O20" s="72">
        <v>25720</v>
      </c>
      <c r="P20" s="113">
        <f t="shared" si="0"/>
        <v>5050</v>
      </c>
      <c r="Q20" s="64">
        <v>28.5</v>
      </c>
      <c r="R20" s="64"/>
      <c r="S20" s="64"/>
      <c r="T20" s="39">
        <f t="shared" si="1"/>
        <v>733020</v>
      </c>
      <c r="U20" s="363" t="s">
        <v>72</v>
      </c>
      <c r="V20" s="353">
        <v>42923</v>
      </c>
      <c r="W20" s="364">
        <v>16588</v>
      </c>
      <c r="X20" s="355"/>
      <c r="Y20" s="356"/>
      <c r="Z20" s="357"/>
      <c r="AA20" s="358"/>
      <c r="AB20" s="357"/>
      <c r="AC20" s="359"/>
      <c r="AD20" s="360"/>
      <c r="AE20" s="355"/>
      <c r="AF20" s="355"/>
      <c r="AG20" s="355"/>
      <c r="AH20" s="356"/>
      <c r="AI20" s="357"/>
      <c r="AJ20" s="358"/>
      <c r="AK20" s="357"/>
      <c r="AL20" s="359"/>
      <c r="AM20" s="360"/>
      <c r="AN20" s="355"/>
      <c r="AO20" s="355"/>
      <c r="AP20" s="355"/>
      <c r="AQ20" s="356"/>
      <c r="AR20" s="357"/>
      <c r="AS20" s="358"/>
      <c r="AT20" s="357"/>
      <c r="AU20" s="359"/>
      <c r="AV20" s="360"/>
      <c r="AW20" s="355"/>
      <c r="AX20" s="355"/>
      <c r="AY20" s="355"/>
      <c r="AZ20" s="356"/>
      <c r="BA20" s="357"/>
      <c r="BB20" s="358"/>
      <c r="BC20" s="357"/>
      <c r="BD20" s="359"/>
      <c r="BE20" s="360"/>
      <c r="BF20" s="355"/>
      <c r="BG20" s="355"/>
      <c r="BH20" s="355"/>
      <c r="BI20" s="356"/>
      <c r="BJ20" s="357"/>
      <c r="BK20" s="358"/>
      <c r="BL20" s="357"/>
      <c r="BM20" s="359"/>
      <c r="BN20" s="360"/>
      <c r="BO20" s="355"/>
      <c r="BP20" s="355"/>
      <c r="BQ20" s="355"/>
      <c r="BR20" s="356"/>
      <c r="BS20" s="357"/>
      <c r="BT20" s="358"/>
      <c r="BU20" s="357"/>
      <c r="BV20" s="359"/>
      <c r="BW20" s="360"/>
      <c r="BX20" s="355"/>
      <c r="BY20" s="355"/>
      <c r="BZ20" s="355"/>
      <c r="CA20" s="356"/>
      <c r="CB20" s="357"/>
      <c r="CC20" s="358"/>
      <c r="CD20" s="357"/>
      <c r="CE20" s="359"/>
      <c r="CF20" s="360"/>
      <c r="CG20" s="355"/>
      <c r="CH20" s="355"/>
      <c r="CI20" s="355"/>
      <c r="CJ20" s="356"/>
      <c r="CK20" s="357"/>
      <c r="CL20" s="358"/>
      <c r="CM20" s="357"/>
      <c r="CN20" s="359"/>
      <c r="CO20" s="360"/>
      <c r="CP20" s="355"/>
      <c r="CQ20" s="355"/>
      <c r="CR20" s="355"/>
      <c r="CS20" s="356"/>
      <c r="CT20" s="357"/>
      <c r="CU20" s="358"/>
      <c r="CV20" s="361"/>
      <c r="CW20" s="359"/>
      <c r="CX20" s="360"/>
      <c r="CY20" s="355"/>
      <c r="CZ20" s="355"/>
      <c r="DA20" s="355"/>
      <c r="DB20" s="356"/>
      <c r="DC20" s="357"/>
      <c r="DD20" s="358"/>
      <c r="DE20" s="357"/>
      <c r="DF20" s="359"/>
      <c r="DG20" s="360"/>
      <c r="DH20" s="355"/>
      <c r="DI20" s="355"/>
      <c r="DJ20" s="355"/>
      <c r="DK20" s="356"/>
      <c r="DL20" s="357"/>
      <c r="DM20" s="358"/>
      <c r="DN20" s="357"/>
      <c r="DO20" s="359"/>
      <c r="DP20" s="360"/>
      <c r="DQ20" s="355"/>
      <c r="DR20" s="355"/>
      <c r="DS20" s="355"/>
      <c r="DT20" s="356"/>
      <c r="DU20" s="357"/>
      <c r="DV20" s="358"/>
      <c r="DW20" s="357"/>
      <c r="DX20" s="359"/>
      <c r="DY20" s="360"/>
      <c r="DZ20" s="355"/>
      <c r="EA20" s="355"/>
      <c r="EB20" s="355"/>
      <c r="EC20" s="356"/>
      <c r="ED20" s="357"/>
      <c r="EE20" s="358"/>
      <c r="EF20" s="357"/>
      <c r="EG20" s="359"/>
      <c r="EH20" s="360"/>
      <c r="EI20" s="355"/>
      <c r="EJ20" s="355"/>
      <c r="EK20" s="355"/>
      <c r="EL20" s="356"/>
      <c r="EM20" s="357"/>
      <c r="EN20" s="358"/>
      <c r="EO20" s="357"/>
      <c r="EP20" s="359"/>
      <c r="EQ20" s="360"/>
      <c r="ER20" s="355"/>
      <c r="ES20" s="355"/>
      <c r="ET20" s="355"/>
      <c r="EU20" s="356"/>
      <c r="EV20" s="357"/>
      <c r="EW20" s="358"/>
      <c r="EX20" s="357"/>
      <c r="EY20" s="359"/>
      <c r="EZ20" s="360"/>
      <c r="FA20" s="355"/>
      <c r="FB20" s="355"/>
      <c r="FC20" s="355"/>
      <c r="FD20" s="356"/>
      <c r="FE20" s="357"/>
      <c r="FF20" s="358"/>
      <c r="FG20" s="357"/>
      <c r="FH20" s="359"/>
      <c r="FI20" s="360"/>
      <c r="FJ20" s="355"/>
      <c r="FK20" s="355"/>
      <c r="FL20" s="355"/>
      <c r="FM20" s="356"/>
      <c r="FN20" s="357"/>
      <c r="FO20" s="358"/>
      <c r="FP20" s="357"/>
      <c r="FQ20" s="359"/>
      <c r="FR20" s="360"/>
      <c r="FS20" s="355"/>
      <c r="FT20" s="355"/>
      <c r="FU20" s="355"/>
      <c r="FV20" s="356"/>
      <c r="FW20" s="357"/>
      <c r="FX20" s="358"/>
      <c r="FY20" s="357"/>
      <c r="FZ20" s="359"/>
      <c r="GA20" s="360"/>
      <c r="GB20" s="355"/>
      <c r="GC20" s="355"/>
      <c r="GD20" s="355"/>
      <c r="GE20" s="356"/>
      <c r="GF20" s="357"/>
      <c r="GG20" s="358"/>
      <c r="GH20" s="357"/>
      <c r="GI20" s="359"/>
      <c r="GJ20" s="360"/>
      <c r="GK20" s="355"/>
      <c r="GL20" s="355"/>
      <c r="GM20" s="355"/>
      <c r="GN20" s="356"/>
      <c r="GO20" s="357"/>
      <c r="GP20" s="358"/>
      <c r="GQ20" s="357"/>
      <c r="GR20" s="359"/>
      <c r="GS20" s="360"/>
      <c r="GT20" s="362">
        <v>42923</v>
      </c>
      <c r="GU20" s="98">
        <v>22176</v>
      </c>
      <c r="GV20" s="533" t="s">
        <v>514</v>
      </c>
      <c r="GW20" s="74"/>
      <c r="GX20" s="74"/>
      <c r="GY20" s="390" t="s">
        <v>598</v>
      </c>
      <c r="GZ20" s="86">
        <v>3712</v>
      </c>
    </row>
    <row r="21" spans="1:209" x14ac:dyDescent="0.25">
      <c r="C21" s="87"/>
      <c r="D21" s="35"/>
      <c r="E21" s="36"/>
      <c r="F21" s="37"/>
      <c r="G21" s="38"/>
      <c r="H21" s="39"/>
      <c r="I21" s="40"/>
      <c r="J21" s="76" t="s">
        <v>45</v>
      </c>
      <c r="K21" s="407" t="s">
        <v>40</v>
      </c>
      <c r="L21" s="70">
        <v>21910</v>
      </c>
      <c r="M21" s="71">
        <v>42900</v>
      </c>
      <c r="N21" s="380" t="s">
        <v>575</v>
      </c>
      <c r="O21" s="72">
        <v>27665</v>
      </c>
      <c r="P21" s="113">
        <f t="shared" si="0"/>
        <v>5755</v>
      </c>
      <c r="Q21" s="64">
        <v>28.5</v>
      </c>
      <c r="R21" s="64"/>
      <c r="S21" s="64"/>
      <c r="T21" s="39">
        <f t="shared" si="1"/>
        <v>788452.5</v>
      </c>
      <c r="U21" s="363" t="s">
        <v>72</v>
      </c>
      <c r="V21" s="353">
        <v>42926</v>
      </c>
      <c r="W21" s="364">
        <v>16588</v>
      </c>
      <c r="X21" s="355"/>
      <c r="Y21" s="356"/>
      <c r="Z21" s="357"/>
      <c r="AA21" s="358"/>
      <c r="AB21" s="357"/>
      <c r="AC21" s="359"/>
      <c r="AD21" s="360"/>
      <c r="AE21" s="355"/>
      <c r="AF21" s="355"/>
      <c r="AG21" s="355"/>
      <c r="AH21" s="356"/>
      <c r="AI21" s="357"/>
      <c r="AJ21" s="358"/>
      <c r="AK21" s="357"/>
      <c r="AL21" s="359"/>
      <c r="AM21" s="360"/>
      <c r="AN21" s="355"/>
      <c r="AO21" s="355"/>
      <c r="AP21" s="355"/>
      <c r="AQ21" s="356"/>
      <c r="AR21" s="357"/>
      <c r="AS21" s="358"/>
      <c r="AT21" s="357"/>
      <c r="AU21" s="359"/>
      <c r="AV21" s="360"/>
      <c r="AW21" s="355"/>
      <c r="AX21" s="355"/>
      <c r="AY21" s="355"/>
      <c r="AZ21" s="356"/>
      <c r="BA21" s="357"/>
      <c r="BB21" s="358"/>
      <c r="BC21" s="357"/>
      <c r="BD21" s="359"/>
      <c r="BE21" s="360"/>
      <c r="BF21" s="355"/>
      <c r="BG21" s="355"/>
      <c r="BH21" s="355"/>
      <c r="BI21" s="356"/>
      <c r="BJ21" s="357"/>
      <c r="BK21" s="358"/>
      <c r="BL21" s="357"/>
      <c r="BM21" s="359"/>
      <c r="BN21" s="360"/>
      <c r="BO21" s="355"/>
      <c r="BP21" s="355"/>
      <c r="BQ21" s="355"/>
      <c r="BR21" s="356"/>
      <c r="BS21" s="357"/>
      <c r="BT21" s="358"/>
      <c r="BU21" s="357"/>
      <c r="BV21" s="359"/>
      <c r="BW21" s="360"/>
      <c r="BX21" s="355"/>
      <c r="BY21" s="355"/>
      <c r="BZ21" s="355"/>
      <c r="CA21" s="356"/>
      <c r="CB21" s="357"/>
      <c r="CC21" s="358"/>
      <c r="CD21" s="357"/>
      <c r="CE21" s="359"/>
      <c r="CF21" s="360"/>
      <c r="CG21" s="355"/>
      <c r="CH21" s="355"/>
      <c r="CI21" s="355"/>
      <c r="CJ21" s="356"/>
      <c r="CK21" s="357"/>
      <c r="CL21" s="358"/>
      <c r="CM21" s="357"/>
      <c r="CN21" s="359"/>
      <c r="CO21" s="360"/>
      <c r="CP21" s="355"/>
      <c r="CQ21" s="355"/>
      <c r="CR21" s="355"/>
      <c r="CS21" s="356"/>
      <c r="CT21" s="357"/>
      <c r="CU21" s="358"/>
      <c r="CV21" s="361"/>
      <c r="CW21" s="359"/>
      <c r="CX21" s="360"/>
      <c r="CY21" s="355"/>
      <c r="CZ21" s="355"/>
      <c r="DA21" s="355"/>
      <c r="DB21" s="356"/>
      <c r="DC21" s="357"/>
      <c r="DD21" s="358"/>
      <c r="DE21" s="357"/>
      <c r="DF21" s="359"/>
      <c r="DG21" s="360"/>
      <c r="DH21" s="355"/>
      <c r="DI21" s="355"/>
      <c r="DJ21" s="355"/>
      <c r="DK21" s="356"/>
      <c r="DL21" s="357"/>
      <c r="DM21" s="358"/>
      <c r="DN21" s="357"/>
      <c r="DO21" s="359"/>
      <c r="DP21" s="360"/>
      <c r="DQ21" s="355"/>
      <c r="DR21" s="355"/>
      <c r="DS21" s="355"/>
      <c r="DT21" s="356"/>
      <c r="DU21" s="357"/>
      <c r="DV21" s="358"/>
      <c r="DW21" s="357"/>
      <c r="DX21" s="359"/>
      <c r="DY21" s="360"/>
      <c r="DZ21" s="355"/>
      <c r="EA21" s="355"/>
      <c r="EB21" s="355"/>
      <c r="EC21" s="356"/>
      <c r="ED21" s="357"/>
      <c r="EE21" s="358"/>
      <c r="EF21" s="357"/>
      <c r="EG21" s="359"/>
      <c r="EH21" s="360"/>
      <c r="EI21" s="355"/>
      <c r="EJ21" s="355"/>
      <c r="EK21" s="355"/>
      <c r="EL21" s="356"/>
      <c r="EM21" s="357"/>
      <c r="EN21" s="358"/>
      <c r="EO21" s="357"/>
      <c r="EP21" s="359"/>
      <c r="EQ21" s="360"/>
      <c r="ER21" s="355"/>
      <c r="ES21" s="355"/>
      <c r="ET21" s="355"/>
      <c r="EU21" s="356"/>
      <c r="EV21" s="357"/>
      <c r="EW21" s="358"/>
      <c r="EX21" s="357"/>
      <c r="EY21" s="359"/>
      <c r="EZ21" s="360"/>
      <c r="FA21" s="355"/>
      <c r="FB21" s="355"/>
      <c r="FC21" s="355"/>
      <c r="FD21" s="356"/>
      <c r="FE21" s="357"/>
      <c r="FF21" s="358"/>
      <c r="FG21" s="357"/>
      <c r="FH21" s="359"/>
      <c r="FI21" s="360"/>
      <c r="FJ21" s="355"/>
      <c r="FK21" s="355"/>
      <c r="FL21" s="355"/>
      <c r="FM21" s="356"/>
      <c r="FN21" s="357"/>
      <c r="FO21" s="358"/>
      <c r="FP21" s="357"/>
      <c r="FQ21" s="359"/>
      <c r="FR21" s="360"/>
      <c r="FS21" s="355"/>
      <c r="FT21" s="355"/>
      <c r="FU21" s="355"/>
      <c r="FV21" s="356"/>
      <c r="FW21" s="357"/>
      <c r="FX21" s="358"/>
      <c r="FY21" s="357"/>
      <c r="FZ21" s="359"/>
      <c r="GA21" s="360"/>
      <c r="GB21" s="355"/>
      <c r="GC21" s="355"/>
      <c r="GD21" s="355"/>
      <c r="GE21" s="356"/>
      <c r="GF21" s="357"/>
      <c r="GG21" s="358"/>
      <c r="GH21" s="357"/>
      <c r="GI21" s="359"/>
      <c r="GJ21" s="360"/>
      <c r="GK21" s="355"/>
      <c r="GL21" s="355"/>
      <c r="GM21" s="355"/>
      <c r="GN21" s="356"/>
      <c r="GO21" s="357"/>
      <c r="GP21" s="358"/>
      <c r="GQ21" s="357"/>
      <c r="GR21" s="359"/>
      <c r="GS21" s="360"/>
      <c r="GT21" s="362">
        <v>42926</v>
      </c>
      <c r="GU21" s="98"/>
      <c r="GV21" s="65"/>
      <c r="GW21" s="74"/>
      <c r="GX21" s="74"/>
      <c r="GY21" s="390" t="s">
        <v>598</v>
      </c>
      <c r="GZ21" s="86">
        <v>3712</v>
      </c>
    </row>
    <row r="22" spans="1:209" x14ac:dyDescent="0.25">
      <c r="C22" s="87"/>
      <c r="D22" s="35"/>
      <c r="E22" s="36"/>
      <c r="F22" s="37"/>
      <c r="G22" s="38"/>
      <c r="H22" s="39"/>
      <c r="I22" s="40"/>
      <c r="J22" s="76" t="s">
        <v>494</v>
      </c>
      <c r="K22" s="450" t="s">
        <v>41</v>
      </c>
      <c r="L22" s="70">
        <v>22890</v>
      </c>
      <c r="M22" s="71">
        <v>42901</v>
      </c>
      <c r="N22" s="380" t="s">
        <v>576</v>
      </c>
      <c r="O22" s="72">
        <v>28610</v>
      </c>
      <c r="P22" s="113">
        <f t="shared" si="0"/>
        <v>5720</v>
      </c>
      <c r="Q22" s="64">
        <v>28.5</v>
      </c>
      <c r="R22" s="64"/>
      <c r="S22" s="64"/>
      <c r="T22" s="39">
        <f t="shared" si="1"/>
        <v>815385</v>
      </c>
      <c r="U22" s="363" t="s">
        <v>72</v>
      </c>
      <c r="V22" s="353">
        <v>42926</v>
      </c>
      <c r="W22" s="364">
        <v>18850</v>
      </c>
      <c r="X22" s="355"/>
      <c r="Y22" s="356"/>
      <c r="Z22" s="357"/>
      <c r="AA22" s="358"/>
      <c r="AB22" s="357"/>
      <c r="AC22" s="359"/>
      <c r="AD22" s="360"/>
      <c r="AE22" s="355"/>
      <c r="AF22" s="355"/>
      <c r="AG22" s="355"/>
      <c r="AH22" s="356"/>
      <c r="AI22" s="357"/>
      <c r="AJ22" s="358"/>
      <c r="AK22" s="357"/>
      <c r="AL22" s="359"/>
      <c r="AM22" s="360"/>
      <c r="AN22" s="355"/>
      <c r="AO22" s="355"/>
      <c r="AP22" s="355"/>
      <c r="AQ22" s="356"/>
      <c r="AR22" s="357"/>
      <c r="AS22" s="358"/>
      <c r="AT22" s="357"/>
      <c r="AU22" s="359"/>
      <c r="AV22" s="360"/>
      <c r="AW22" s="355"/>
      <c r="AX22" s="355"/>
      <c r="AY22" s="355"/>
      <c r="AZ22" s="356"/>
      <c r="BA22" s="357"/>
      <c r="BB22" s="358"/>
      <c r="BC22" s="357"/>
      <c r="BD22" s="359"/>
      <c r="BE22" s="360"/>
      <c r="BF22" s="355"/>
      <c r="BG22" s="355"/>
      <c r="BH22" s="355"/>
      <c r="BI22" s="356"/>
      <c r="BJ22" s="357"/>
      <c r="BK22" s="358"/>
      <c r="BL22" s="357"/>
      <c r="BM22" s="359"/>
      <c r="BN22" s="360"/>
      <c r="BO22" s="355"/>
      <c r="BP22" s="355"/>
      <c r="BQ22" s="355"/>
      <c r="BR22" s="356"/>
      <c r="BS22" s="357"/>
      <c r="BT22" s="358"/>
      <c r="BU22" s="357"/>
      <c r="BV22" s="359"/>
      <c r="BW22" s="360"/>
      <c r="BX22" s="355"/>
      <c r="BY22" s="355"/>
      <c r="BZ22" s="355"/>
      <c r="CA22" s="356"/>
      <c r="CB22" s="357"/>
      <c r="CC22" s="358"/>
      <c r="CD22" s="357"/>
      <c r="CE22" s="359"/>
      <c r="CF22" s="360"/>
      <c r="CG22" s="355"/>
      <c r="CH22" s="355"/>
      <c r="CI22" s="355"/>
      <c r="CJ22" s="356"/>
      <c r="CK22" s="357"/>
      <c r="CL22" s="358"/>
      <c r="CM22" s="357"/>
      <c r="CN22" s="359"/>
      <c r="CO22" s="360"/>
      <c r="CP22" s="355"/>
      <c r="CQ22" s="355"/>
      <c r="CR22" s="355"/>
      <c r="CS22" s="356"/>
      <c r="CT22" s="357"/>
      <c r="CU22" s="358"/>
      <c r="CV22" s="361"/>
      <c r="CW22" s="359"/>
      <c r="CX22" s="360"/>
      <c r="CY22" s="355"/>
      <c r="CZ22" s="355"/>
      <c r="DA22" s="355"/>
      <c r="DB22" s="356"/>
      <c r="DC22" s="357"/>
      <c r="DD22" s="358"/>
      <c r="DE22" s="357"/>
      <c r="DF22" s="359"/>
      <c r="DG22" s="360"/>
      <c r="DH22" s="355"/>
      <c r="DI22" s="355"/>
      <c r="DJ22" s="355"/>
      <c r="DK22" s="356"/>
      <c r="DL22" s="357"/>
      <c r="DM22" s="358"/>
      <c r="DN22" s="357"/>
      <c r="DO22" s="359"/>
      <c r="DP22" s="360"/>
      <c r="DQ22" s="355"/>
      <c r="DR22" s="355"/>
      <c r="DS22" s="355"/>
      <c r="DT22" s="356"/>
      <c r="DU22" s="357"/>
      <c r="DV22" s="358"/>
      <c r="DW22" s="357"/>
      <c r="DX22" s="359"/>
      <c r="DY22" s="360"/>
      <c r="DZ22" s="355"/>
      <c r="EA22" s="355"/>
      <c r="EB22" s="355"/>
      <c r="EC22" s="356"/>
      <c r="ED22" s="357"/>
      <c r="EE22" s="358"/>
      <c r="EF22" s="357"/>
      <c r="EG22" s="359"/>
      <c r="EH22" s="360"/>
      <c r="EI22" s="355"/>
      <c r="EJ22" s="355"/>
      <c r="EK22" s="355"/>
      <c r="EL22" s="356"/>
      <c r="EM22" s="357"/>
      <c r="EN22" s="358"/>
      <c r="EO22" s="357"/>
      <c r="EP22" s="359"/>
      <c r="EQ22" s="360"/>
      <c r="ER22" s="355"/>
      <c r="ES22" s="355"/>
      <c r="ET22" s="355"/>
      <c r="EU22" s="356"/>
      <c r="EV22" s="357"/>
      <c r="EW22" s="358"/>
      <c r="EX22" s="357"/>
      <c r="EY22" s="359"/>
      <c r="EZ22" s="360"/>
      <c r="FA22" s="355"/>
      <c r="FB22" s="355"/>
      <c r="FC22" s="355"/>
      <c r="FD22" s="356"/>
      <c r="FE22" s="357"/>
      <c r="FF22" s="358"/>
      <c r="FG22" s="357"/>
      <c r="FH22" s="359"/>
      <c r="FI22" s="360"/>
      <c r="FJ22" s="355"/>
      <c r="FK22" s="355"/>
      <c r="FL22" s="355"/>
      <c r="FM22" s="356"/>
      <c r="FN22" s="357"/>
      <c r="FO22" s="358"/>
      <c r="FP22" s="357"/>
      <c r="FQ22" s="359"/>
      <c r="FR22" s="360"/>
      <c r="FS22" s="355"/>
      <c r="FT22" s="355"/>
      <c r="FU22" s="355"/>
      <c r="FV22" s="356"/>
      <c r="FW22" s="357"/>
      <c r="FX22" s="358"/>
      <c r="FY22" s="357"/>
      <c r="FZ22" s="359"/>
      <c r="GA22" s="360"/>
      <c r="GB22" s="355"/>
      <c r="GC22" s="355"/>
      <c r="GD22" s="355"/>
      <c r="GE22" s="356"/>
      <c r="GF22" s="357"/>
      <c r="GG22" s="358"/>
      <c r="GH22" s="357"/>
      <c r="GI22" s="359"/>
      <c r="GJ22" s="360"/>
      <c r="GK22" s="355"/>
      <c r="GL22" s="355"/>
      <c r="GM22" s="355"/>
      <c r="GN22" s="356"/>
      <c r="GO22" s="357"/>
      <c r="GP22" s="358"/>
      <c r="GQ22" s="357"/>
      <c r="GR22" s="359"/>
      <c r="GS22" s="360"/>
      <c r="GT22" s="362">
        <v>42926</v>
      </c>
      <c r="GU22" s="98">
        <v>22176</v>
      </c>
      <c r="GV22" s="532" t="s">
        <v>515</v>
      </c>
      <c r="GW22" s="74"/>
      <c r="GX22" s="74"/>
      <c r="GY22" s="390" t="s">
        <v>598</v>
      </c>
      <c r="GZ22" s="86">
        <v>3712</v>
      </c>
    </row>
    <row r="23" spans="1:209" x14ac:dyDescent="0.25">
      <c r="C23" s="87"/>
      <c r="D23" s="35"/>
      <c r="E23" s="36"/>
      <c r="F23" s="37"/>
      <c r="G23" s="38"/>
      <c r="H23" s="39"/>
      <c r="I23" s="40"/>
      <c r="J23" s="76" t="s">
        <v>495</v>
      </c>
      <c r="K23" s="407" t="s">
        <v>35</v>
      </c>
      <c r="L23" s="70">
        <v>10910</v>
      </c>
      <c r="M23" s="71">
        <v>42901</v>
      </c>
      <c r="N23" s="380" t="s">
        <v>577</v>
      </c>
      <c r="O23" s="72">
        <v>14150</v>
      </c>
      <c r="P23" s="113">
        <f t="shared" si="0"/>
        <v>3240</v>
      </c>
      <c r="Q23" s="64">
        <v>28.5</v>
      </c>
      <c r="R23" s="64"/>
      <c r="S23" s="64"/>
      <c r="T23" s="39">
        <f t="shared" si="1"/>
        <v>403275</v>
      </c>
      <c r="U23" s="363" t="s">
        <v>72</v>
      </c>
      <c r="V23" s="353">
        <v>42926</v>
      </c>
      <c r="W23" s="364">
        <v>9802</v>
      </c>
      <c r="X23" s="355"/>
      <c r="Y23" s="356"/>
      <c r="Z23" s="357"/>
      <c r="AA23" s="358"/>
      <c r="AB23" s="357"/>
      <c r="AC23" s="359"/>
      <c r="AD23" s="360"/>
      <c r="AE23" s="355"/>
      <c r="AF23" s="355"/>
      <c r="AG23" s="355"/>
      <c r="AH23" s="356"/>
      <c r="AI23" s="357"/>
      <c r="AJ23" s="358"/>
      <c r="AK23" s="357"/>
      <c r="AL23" s="359"/>
      <c r="AM23" s="360"/>
      <c r="AN23" s="355"/>
      <c r="AO23" s="355"/>
      <c r="AP23" s="355"/>
      <c r="AQ23" s="356"/>
      <c r="AR23" s="357"/>
      <c r="AS23" s="358"/>
      <c r="AT23" s="357"/>
      <c r="AU23" s="359"/>
      <c r="AV23" s="360"/>
      <c r="AW23" s="355"/>
      <c r="AX23" s="355"/>
      <c r="AY23" s="355"/>
      <c r="AZ23" s="356"/>
      <c r="BA23" s="357"/>
      <c r="BB23" s="358"/>
      <c r="BC23" s="357"/>
      <c r="BD23" s="359"/>
      <c r="BE23" s="360"/>
      <c r="BF23" s="355"/>
      <c r="BG23" s="355"/>
      <c r="BH23" s="355"/>
      <c r="BI23" s="356"/>
      <c r="BJ23" s="357"/>
      <c r="BK23" s="358"/>
      <c r="BL23" s="357"/>
      <c r="BM23" s="359"/>
      <c r="BN23" s="360"/>
      <c r="BO23" s="355"/>
      <c r="BP23" s="355"/>
      <c r="BQ23" s="355"/>
      <c r="BR23" s="356"/>
      <c r="BS23" s="357"/>
      <c r="BT23" s="358"/>
      <c r="BU23" s="357"/>
      <c r="BV23" s="359"/>
      <c r="BW23" s="360"/>
      <c r="BX23" s="355"/>
      <c r="BY23" s="355"/>
      <c r="BZ23" s="355"/>
      <c r="CA23" s="356"/>
      <c r="CB23" s="357"/>
      <c r="CC23" s="358"/>
      <c r="CD23" s="357"/>
      <c r="CE23" s="359"/>
      <c r="CF23" s="360"/>
      <c r="CG23" s="355"/>
      <c r="CH23" s="355"/>
      <c r="CI23" s="355"/>
      <c r="CJ23" s="356"/>
      <c r="CK23" s="357"/>
      <c r="CL23" s="358"/>
      <c r="CM23" s="357"/>
      <c r="CN23" s="359"/>
      <c r="CO23" s="360"/>
      <c r="CP23" s="355"/>
      <c r="CQ23" s="355"/>
      <c r="CR23" s="355"/>
      <c r="CS23" s="356"/>
      <c r="CT23" s="357"/>
      <c r="CU23" s="358"/>
      <c r="CV23" s="361"/>
      <c r="CW23" s="359"/>
      <c r="CX23" s="360"/>
      <c r="CY23" s="355"/>
      <c r="CZ23" s="355"/>
      <c r="DA23" s="355"/>
      <c r="DB23" s="356"/>
      <c r="DC23" s="357"/>
      <c r="DD23" s="358"/>
      <c r="DE23" s="357"/>
      <c r="DF23" s="359"/>
      <c r="DG23" s="360"/>
      <c r="DH23" s="355"/>
      <c r="DI23" s="355"/>
      <c r="DJ23" s="355"/>
      <c r="DK23" s="356"/>
      <c r="DL23" s="357"/>
      <c r="DM23" s="358"/>
      <c r="DN23" s="357"/>
      <c r="DO23" s="359"/>
      <c r="DP23" s="360"/>
      <c r="DQ23" s="355"/>
      <c r="DR23" s="355"/>
      <c r="DS23" s="355"/>
      <c r="DT23" s="356"/>
      <c r="DU23" s="357"/>
      <c r="DV23" s="358"/>
      <c r="DW23" s="357"/>
      <c r="DX23" s="359"/>
      <c r="DY23" s="360"/>
      <c r="DZ23" s="355"/>
      <c r="EA23" s="355"/>
      <c r="EB23" s="355"/>
      <c r="EC23" s="356"/>
      <c r="ED23" s="357"/>
      <c r="EE23" s="358"/>
      <c r="EF23" s="357"/>
      <c r="EG23" s="359"/>
      <c r="EH23" s="360"/>
      <c r="EI23" s="355"/>
      <c r="EJ23" s="355"/>
      <c r="EK23" s="355"/>
      <c r="EL23" s="356"/>
      <c r="EM23" s="357"/>
      <c r="EN23" s="358"/>
      <c r="EO23" s="357"/>
      <c r="EP23" s="359"/>
      <c r="EQ23" s="360"/>
      <c r="ER23" s="355"/>
      <c r="ES23" s="355"/>
      <c r="ET23" s="355"/>
      <c r="EU23" s="356"/>
      <c r="EV23" s="357"/>
      <c r="EW23" s="358"/>
      <c r="EX23" s="357"/>
      <c r="EY23" s="359"/>
      <c r="EZ23" s="360"/>
      <c r="FA23" s="355"/>
      <c r="FB23" s="355"/>
      <c r="FC23" s="355"/>
      <c r="FD23" s="356"/>
      <c r="FE23" s="357"/>
      <c r="FF23" s="358"/>
      <c r="FG23" s="357"/>
      <c r="FH23" s="359"/>
      <c r="FI23" s="360"/>
      <c r="FJ23" s="355"/>
      <c r="FK23" s="355"/>
      <c r="FL23" s="355"/>
      <c r="FM23" s="356"/>
      <c r="FN23" s="357"/>
      <c r="FO23" s="358"/>
      <c r="FP23" s="357"/>
      <c r="FQ23" s="359"/>
      <c r="FR23" s="360"/>
      <c r="FS23" s="355"/>
      <c r="FT23" s="355"/>
      <c r="FU23" s="355"/>
      <c r="FV23" s="356"/>
      <c r="FW23" s="357"/>
      <c r="FX23" s="358"/>
      <c r="FY23" s="357"/>
      <c r="FZ23" s="359"/>
      <c r="GA23" s="360"/>
      <c r="GB23" s="355"/>
      <c r="GC23" s="355"/>
      <c r="GD23" s="355"/>
      <c r="GE23" s="356"/>
      <c r="GF23" s="357"/>
      <c r="GG23" s="358"/>
      <c r="GH23" s="357"/>
      <c r="GI23" s="359"/>
      <c r="GJ23" s="360"/>
      <c r="GK23" s="355"/>
      <c r="GL23" s="355"/>
      <c r="GM23" s="355"/>
      <c r="GN23" s="356"/>
      <c r="GO23" s="357"/>
      <c r="GP23" s="358"/>
      <c r="GQ23" s="357"/>
      <c r="GR23" s="359"/>
      <c r="GS23" s="360"/>
      <c r="GT23" s="365">
        <v>42926</v>
      </c>
      <c r="GU23" s="98">
        <v>17584</v>
      </c>
      <c r="GV23" s="532" t="s">
        <v>516</v>
      </c>
      <c r="GW23" s="74"/>
      <c r="GX23" s="74"/>
      <c r="GY23" s="390" t="s">
        <v>598</v>
      </c>
      <c r="GZ23" s="86">
        <v>2088</v>
      </c>
      <c r="HA23" s="406"/>
    </row>
    <row r="24" spans="1:209" x14ac:dyDescent="0.25">
      <c r="C24" s="87"/>
      <c r="D24" s="35"/>
      <c r="E24" s="36"/>
      <c r="F24" s="37"/>
      <c r="G24" s="38"/>
      <c r="H24" s="39"/>
      <c r="I24" s="40"/>
      <c r="J24" s="68" t="s">
        <v>44</v>
      </c>
      <c r="K24" s="407" t="s">
        <v>41</v>
      </c>
      <c r="L24" s="70">
        <v>22280</v>
      </c>
      <c r="M24" s="71">
        <v>42902</v>
      </c>
      <c r="N24" s="380" t="s">
        <v>580</v>
      </c>
      <c r="O24" s="72">
        <v>27910</v>
      </c>
      <c r="P24" s="113">
        <f t="shared" si="0"/>
        <v>5630</v>
      </c>
      <c r="Q24" s="64">
        <v>28.5</v>
      </c>
      <c r="R24" s="64"/>
      <c r="S24" s="64"/>
      <c r="T24" s="39">
        <f t="shared" si="1"/>
        <v>795435</v>
      </c>
      <c r="U24" s="363" t="s">
        <v>72</v>
      </c>
      <c r="V24" s="353">
        <v>42927</v>
      </c>
      <c r="W24" s="364">
        <v>18850</v>
      </c>
      <c r="X24" s="355"/>
      <c r="Y24" s="356"/>
      <c r="Z24" s="357"/>
      <c r="AA24" s="358"/>
      <c r="AB24" s="357"/>
      <c r="AC24" s="359"/>
      <c r="AD24" s="360"/>
      <c r="AE24" s="355"/>
      <c r="AF24" s="355"/>
      <c r="AG24" s="355"/>
      <c r="AH24" s="356"/>
      <c r="AI24" s="357"/>
      <c r="AJ24" s="358"/>
      <c r="AK24" s="357"/>
      <c r="AL24" s="359"/>
      <c r="AM24" s="360"/>
      <c r="AN24" s="355"/>
      <c r="AO24" s="355"/>
      <c r="AP24" s="355"/>
      <c r="AQ24" s="356"/>
      <c r="AR24" s="357"/>
      <c r="AS24" s="358"/>
      <c r="AT24" s="357"/>
      <c r="AU24" s="359"/>
      <c r="AV24" s="360"/>
      <c r="AW24" s="355"/>
      <c r="AX24" s="355"/>
      <c r="AY24" s="355"/>
      <c r="AZ24" s="356"/>
      <c r="BA24" s="357"/>
      <c r="BB24" s="358"/>
      <c r="BC24" s="357"/>
      <c r="BD24" s="359"/>
      <c r="BE24" s="360"/>
      <c r="BF24" s="355"/>
      <c r="BG24" s="355"/>
      <c r="BH24" s="355"/>
      <c r="BI24" s="356"/>
      <c r="BJ24" s="357"/>
      <c r="BK24" s="358"/>
      <c r="BL24" s="357"/>
      <c r="BM24" s="359"/>
      <c r="BN24" s="360"/>
      <c r="BO24" s="355"/>
      <c r="BP24" s="355"/>
      <c r="BQ24" s="355"/>
      <c r="BR24" s="356"/>
      <c r="BS24" s="357"/>
      <c r="BT24" s="358"/>
      <c r="BU24" s="357"/>
      <c r="BV24" s="359"/>
      <c r="BW24" s="360"/>
      <c r="BX24" s="355"/>
      <c r="BY24" s="355"/>
      <c r="BZ24" s="355"/>
      <c r="CA24" s="356"/>
      <c r="CB24" s="357"/>
      <c r="CC24" s="358"/>
      <c r="CD24" s="357"/>
      <c r="CE24" s="359"/>
      <c r="CF24" s="360"/>
      <c r="CG24" s="355"/>
      <c r="CH24" s="355"/>
      <c r="CI24" s="355"/>
      <c r="CJ24" s="356"/>
      <c r="CK24" s="357"/>
      <c r="CL24" s="358"/>
      <c r="CM24" s="357"/>
      <c r="CN24" s="359"/>
      <c r="CO24" s="360"/>
      <c r="CP24" s="355"/>
      <c r="CQ24" s="355"/>
      <c r="CR24" s="355"/>
      <c r="CS24" s="356"/>
      <c r="CT24" s="357"/>
      <c r="CU24" s="358"/>
      <c r="CV24" s="361"/>
      <c r="CW24" s="359"/>
      <c r="CX24" s="360"/>
      <c r="CY24" s="355"/>
      <c r="CZ24" s="355"/>
      <c r="DA24" s="355"/>
      <c r="DB24" s="356"/>
      <c r="DC24" s="357"/>
      <c r="DD24" s="358"/>
      <c r="DE24" s="357"/>
      <c r="DF24" s="359"/>
      <c r="DG24" s="360"/>
      <c r="DH24" s="355"/>
      <c r="DI24" s="355"/>
      <c r="DJ24" s="355"/>
      <c r="DK24" s="356"/>
      <c r="DL24" s="357"/>
      <c r="DM24" s="358"/>
      <c r="DN24" s="357"/>
      <c r="DO24" s="359"/>
      <c r="DP24" s="360"/>
      <c r="DQ24" s="355"/>
      <c r="DR24" s="355"/>
      <c r="DS24" s="355"/>
      <c r="DT24" s="356"/>
      <c r="DU24" s="357"/>
      <c r="DV24" s="358"/>
      <c r="DW24" s="357"/>
      <c r="DX24" s="359"/>
      <c r="DY24" s="360"/>
      <c r="DZ24" s="355"/>
      <c r="EA24" s="355"/>
      <c r="EB24" s="355"/>
      <c r="EC24" s="356"/>
      <c r="ED24" s="357"/>
      <c r="EE24" s="358"/>
      <c r="EF24" s="357"/>
      <c r="EG24" s="359"/>
      <c r="EH24" s="360"/>
      <c r="EI24" s="355"/>
      <c r="EJ24" s="355"/>
      <c r="EK24" s="355"/>
      <c r="EL24" s="356"/>
      <c r="EM24" s="357"/>
      <c r="EN24" s="358"/>
      <c r="EO24" s="357"/>
      <c r="EP24" s="359"/>
      <c r="EQ24" s="360"/>
      <c r="ER24" s="355"/>
      <c r="ES24" s="355"/>
      <c r="ET24" s="355"/>
      <c r="EU24" s="356"/>
      <c r="EV24" s="357"/>
      <c r="EW24" s="358"/>
      <c r="EX24" s="357"/>
      <c r="EY24" s="359"/>
      <c r="EZ24" s="360"/>
      <c r="FA24" s="355"/>
      <c r="FB24" s="355"/>
      <c r="FC24" s="355"/>
      <c r="FD24" s="356"/>
      <c r="FE24" s="357"/>
      <c r="FF24" s="358"/>
      <c r="FG24" s="357"/>
      <c r="FH24" s="359"/>
      <c r="FI24" s="360"/>
      <c r="FJ24" s="355"/>
      <c r="FK24" s="355"/>
      <c r="FL24" s="355"/>
      <c r="FM24" s="356"/>
      <c r="FN24" s="357"/>
      <c r="FO24" s="358"/>
      <c r="FP24" s="357"/>
      <c r="FQ24" s="359"/>
      <c r="FR24" s="360"/>
      <c r="FS24" s="355"/>
      <c r="FT24" s="355"/>
      <c r="FU24" s="355"/>
      <c r="FV24" s="356"/>
      <c r="FW24" s="357"/>
      <c r="FX24" s="358"/>
      <c r="FY24" s="357"/>
      <c r="FZ24" s="359"/>
      <c r="GA24" s="360"/>
      <c r="GB24" s="355"/>
      <c r="GC24" s="355"/>
      <c r="GD24" s="355"/>
      <c r="GE24" s="356"/>
      <c r="GF24" s="357"/>
      <c r="GG24" s="358"/>
      <c r="GH24" s="357"/>
      <c r="GI24" s="359"/>
      <c r="GJ24" s="360"/>
      <c r="GK24" s="355"/>
      <c r="GL24" s="355"/>
      <c r="GM24" s="355"/>
      <c r="GN24" s="356"/>
      <c r="GO24" s="357"/>
      <c r="GP24" s="358"/>
      <c r="GQ24" s="357"/>
      <c r="GR24" s="359"/>
      <c r="GS24" s="360"/>
      <c r="GT24" s="362">
        <v>42927</v>
      </c>
      <c r="GU24" s="98"/>
      <c r="GV24" s="65"/>
      <c r="GW24" s="74"/>
      <c r="GX24" s="74"/>
      <c r="GY24" s="389" t="s">
        <v>620</v>
      </c>
      <c r="GZ24" s="67">
        <v>3712</v>
      </c>
    </row>
    <row r="25" spans="1:209" ht="30" x14ac:dyDescent="0.25">
      <c r="A25" s="1">
        <v>23</v>
      </c>
      <c r="B25" t="e">
        <f>#REF!</f>
        <v>#REF!</v>
      </c>
      <c r="C25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68" t="s">
        <v>38</v>
      </c>
      <c r="K25" s="407" t="s">
        <v>496</v>
      </c>
      <c r="L25" s="70">
        <v>10370</v>
      </c>
      <c r="M25" s="71">
        <v>42902</v>
      </c>
      <c r="N25" s="380" t="s">
        <v>578</v>
      </c>
      <c r="O25" s="72">
        <v>13274.3</v>
      </c>
      <c r="P25" s="113">
        <f t="shared" si="0"/>
        <v>2904.2999999999993</v>
      </c>
      <c r="Q25" s="64">
        <v>28.5</v>
      </c>
      <c r="R25" s="64"/>
      <c r="S25" s="64"/>
      <c r="T25" s="39">
        <f t="shared" si="1"/>
        <v>378317.55</v>
      </c>
      <c r="U25" s="363" t="s">
        <v>72</v>
      </c>
      <c r="V25" s="366">
        <v>42926</v>
      </c>
      <c r="W25" s="367">
        <v>9651.2000000000007</v>
      </c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57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362">
        <v>42926</v>
      </c>
      <c r="GU25" s="98">
        <v>17584</v>
      </c>
      <c r="GV25" s="533" t="s">
        <v>517</v>
      </c>
      <c r="GW25" s="74"/>
      <c r="GX25" s="74"/>
      <c r="GY25" s="391" t="s">
        <v>620</v>
      </c>
      <c r="GZ25" s="67">
        <v>2088</v>
      </c>
    </row>
    <row r="26" spans="1:209" x14ac:dyDescent="0.25">
      <c r="D26" s="35"/>
      <c r="E26" s="36"/>
      <c r="F26" s="37"/>
      <c r="G26" s="38"/>
      <c r="H26" s="39"/>
      <c r="I26" s="40"/>
      <c r="J26" s="68" t="s">
        <v>33</v>
      </c>
      <c r="K26" s="407" t="s">
        <v>497</v>
      </c>
      <c r="L26" s="70">
        <v>24120</v>
      </c>
      <c r="M26" s="71">
        <v>42904</v>
      </c>
      <c r="N26" s="380" t="s">
        <v>581</v>
      </c>
      <c r="O26" s="72">
        <v>30315</v>
      </c>
      <c r="P26" s="113">
        <f t="shared" si="0"/>
        <v>6195</v>
      </c>
      <c r="Q26" s="117">
        <v>28.5</v>
      </c>
      <c r="R26" s="117"/>
      <c r="S26" s="117"/>
      <c r="T26" s="39">
        <f t="shared" si="1"/>
        <v>863977.5</v>
      </c>
      <c r="U26" s="363" t="s">
        <v>72</v>
      </c>
      <c r="V26" s="353">
        <v>19528.599999999999</v>
      </c>
      <c r="W26" s="368">
        <v>19528.599999999999</v>
      </c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57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362">
        <v>42904</v>
      </c>
      <c r="GU26" s="98"/>
      <c r="GV26" s="65"/>
      <c r="GW26" s="74"/>
      <c r="GX26" s="74"/>
      <c r="GY26" s="389" t="s">
        <v>620</v>
      </c>
      <c r="GZ26" s="67">
        <v>3944</v>
      </c>
    </row>
    <row r="27" spans="1:209" ht="32.25" customHeight="1" x14ac:dyDescent="0.25">
      <c r="D27" s="35"/>
      <c r="E27" s="36"/>
      <c r="F27" s="37"/>
      <c r="G27" s="38"/>
      <c r="H27" s="39"/>
      <c r="I27" s="40"/>
      <c r="J27" s="68" t="s">
        <v>527</v>
      </c>
      <c r="K27" s="407" t="s">
        <v>143</v>
      </c>
      <c r="L27" s="70">
        <v>102</v>
      </c>
      <c r="M27" s="71">
        <v>42904</v>
      </c>
      <c r="N27" s="382">
        <v>94982</v>
      </c>
      <c r="O27" s="72">
        <v>102</v>
      </c>
      <c r="P27" s="113">
        <f t="shared" si="0"/>
        <v>0</v>
      </c>
      <c r="Q27" s="117">
        <v>165</v>
      </c>
      <c r="R27" s="905" t="s">
        <v>531</v>
      </c>
      <c r="S27" s="906"/>
      <c r="T27" s="39">
        <f t="shared" si="1"/>
        <v>16830</v>
      </c>
      <c r="U27" s="525" t="s">
        <v>72</v>
      </c>
      <c r="V27" s="526">
        <v>42908</v>
      </c>
      <c r="W27" s="377"/>
      <c r="X27" s="146"/>
      <c r="Y27" s="147"/>
      <c r="Z27" s="148"/>
      <c r="AA27" s="149"/>
      <c r="AB27" s="148"/>
      <c r="AC27" s="150"/>
      <c r="AD27" s="151"/>
      <c r="AE27" s="146"/>
      <c r="AF27" s="146"/>
      <c r="AG27" s="146"/>
      <c r="AH27" s="147"/>
      <c r="AI27" s="148"/>
      <c r="AJ27" s="149"/>
      <c r="AK27" s="148"/>
      <c r="AL27" s="150"/>
      <c r="AM27" s="151"/>
      <c r="AN27" s="146"/>
      <c r="AO27" s="146"/>
      <c r="AP27" s="146"/>
      <c r="AQ27" s="147"/>
      <c r="AR27" s="148"/>
      <c r="AS27" s="149"/>
      <c r="AT27" s="148"/>
      <c r="AU27" s="150"/>
      <c r="AV27" s="151"/>
      <c r="AW27" s="146"/>
      <c r="AX27" s="146"/>
      <c r="AY27" s="146"/>
      <c r="AZ27" s="147"/>
      <c r="BA27" s="148"/>
      <c r="BB27" s="149"/>
      <c r="BC27" s="148"/>
      <c r="BD27" s="150"/>
      <c r="BE27" s="151"/>
      <c r="BF27" s="146"/>
      <c r="BG27" s="146"/>
      <c r="BH27" s="146"/>
      <c r="BI27" s="147"/>
      <c r="BJ27" s="148"/>
      <c r="BK27" s="149"/>
      <c r="BL27" s="148"/>
      <c r="BM27" s="150"/>
      <c r="BN27" s="151"/>
      <c r="BO27" s="146"/>
      <c r="BP27" s="146"/>
      <c r="BQ27" s="146"/>
      <c r="BR27" s="147"/>
      <c r="BS27" s="148"/>
      <c r="BT27" s="149"/>
      <c r="BU27" s="148"/>
      <c r="BV27" s="150"/>
      <c r="BW27" s="151"/>
      <c r="BX27" s="146"/>
      <c r="BY27" s="146"/>
      <c r="BZ27" s="146"/>
      <c r="CA27" s="147"/>
      <c r="CB27" s="148"/>
      <c r="CC27" s="149"/>
      <c r="CD27" s="148"/>
      <c r="CE27" s="150"/>
      <c r="CF27" s="151"/>
      <c r="CG27" s="146"/>
      <c r="CH27" s="146"/>
      <c r="CI27" s="146"/>
      <c r="CJ27" s="147"/>
      <c r="CK27" s="148"/>
      <c r="CL27" s="149"/>
      <c r="CM27" s="148"/>
      <c r="CN27" s="150"/>
      <c r="CO27" s="151"/>
      <c r="CP27" s="146"/>
      <c r="CQ27" s="146"/>
      <c r="CR27" s="146"/>
      <c r="CS27" s="147"/>
      <c r="CT27" s="148"/>
      <c r="CU27" s="149"/>
      <c r="CV27" s="148"/>
      <c r="CW27" s="150"/>
      <c r="CX27" s="151"/>
      <c r="CY27" s="146"/>
      <c r="CZ27" s="146"/>
      <c r="DA27" s="146"/>
      <c r="DB27" s="147"/>
      <c r="DC27" s="148"/>
      <c r="DD27" s="149"/>
      <c r="DE27" s="148"/>
      <c r="DF27" s="150"/>
      <c r="DG27" s="151"/>
      <c r="DH27" s="146"/>
      <c r="DI27" s="146"/>
      <c r="DJ27" s="146"/>
      <c r="DK27" s="147"/>
      <c r="DL27" s="148"/>
      <c r="DM27" s="149"/>
      <c r="DN27" s="148"/>
      <c r="DO27" s="150"/>
      <c r="DP27" s="151"/>
      <c r="DQ27" s="146"/>
      <c r="DR27" s="146"/>
      <c r="DS27" s="146"/>
      <c r="DT27" s="147"/>
      <c r="DU27" s="148"/>
      <c r="DV27" s="149"/>
      <c r="DW27" s="148"/>
      <c r="DX27" s="150"/>
      <c r="DY27" s="151"/>
      <c r="DZ27" s="146"/>
      <c r="EA27" s="146"/>
      <c r="EB27" s="146"/>
      <c r="EC27" s="147"/>
      <c r="ED27" s="148"/>
      <c r="EE27" s="149"/>
      <c r="EF27" s="148"/>
      <c r="EG27" s="150"/>
      <c r="EH27" s="151"/>
      <c r="EI27" s="146"/>
      <c r="EJ27" s="146"/>
      <c r="EK27" s="146"/>
      <c r="EL27" s="147"/>
      <c r="EM27" s="148"/>
      <c r="EN27" s="149"/>
      <c r="EO27" s="148"/>
      <c r="EP27" s="150"/>
      <c r="EQ27" s="151"/>
      <c r="ER27" s="146"/>
      <c r="ES27" s="146"/>
      <c r="ET27" s="146"/>
      <c r="EU27" s="147"/>
      <c r="EV27" s="148"/>
      <c r="EW27" s="149"/>
      <c r="EX27" s="148"/>
      <c r="EY27" s="150"/>
      <c r="EZ27" s="151"/>
      <c r="FA27" s="146"/>
      <c r="FB27" s="146"/>
      <c r="FC27" s="146"/>
      <c r="FD27" s="147"/>
      <c r="FE27" s="148"/>
      <c r="FF27" s="149"/>
      <c r="FG27" s="148"/>
      <c r="FH27" s="150"/>
      <c r="FI27" s="151"/>
      <c r="FJ27" s="146"/>
      <c r="FK27" s="146"/>
      <c r="FL27" s="146"/>
      <c r="FM27" s="147"/>
      <c r="FN27" s="148"/>
      <c r="FO27" s="149"/>
      <c r="FP27" s="148"/>
      <c r="FQ27" s="150"/>
      <c r="FR27" s="151"/>
      <c r="FS27" s="146"/>
      <c r="FT27" s="146"/>
      <c r="FU27" s="146"/>
      <c r="FV27" s="147"/>
      <c r="FW27" s="148"/>
      <c r="FX27" s="149"/>
      <c r="FY27" s="148"/>
      <c r="FZ27" s="150"/>
      <c r="GA27" s="151"/>
      <c r="GB27" s="146"/>
      <c r="GC27" s="146"/>
      <c r="GD27" s="146"/>
      <c r="GE27" s="147"/>
      <c r="GF27" s="148"/>
      <c r="GG27" s="149"/>
      <c r="GH27" s="148"/>
      <c r="GI27" s="150"/>
      <c r="GJ27" s="151"/>
      <c r="GK27" s="146"/>
      <c r="GL27" s="146"/>
      <c r="GM27" s="146"/>
      <c r="GN27" s="147"/>
      <c r="GO27" s="148"/>
      <c r="GP27" s="149"/>
      <c r="GQ27" s="148"/>
      <c r="GR27" s="150"/>
      <c r="GS27" s="151"/>
      <c r="GT27" s="152"/>
      <c r="GU27" s="98"/>
      <c r="GV27" s="65"/>
      <c r="GW27" s="74"/>
      <c r="GX27" s="74"/>
      <c r="GY27" s="389" t="s">
        <v>621</v>
      </c>
      <c r="GZ27" s="67">
        <v>0</v>
      </c>
    </row>
    <row r="28" spans="1:209" x14ac:dyDescent="0.25">
      <c r="D28" s="35"/>
      <c r="E28" s="36"/>
      <c r="F28" s="37"/>
      <c r="G28" s="38"/>
      <c r="H28" s="39"/>
      <c r="I28" s="40"/>
      <c r="J28" s="68" t="s">
        <v>44</v>
      </c>
      <c r="K28" s="407" t="s">
        <v>59</v>
      </c>
      <c r="L28" s="70">
        <v>21630</v>
      </c>
      <c r="M28" s="71">
        <v>42905</v>
      </c>
      <c r="N28" s="380" t="s">
        <v>592</v>
      </c>
      <c r="O28" s="72">
        <v>26785</v>
      </c>
      <c r="P28" s="113">
        <f t="shared" si="0"/>
        <v>5155</v>
      </c>
      <c r="Q28" s="64">
        <v>28.8</v>
      </c>
      <c r="R28" s="64"/>
      <c r="S28" s="64"/>
      <c r="T28" s="39">
        <f t="shared" si="1"/>
        <v>771408</v>
      </c>
      <c r="U28" s="363" t="s">
        <v>72</v>
      </c>
      <c r="V28" s="353">
        <v>42929</v>
      </c>
      <c r="W28" s="368">
        <v>17342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362">
        <v>42929</v>
      </c>
      <c r="GU28" s="98">
        <v>22176</v>
      </c>
      <c r="GV28" s="532" t="s">
        <v>539</v>
      </c>
      <c r="GW28" s="74"/>
      <c r="GX28" s="74"/>
      <c r="GY28" s="391" t="s">
        <v>620</v>
      </c>
      <c r="GZ28" s="67">
        <v>3944</v>
      </c>
    </row>
    <row r="29" spans="1:209" x14ac:dyDescent="0.25">
      <c r="D29" s="35"/>
      <c r="E29" s="36"/>
      <c r="F29" s="37"/>
      <c r="G29" s="38"/>
      <c r="H29" s="39"/>
      <c r="I29" s="40"/>
      <c r="J29" s="68" t="s">
        <v>42</v>
      </c>
      <c r="K29" s="407" t="s">
        <v>40</v>
      </c>
      <c r="L29" s="70">
        <v>19650</v>
      </c>
      <c r="M29" s="71">
        <v>42906</v>
      </c>
      <c r="N29" s="381" t="s">
        <v>593</v>
      </c>
      <c r="O29" s="72">
        <v>24550</v>
      </c>
      <c r="P29" s="113">
        <f t="shared" si="0"/>
        <v>4900</v>
      </c>
      <c r="Q29" s="117">
        <v>28.8</v>
      </c>
      <c r="R29" s="64"/>
      <c r="S29" s="120"/>
      <c r="T29" s="39">
        <f t="shared" si="1"/>
        <v>707040</v>
      </c>
      <c r="U29" s="363" t="s">
        <v>72</v>
      </c>
      <c r="V29" s="353">
        <v>42930</v>
      </c>
      <c r="W29" s="369">
        <v>16588</v>
      </c>
      <c r="X29" s="355"/>
      <c r="Y29" s="356"/>
      <c r="Z29" s="357"/>
      <c r="AA29" s="358"/>
      <c r="AB29" s="357"/>
      <c r="AC29" s="359"/>
      <c r="AD29" s="360"/>
      <c r="AE29" s="355"/>
      <c r="AF29" s="355"/>
      <c r="AG29" s="355"/>
      <c r="AH29" s="356"/>
      <c r="AI29" s="357"/>
      <c r="AJ29" s="358"/>
      <c r="AK29" s="357"/>
      <c r="AL29" s="359"/>
      <c r="AM29" s="360"/>
      <c r="AN29" s="355"/>
      <c r="AO29" s="355"/>
      <c r="AP29" s="355"/>
      <c r="AQ29" s="356"/>
      <c r="AR29" s="357"/>
      <c r="AS29" s="358"/>
      <c r="AT29" s="357"/>
      <c r="AU29" s="359"/>
      <c r="AV29" s="360"/>
      <c r="AW29" s="355"/>
      <c r="AX29" s="355"/>
      <c r="AY29" s="355"/>
      <c r="AZ29" s="356"/>
      <c r="BA29" s="357"/>
      <c r="BB29" s="358"/>
      <c r="BC29" s="357"/>
      <c r="BD29" s="359"/>
      <c r="BE29" s="360"/>
      <c r="BF29" s="355"/>
      <c r="BG29" s="355"/>
      <c r="BH29" s="355"/>
      <c r="BI29" s="356"/>
      <c r="BJ29" s="357"/>
      <c r="BK29" s="358"/>
      <c r="BL29" s="357"/>
      <c r="BM29" s="359"/>
      <c r="BN29" s="360"/>
      <c r="BO29" s="355"/>
      <c r="BP29" s="355"/>
      <c r="BQ29" s="355"/>
      <c r="BR29" s="356"/>
      <c r="BS29" s="357"/>
      <c r="BT29" s="358"/>
      <c r="BU29" s="357"/>
      <c r="BV29" s="359"/>
      <c r="BW29" s="360"/>
      <c r="BX29" s="355"/>
      <c r="BY29" s="355"/>
      <c r="BZ29" s="355"/>
      <c r="CA29" s="356"/>
      <c r="CB29" s="357"/>
      <c r="CC29" s="358"/>
      <c r="CD29" s="357"/>
      <c r="CE29" s="359"/>
      <c r="CF29" s="360"/>
      <c r="CG29" s="355"/>
      <c r="CH29" s="355"/>
      <c r="CI29" s="355"/>
      <c r="CJ29" s="356"/>
      <c r="CK29" s="357"/>
      <c r="CL29" s="358"/>
      <c r="CM29" s="357"/>
      <c r="CN29" s="359"/>
      <c r="CO29" s="360"/>
      <c r="CP29" s="355"/>
      <c r="CQ29" s="355"/>
      <c r="CR29" s="355"/>
      <c r="CS29" s="356"/>
      <c r="CT29" s="357"/>
      <c r="CU29" s="358"/>
      <c r="CV29" s="357"/>
      <c r="CW29" s="359"/>
      <c r="CX29" s="360"/>
      <c r="CY29" s="355"/>
      <c r="CZ29" s="355"/>
      <c r="DA29" s="355"/>
      <c r="DB29" s="356"/>
      <c r="DC29" s="357"/>
      <c r="DD29" s="358"/>
      <c r="DE29" s="357"/>
      <c r="DF29" s="359"/>
      <c r="DG29" s="360"/>
      <c r="DH29" s="355"/>
      <c r="DI29" s="355"/>
      <c r="DJ29" s="355"/>
      <c r="DK29" s="356"/>
      <c r="DL29" s="357"/>
      <c r="DM29" s="358"/>
      <c r="DN29" s="357"/>
      <c r="DO29" s="359"/>
      <c r="DP29" s="360"/>
      <c r="DQ29" s="355"/>
      <c r="DR29" s="355"/>
      <c r="DS29" s="355"/>
      <c r="DT29" s="356"/>
      <c r="DU29" s="357"/>
      <c r="DV29" s="358"/>
      <c r="DW29" s="357"/>
      <c r="DX29" s="359"/>
      <c r="DY29" s="360"/>
      <c r="DZ29" s="355"/>
      <c r="EA29" s="355"/>
      <c r="EB29" s="355"/>
      <c r="EC29" s="356"/>
      <c r="ED29" s="357"/>
      <c r="EE29" s="358"/>
      <c r="EF29" s="357"/>
      <c r="EG29" s="359"/>
      <c r="EH29" s="360"/>
      <c r="EI29" s="355"/>
      <c r="EJ29" s="355"/>
      <c r="EK29" s="355"/>
      <c r="EL29" s="356"/>
      <c r="EM29" s="357"/>
      <c r="EN29" s="358"/>
      <c r="EO29" s="357"/>
      <c r="EP29" s="359"/>
      <c r="EQ29" s="360"/>
      <c r="ER29" s="355"/>
      <c r="ES29" s="355"/>
      <c r="ET29" s="355"/>
      <c r="EU29" s="356"/>
      <c r="EV29" s="357"/>
      <c r="EW29" s="358"/>
      <c r="EX29" s="357"/>
      <c r="EY29" s="359"/>
      <c r="EZ29" s="360"/>
      <c r="FA29" s="355"/>
      <c r="FB29" s="355"/>
      <c r="FC29" s="355"/>
      <c r="FD29" s="356"/>
      <c r="FE29" s="357"/>
      <c r="FF29" s="358"/>
      <c r="FG29" s="357"/>
      <c r="FH29" s="359"/>
      <c r="FI29" s="360"/>
      <c r="FJ29" s="355"/>
      <c r="FK29" s="355"/>
      <c r="FL29" s="355"/>
      <c r="FM29" s="356"/>
      <c r="FN29" s="357"/>
      <c r="FO29" s="358"/>
      <c r="FP29" s="357"/>
      <c r="FQ29" s="359"/>
      <c r="FR29" s="360"/>
      <c r="FS29" s="355"/>
      <c r="FT29" s="355"/>
      <c r="FU29" s="355"/>
      <c r="FV29" s="356"/>
      <c r="FW29" s="357"/>
      <c r="FX29" s="358"/>
      <c r="FY29" s="357"/>
      <c r="FZ29" s="359"/>
      <c r="GA29" s="360"/>
      <c r="GB29" s="355"/>
      <c r="GC29" s="355"/>
      <c r="GD29" s="355"/>
      <c r="GE29" s="356"/>
      <c r="GF29" s="357"/>
      <c r="GG29" s="358"/>
      <c r="GH29" s="357"/>
      <c r="GI29" s="359"/>
      <c r="GJ29" s="360"/>
      <c r="GK29" s="355"/>
      <c r="GL29" s="355"/>
      <c r="GM29" s="355"/>
      <c r="GN29" s="356"/>
      <c r="GO29" s="357"/>
      <c r="GP29" s="358"/>
      <c r="GQ29" s="357"/>
      <c r="GR29" s="359"/>
      <c r="GS29" s="360"/>
      <c r="GT29" s="370">
        <v>42930</v>
      </c>
      <c r="GU29" s="98"/>
      <c r="GV29" s="84"/>
      <c r="GW29" s="74"/>
      <c r="GX29" s="74"/>
      <c r="GY29" s="391" t="s">
        <v>620</v>
      </c>
      <c r="GZ29" s="67">
        <v>3944</v>
      </c>
    </row>
    <row r="30" spans="1:209" x14ac:dyDescent="0.25">
      <c r="D30" s="35"/>
      <c r="E30" s="36"/>
      <c r="F30" s="37"/>
      <c r="G30" s="38"/>
      <c r="H30" s="39"/>
      <c r="I30" s="40"/>
      <c r="J30" s="68" t="s">
        <v>44</v>
      </c>
      <c r="K30" s="451" t="s">
        <v>498</v>
      </c>
      <c r="L30" s="70">
        <v>20200</v>
      </c>
      <c r="M30" s="71">
        <v>42907</v>
      </c>
      <c r="N30" s="380" t="s">
        <v>595</v>
      </c>
      <c r="O30" s="72">
        <v>25225</v>
      </c>
      <c r="P30" s="113">
        <f t="shared" si="0"/>
        <v>5025</v>
      </c>
      <c r="Q30" s="117">
        <v>28.8</v>
      </c>
      <c r="R30" s="117"/>
      <c r="S30" s="89"/>
      <c r="T30" s="39">
        <f t="shared" si="1"/>
        <v>726480</v>
      </c>
      <c r="U30" s="363" t="s">
        <v>72</v>
      </c>
      <c r="V30" s="353">
        <v>42933</v>
      </c>
      <c r="W30" s="368">
        <v>16663.400000000001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362">
        <v>42933</v>
      </c>
      <c r="GU30" s="98">
        <v>22176</v>
      </c>
      <c r="GV30" s="532" t="s">
        <v>540</v>
      </c>
      <c r="GW30" s="74"/>
      <c r="GX30" s="74"/>
      <c r="GY30" s="391" t="s">
        <v>620</v>
      </c>
      <c r="GZ30" s="67">
        <v>3944</v>
      </c>
    </row>
    <row r="31" spans="1:209" x14ac:dyDescent="0.25">
      <c r="D31" s="35"/>
      <c r="E31" s="36"/>
      <c r="F31" s="37"/>
      <c r="G31" s="38"/>
      <c r="H31" s="39"/>
      <c r="I31" s="40"/>
      <c r="J31" s="68" t="s">
        <v>44</v>
      </c>
      <c r="K31" s="451" t="s">
        <v>370</v>
      </c>
      <c r="L31" s="70">
        <v>22500</v>
      </c>
      <c r="M31" s="71">
        <v>42908</v>
      </c>
      <c r="N31" s="380" t="s">
        <v>596</v>
      </c>
      <c r="O31" s="72">
        <v>28155</v>
      </c>
      <c r="P31" s="113">
        <f t="shared" si="0"/>
        <v>5655</v>
      </c>
      <c r="Q31" s="117">
        <v>29</v>
      </c>
      <c r="R31" s="117"/>
      <c r="S31" s="89"/>
      <c r="T31" s="39">
        <f t="shared" si="1"/>
        <v>816495</v>
      </c>
      <c r="U31" s="363" t="s">
        <v>72</v>
      </c>
      <c r="V31" s="353">
        <v>42933</v>
      </c>
      <c r="W31" s="368">
        <v>18623.8</v>
      </c>
      <c r="X31" s="355"/>
      <c r="Y31" s="356"/>
      <c r="Z31" s="357"/>
      <c r="AA31" s="358"/>
      <c r="AB31" s="357"/>
      <c r="AC31" s="359"/>
      <c r="AD31" s="360"/>
      <c r="AE31" s="355"/>
      <c r="AF31" s="355"/>
      <c r="AG31" s="355"/>
      <c r="AH31" s="356"/>
      <c r="AI31" s="357"/>
      <c r="AJ31" s="358"/>
      <c r="AK31" s="357"/>
      <c r="AL31" s="359"/>
      <c r="AM31" s="360"/>
      <c r="AN31" s="355"/>
      <c r="AO31" s="355"/>
      <c r="AP31" s="355"/>
      <c r="AQ31" s="356"/>
      <c r="AR31" s="357"/>
      <c r="AS31" s="358"/>
      <c r="AT31" s="357"/>
      <c r="AU31" s="359"/>
      <c r="AV31" s="360"/>
      <c r="AW31" s="355"/>
      <c r="AX31" s="355"/>
      <c r="AY31" s="355"/>
      <c r="AZ31" s="356"/>
      <c r="BA31" s="357"/>
      <c r="BB31" s="358"/>
      <c r="BC31" s="357"/>
      <c r="BD31" s="359"/>
      <c r="BE31" s="360"/>
      <c r="BF31" s="355"/>
      <c r="BG31" s="355"/>
      <c r="BH31" s="355"/>
      <c r="BI31" s="356"/>
      <c r="BJ31" s="357"/>
      <c r="BK31" s="358"/>
      <c r="BL31" s="357"/>
      <c r="BM31" s="359"/>
      <c r="BN31" s="360"/>
      <c r="BO31" s="355"/>
      <c r="BP31" s="355"/>
      <c r="BQ31" s="355"/>
      <c r="BR31" s="356"/>
      <c r="BS31" s="357"/>
      <c r="BT31" s="358"/>
      <c r="BU31" s="357"/>
      <c r="BV31" s="359"/>
      <c r="BW31" s="360"/>
      <c r="BX31" s="355"/>
      <c r="BY31" s="355"/>
      <c r="BZ31" s="355"/>
      <c r="CA31" s="356"/>
      <c r="CB31" s="357"/>
      <c r="CC31" s="358"/>
      <c r="CD31" s="357"/>
      <c r="CE31" s="359"/>
      <c r="CF31" s="360"/>
      <c r="CG31" s="355"/>
      <c r="CH31" s="355"/>
      <c r="CI31" s="355"/>
      <c r="CJ31" s="356"/>
      <c r="CK31" s="357"/>
      <c r="CL31" s="358"/>
      <c r="CM31" s="357"/>
      <c r="CN31" s="359"/>
      <c r="CO31" s="360"/>
      <c r="CP31" s="355"/>
      <c r="CQ31" s="355"/>
      <c r="CR31" s="355"/>
      <c r="CS31" s="356"/>
      <c r="CT31" s="357"/>
      <c r="CU31" s="358"/>
      <c r="CV31" s="357"/>
      <c r="CW31" s="359"/>
      <c r="CX31" s="360"/>
      <c r="CY31" s="355"/>
      <c r="CZ31" s="355"/>
      <c r="DA31" s="355"/>
      <c r="DB31" s="356"/>
      <c r="DC31" s="357"/>
      <c r="DD31" s="358"/>
      <c r="DE31" s="357"/>
      <c r="DF31" s="359"/>
      <c r="DG31" s="360"/>
      <c r="DH31" s="355"/>
      <c r="DI31" s="355"/>
      <c r="DJ31" s="355"/>
      <c r="DK31" s="356"/>
      <c r="DL31" s="357"/>
      <c r="DM31" s="358"/>
      <c r="DN31" s="357"/>
      <c r="DO31" s="359"/>
      <c r="DP31" s="360"/>
      <c r="DQ31" s="355"/>
      <c r="DR31" s="355"/>
      <c r="DS31" s="355"/>
      <c r="DT31" s="356"/>
      <c r="DU31" s="357"/>
      <c r="DV31" s="358"/>
      <c r="DW31" s="357"/>
      <c r="DX31" s="359"/>
      <c r="DY31" s="360"/>
      <c r="DZ31" s="355"/>
      <c r="EA31" s="355"/>
      <c r="EB31" s="355"/>
      <c r="EC31" s="356"/>
      <c r="ED31" s="357"/>
      <c r="EE31" s="358"/>
      <c r="EF31" s="357"/>
      <c r="EG31" s="359"/>
      <c r="EH31" s="360"/>
      <c r="EI31" s="355"/>
      <c r="EJ31" s="355"/>
      <c r="EK31" s="355"/>
      <c r="EL31" s="356"/>
      <c r="EM31" s="357"/>
      <c r="EN31" s="358"/>
      <c r="EO31" s="357"/>
      <c r="EP31" s="359"/>
      <c r="EQ31" s="360"/>
      <c r="ER31" s="355"/>
      <c r="ES31" s="355"/>
      <c r="ET31" s="355"/>
      <c r="EU31" s="356"/>
      <c r="EV31" s="357"/>
      <c r="EW31" s="358"/>
      <c r="EX31" s="357"/>
      <c r="EY31" s="359"/>
      <c r="EZ31" s="360"/>
      <c r="FA31" s="355"/>
      <c r="FB31" s="355"/>
      <c r="FC31" s="355"/>
      <c r="FD31" s="356"/>
      <c r="FE31" s="357"/>
      <c r="FF31" s="358"/>
      <c r="FG31" s="357"/>
      <c r="FH31" s="359"/>
      <c r="FI31" s="360"/>
      <c r="FJ31" s="355"/>
      <c r="FK31" s="355"/>
      <c r="FL31" s="355"/>
      <c r="FM31" s="356"/>
      <c r="FN31" s="357"/>
      <c r="FO31" s="358"/>
      <c r="FP31" s="357"/>
      <c r="FQ31" s="359"/>
      <c r="FR31" s="360"/>
      <c r="FS31" s="355"/>
      <c r="FT31" s="355"/>
      <c r="FU31" s="355"/>
      <c r="FV31" s="356"/>
      <c r="FW31" s="357"/>
      <c r="FX31" s="358"/>
      <c r="FY31" s="357"/>
      <c r="FZ31" s="359"/>
      <c r="GA31" s="360"/>
      <c r="GB31" s="355"/>
      <c r="GC31" s="355"/>
      <c r="GD31" s="355"/>
      <c r="GE31" s="356"/>
      <c r="GF31" s="357"/>
      <c r="GG31" s="358"/>
      <c r="GH31" s="357"/>
      <c r="GI31" s="359"/>
      <c r="GJ31" s="360"/>
      <c r="GK31" s="355"/>
      <c r="GL31" s="355"/>
      <c r="GM31" s="355"/>
      <c r="GN31" s="356"/>
      <c r="GO31" s="357"/>
      <c r="GP31" s="358"/>
      <c r="GQ31" s="357"/>
      <c r="GR31" s="359"/>
      <c r="GS31" s="360"/>
      <c r="GT31" s="362">
        <v>42933</v>
      </c>
      <c r="GU31" s="98"/>
      <c r="GV31" s="65"/>
      <c r="GW31" s="74"/>
      <c r="GX31" s="74"/>
      <c r="GY31" s="391" t="s">
        <v>620</v>
      </c>
      <c r="GZ31" s="67">
        <v>3944</v>
      </c>
    </row>
    <row r="32" spans="1:209" x14ac:dyDescent="0.25">
      <c r="D32" s="35"/>
      <c r="E32" s="36"/>
      <c r="F32" s="37"/>
      <c r="G32" s="38"/>
      <c r="H32" s="39"/>
      <c r="I32" s="40"/>
      <c r="J32" s="68" t="s">
        <v>42</v>
      </c>
      <c r="K32" s="407" t="s">
        <v>35</v>
      </c>
      <c r="L32" s="70">
        <v>11260</v>
      </c>
      <c r="M32" s="71">
        <v>42908</v>
      </c>
      <c r="N32" s="380" t="s">
        <v>591</v>
      </c>
      <c r="O32" s="72">
        <v>13995</v>
      </c>
      <c r="P32" s="113">
        <f t="shared" si="0"/>
        <v>2735</v>
      </c>
      <c r="Q32" s="64">
        <v>29</v>
      </c>
      <c r="R32" s="124"/>
      <c r="S32" s="117"/>
      <c r="T32" s="39">
        <f t="shared" si="1"/>
        <v>405855</v>
      </c>
      <c r="U32" s="363" t="s">
        <v>72</v>
      </c>
      <c r="V32" s="353">
        <v>42929</v>
      </c>
      <c r="W32" s="371">
        <v>9802</v>
      </c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370">
        <v>42929</v>
      </c>
      <c r="GU32" s="98">
        <v>17584</v>
      </c>
      <c r="GV32" s="532" t="s">
        <v>541</v>
      </c>
      <c r="GW32" s="74"/>
      <c r="GX32" s="74"/>
      <c r="GY32" s="391" t="s">
        <v>620</v>
      </c>
      <c r="GZ32" s="67">
        <v>2088</v>
      </c>
    </row>
    <row r="33" spans="1:208" x14ac:dyDescent="0.25">
      <c r="D33" s="35"/>
      <c r="E33" s="36"/>
      <c r="F33" s="37"/>
      <c r="G33" s="38"/>
      <c r="H33" s="39"/>
      <c r="I33" s="40"/>
      <c r="J33" s="68" t="s">
        <v>526</v>
      </c>
      <c r="K33" s="407" t="s">
        <v>525</v>
      </c>
      <c r="L33" s="70">
        <v>22700</v>
      </c>
      <c r="M33" s="71">
        <v>42909</v>
      </c>
      <c r="N33" s="380" t="s">
        <v>597</v>
      </c>
      <c r="O33" s="72">
        <v>27610</v>
      </c>
      <c r="P33" s="113">
        <f t="shared" si="0"/>
        <v>4910</v>
      </c>
      <c r="Q33" s="64">
        <v>29</v>
      </c>
      <c r="R33" s="124"/>
      <c r="S33" s="125"/>
      <c r="T33" s="39">
        <f t="shared" si="1"/>
        <v>800690</v>
      </c>
      <c r="U33" s="363" t="s">
        <v>72</v>
      </c>
      <c r="V33" s="353">
        <v>42933</v>
      </c>
      <c r="W33" s="371">
        <v>17794.400000000001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370">
        <v>42933</v>
      </c>
      <c r="GU33" s="98">
        <v>22176</v>
      </c>
      <c r="GV33" s="532" t="s">
        <v>542</v>
      </c>
      <c r="GW33" s="74"/>
      <c r="GX33" s="74"/>
      <c r="GY33" s="391" t="s">
        <v>620</v>
      </c>
      <c r="GZ33" s="67">
        <v>3944</v>
      </c>
    </row>
    <row r="34" spans="1:208" ht="30" x14ac:dyDescent="0.25">
      <c r="A34"/>
      <c r="D34" s="35"/>
      <c r="E34" s="36"/>
      <c r="F34" s="37"/>
      <c r="G34" s="38"/>
      <c r="H34" s="39"/>
      <c r="I34" s="40"/>
      <c r="J34" s="68" t="s">
        <v>543</v>
      </c>
      <c r="K34" s="407" t="s">
        <v>544</v>
      </c>
      <c r="L34" s="70">
        <v>11130</v>
      </c>
      <c r="M34" s="71">
        <v>42909</v>
      </c>
      <c r="N34" s="380" t="s">
        <v>594</v>
      </c>
      <c r="O34" s="72">
        <f>15390-109.93</f>
        <v>15280.07</v>
      </c>
      <c r="P34" s="113">
        <f t="shared" si="0"/>
        <v>4150.07</v>
      </c>
      <c r="Q34" s="126">
        <v>29</v>
      </c>
      <c r="R34" s="127"/>
      <c r="S34" s="127"/>
      <c r="T34" s="39">
        <f t="shared" si="1"/>
        <v>443122.02999999997</v>
      </c>
      <c r="U34" s="363" t="s">
        <v>72</v>
      </c>
      <c r="V34" s="353">
        <v>42930</v>
      </c>
      <c r="W34" s="368">
        <v>10556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430">
        <v>42930</v>
      </c>
      <c r="GU34" s="98">
        <v>17584</v>
      </c>
      <c r="GV34" s="532" t="s">
        <v>545</v>
      </c>
      <c r="GW34" s="74"/>
      <c r="GX34" s="74"/>
      <c r="GY34" s="391" t="s">
        <v>620</v>
      </c>
      <c r="GZ34" s="67">
        <v>2088</v>
      </c>
    </row>
    <row r="35" spans="1:208" x14ac:dyDescent="0.25">
      <c r="A35"/>
      <c r="D35" s="35"/>
      <c r="E35" s="36"/>
      <c r="F35" s="37"/>
      <c r="G35" s="38"/>
      <c r="H35" s="39"/>
      <c r="I35" s="40"/>
      <c r="J35" s="68" t="s">
        <v>548</v>
      </c>
      <c r="K35" s="407" t="s">
        <v>40</v>
      </c>
      <c r="L35" s="70">
        <v>24230</v>
      </c>
      <c r="M35" s="71">
        <v>42912</v>
      </c>
      <c r="N35" s="380" t="s">
        <v>599</v>
      </c>
      <c r="O35" s="72">
        <v>24740</v>
      </c>
      <c r="P35" s="113">
        <f t="shared" si="0"/>
        <v>510</v>
      </c>
      <c r="Q35" s="117">
        <v>29</v>
      </c>
      <c r="R35" s="127"/>
      <c r="S35" s="127"/>
      <c r="T35" s="39">
        <f t="shared" si="1"/>
        <v>717460</v>
      </c>
      <c r="U35" s="363" t="s">
        <v>72</v>
      </c>
      <c r="V35" s="353">
        <v>42934</v>
      </c>
      <c r="W35" s="368">
        <v>16588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362">
        <v>42934</v>
      </c>
      <c r="GU35" s="98">
        <v>22176</v>
      </c>
      <c r="GV35" s="65" t="s">
        <v>582</v>
      </c>
      <c r="GW35" s="74"/>
      <c r="GX35" s="74"/>
      <c r="GY35" s="391" t="s">
        <v>620</v>
      </c>
      <c r="GZ35" s="67">
        <v>3944</v>
      </c>
    </row>
    <row r="36" spans="1:208" ht="30" x14ac:dyDescent="0.25">
      <c r="A36"/>
      <c r="D36" s="35"/>
      <c r="E36" s="36"/>
      <c r="F36" s="37"/>
      <c r="G36" s="38"/>
      <c r="H36" s="39"/>
      <c r="I36" s="40"/>
      <c r="J36" s="68" t="s">
        <v>44</v>
      </c>
      <c r="K36" s="407" t="s">
        <v>549</v>
      </c>
      <c r="L36" s="70"/>
      <c r="M36" s="71">
        <v>42912</v>
      </c>
      <c r="N36" s="380" t="s">
        <v>600</v>
      </c>
      <c r="O36" s="72">
        <f>4450-111.25</f>
        <v>4338.75</v>
      </c>
      <c r="P36" s="113">
        <f t="shared" si="0"/>
        <v>4338.75</v>
      </c>
      <c r="Q36" s="117">
        <v>29</v>
      </c>
      <c r="R36" s="117"/>
      <c r="S36" s="117"/>
      <c r="T36" s="39">
        <f>Q36*O36</f>
        <v>125823.75</v>
      </c>
      <c r="U36" s="363" t="s">
        <v>72</v>
      </c>
      <c r="V36" s="353">
        <v>42934</v>
      </c>
      <c r="W36" s="368">
        <v>3016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384">
        <v>42934</v>
      </c>
      <c r="GU36" s="98"/>
      <c r="GV36" s="65"/>
      <c r="GW36" s="74"/>
      <c r="GX36" s="74"/>
      <c r="GY36" s="391"/>
      <c r="GZ36" s="67">
        <v>0</v>
      </c>
    </row>
    <row r="37" spans="1:208" x14ac:dyDescent="0.25">
      <c r="A37"/>
      <c r="D37" s="35"/>
      <c r="E37" s="36"/>
      <c r="F37" s="37"/>
      <c r="G37" s="38"/>
      <c r="H37" s="39"/>
      <c r="I37" s="40"/>
      <c r="J37" s="68" t="s">
        <v>96</v>
      </c>
      <c r="K37" s="407" t="s">
        <v>59</v>
      </c>
      <c r="L37" s="70">
        <v>19710</v>
      </c>
      <c r="M37" s="71">
        <v>42913</v>
      </c>
      <c r="N37" s="380" t="s">
        <v>605</v>
      </c>
      <c r="O37" s="72">
        <v>24900</v>
      </c>
      <c r="P37" s="113">
        <f t="shared" si="0"/>
        <v>5190</v>
      </c>
      <c r="Q37" s="117">
        <v>29</v>
      </c>
      <c r="R37" s="117"/>
      <c r="S37" s="117"/>
      <c r="T37" s="39">
        <f>Q37*O37</f>
        <v>722100</v>
      </c>
      <c r="U37" s="363" t="s">
        <v>72</v>
      </c>
      <c r="V37" s="353">
        <v>42935</v>
      </c>
      <c r="W37" s="368">
        <v>17342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362">
        <v>42935</v>
      </c>
      <c r="GU37" s="98"/>
      <c r="GV37" s="65"/>
      <c r="GW37" s="74"/>
      <c r="GX37" s="74"/>
      <c r="GY37" s="391" t="s">
        <v>620</v>
      </c>
      <c r="GZ37" s="67">
        <v>3944</v>
      </c>
    </row>
    <row r="38" spans="1:208" x14ac:dyDescent="0.25">
      <c r="A38"/>
      <c r="D38" s="35"/>
      <c r="E38" s="36"/>
      <c r="F38" s="37"/>
      <c r="G38" s="38"/>
      <c r="H38" s="39"/>
      <c r="I38" s="40"/>
      <c r="J38" s="68" t="s">
        <v>44</v>
      </c>
      <c r="K38" s="451" t="s">
        <v>40</v>
      </c>
      <c r="L38" s="70">
        <v>20310</v>
      </c>
      <c r="M38" s="71">
        <v>42913</v>
      </c>
      <c r="N38" s="380" t="s">
        <v>606</v>
      </c>
      <c r="O38" s="72">
        <v>25270</v>
      </c>
      <c r="P38" s="113">
        <f t="shared" si="0"/>
        <v>4960</v>
      </c>
      <c r="Q38" s="64">
        <v>29</v>
      </c>
      <c r="R38" s="117"/>
      <c r="S38" s="117"/>
      <c r="T38" s="39">
        <f>Q38*O38</f>
        <v>732830</v>
      </c>
      <c r="U38" s="363" t="s">
        <v>72</v>
      </c>
      <c r="V38" s="353">
        <v>42935</v>
      </c>
      <c r="W38" s="368">
        <v>16588</v>
      </c>
      <c r="X38" s="355"/>
      <c r="Y38" s="356"/>
      <c r="Z38" s="357"/>
      <c r="AA38" s="358"/>
      <c r="AB38" s="357"/>
      <c r="AC38" s="359"/>
      <c r="AD38" s="360"/>
      <c r="AE38" s="355"/>
      <c r="AF38" s="355"/>
      <c r="AG38" s="355"/>
      <c r="AH38" s="356"/>
      <c r="AI38" s="357"/>
      <c r="AJ38" s="358"/>
      <c r="AK38" s="357"/>
      <c r="AL38" s="359"/>
      <c r="AM38" s="360"/>
      <c r="AN38" s="355"/>
      <c r="AO38" s="355"/>
      <c r="AP38" s="355"/>
      <c r="AQ38" s="356"/>
      <c r="AR38" s="357"/>
      <c r="AS38" s="358"/>
      <c r="AT38" s="357"/>
      <c r="AU38" s="359"/>
      <c r="AV38" s="360"/>
      <c r="AW38" s="355"/>
      <c r="AX38" s="355"/>
      <c r="AY38" s="355"/>
      <c r="AZ38" s="356"/>
      <c r="BA38" s="357"/>
      <c r="BB38" s="358"/>
      <c r="BC38" s="357"/>
      <c r="BD38" s="359"/>
      <c r="BE38" s="360"/>
      <c r="BF38" s="355"/>
      <c r="BG38" s="355"/>
      <c r="BH38" s="355"/>
      <c r="BI38" s="356"/>
      <c r="BJ38" s="357"/>
      <c r="BK38" s="358"/>
      <c r="BL38" s="357"/>
      <c r="BM38" s="359"/>
      <c r="BN38" s="360"/>
      <c r="BO38" s="355"/>
      <c r="BP38" s="355"/>
      <c r="BQ38" s="355"/>
      <c r="BR38" s="356"/>
      <c r="BS38" s="357"/>
      <c r="BT38" s="358"/>
      <c r="BU38" s="357"/>
      <c r="BV38" s="359"/>
      <c r="BW38" s="360"/>
      <c r="BX38" s="355"/>
      <c r="BY38" s="355"/>
      <c r="BZ38" s="355"/>
      <c r="CA38" s="356"/>
      <c r="CB38" s="357"/>
      <c r="CC38" s="358"/>
      <c r="CD38" s="357"/>
      <c r="CE38" s="359"/>
      <c r="CF38" s="360"/>
      <c r="CG38" s="355"/>
      <c r="CH38" s="355"/>
      <c r="CI38" s="355"/>
      <c r="CJ38" s="356"/>
      <c r="CK38" s="357"/>
      <c r="CL38" s="358"/>
      <c r="CM38" s="357"/>
      <c r="CN38" s="359"/>
      <c r="CO38" s="360"/>
      <c r="CP38" s="355"/>
      <c r="CQ38" s="355"/>
      <c r="CR38" s="355"/>
      <c r="CS38" s="356"/>
      <c r="CT38" s="357"/>
      <c r="CU38" s="358"/>
      <c r="CV38" s="357"/>
      <c r="CW38" s="359"/>
      <c r="CX38" s="360"/>
      <c r="CY38" s="355"/>
      <c r="CZ38" s="355"/>
      <c r="DA38" s="355"/>
      <c r="DB38" s="356"/>
      <c r="DC38" s="357"/>
      <c r="DD38" s="358"/>
      <c r="DE38" s="357"/>
      <c r="DF38" s="359"/>
      <c r="DG38" s="360"/>
      <c r="DH38" s="355"/>
      <c r="DI38" s="355"/>
      <c r="DJ38" s="355"/>
      <c r="DK38" s="356"/>
      <c r="DL38" s="357"/>
      <c r="DM38" s="358"/>
      <c r="DN38" s="357"/>
      <c r="DO38" s="359"/>
      <c r="DP38" s="360"/>
      <c r="DQ38" s="355"/>
      <c r="DR38" s="355"/>
      <c r="DS38" s="355"/>
      <c r="DT38" s="356"/>
      <c r="DU38" s="357"/>
      <c r="DV38" s="358"/>
      <c r="DW38" s="357"/>
      <c r="DX38" s="359"/>
      <c r="DY38" s="360"/>
      <c r="DZ38" s="355"/>
      <c r="EA38" s="355"/>
      <c r="EB38" s="355"/>
      <c r="EC38" s="356"/>
      <c r="ED38" s="357"/>
      <c r="EE38" s="358"/>
      <c r="EF38" s="357"/>
      <c r="EG38" s="359"/>
      <c r="EH38" s="360"/>
      <c r="EI38" s="355"/>
      <c r="EJ38" s="355"/>
      <c r="EK38" s="355"/>
      <c r="EL38" s="356"/>
      <c r="EM38" s="357"/>
      <c r="EN38" s="358"/>
      <c r="EO38" s="357"/>
      <c r="EP38" s="359"/>
      <c r="EQ38" s="360"/>
      <c r="ER38" s="355"/>
      <c r="ES38" s="355"/>
      <c r="ET38" s="355"/>
      <c r="EU38" s="356"/>
      <c r="EV38" s="357"/>
      <c r="EW38" s="358"/>
      <c r="EX38" s="357"/>
      <c r="EY38" s="359"/>
      <c r="EZ38" s="360"/>
      <c r="FA38" s="355"/>
      <c r="FB38" s="355"/>
      <c r="FC38" s="355"/>
      <c r="FD38" s="356"/>
      <c r="FE38" s="357"/>
      <c r="FF38" s="358"/>
      <c r="FG38" s="357"/>
      <c r="FH38" s="359"/>
      <c r="FI38" s="360"/>
      <c r="FJ38" s="355"/>
      <c r="FK38" s="355"/>
      <c r="FL38" s="355"/>
      <c r="FM38" s="356"/>
      <c r="FN38" s="357"/>
      <c r="FO38" s="358"/>
      <c r="FP38" s="357"/>
      <c r="FQ38" s="359"/>
      <c r="FR38" s="360"/>
      <c r="FS38" s="355"/>
      <c r="FT38" s="355"/>
      <c r="FU38" s="355"/>
      <c r="FV38" s="356"/>
      <c r="FW38" s="357"/>
      <c r="FX38" s="358"/>
      <c r="FY38" s="357"/>
      <c r="FZ38" s="359"/>
      <c r="GA38" s="360"/>
      <c r="GB38" s="355"/>
      <c r="GC38" s="355"/>
      <c r="GD38" s="355"/>
      <c r="GE38" s="356"/>
      <c r="GF38" s="357"/>
      <c r="GG38" s="358"/>
      <c r="GH38" s="357"/>
      <c r="GI38" s="359"/>
      <c r="GJ38" s="360"/>
      <c r="GK38" s="355"/>
      <c r="GL38" s="355"/>
      <c r="GM38" s="355"/>
      <c r="GN38" s="356"/>
      <c r="GO38" s="357"/>
      <c r="GP38" s="358"/>
      <c r="GQ38" s="357"/>
      <c r="GR38" s="359"/>
      <c r="GS38" s="360"/>
      <c r="GT38" s="384">
        <v>42935</v>
      </c>
      <c r="GU38" s="98"/>
      <c r="GV38" s="129"/>
      <c r="GW38" s="74"/>
      <c r="GX38" s="74"/>
      <c r="GY38" s="391" t="s">
        <v>620</v>
      </c>
      <c r="GZ38" s="67">
        <v>3944</v>
      </c>
    </row>
    <row r="39" spans="1:208" x14ac:dyDescent="0.25">
      <c r="A39"/>
      <c r="D39" s="35"/>
      <c r="E39" s="36"/>
      <c r="F39" s="37"/>
      <c r="G39" s="38"/>
      <c r="H39" s="39"/>
      <c r="I39" s="40"/>
      <c r="J39" s="68" t="s">
        <v>43</v>
      </c>
      <c r="K39" s="407" t="s">
        <v>550</v>
      </c>
      <c r="L39" s="70">
        <v>19560</v>
      </c>
      <c r="M39" s="71">
        <v>42914</v>
      </c>
      <c r="N39" s="381" t="s">
        <v>608</v>
      </c>
      <c r="O39" s="72">
        <v>24485</v>
      </c>
      <c r="P39" s="113">
        <f>O39-L39</f>
        <v>4925</v>
      </c>
      <c r="Q39" s="117">
        <v>29</v>
      </c>
      <c r="R39" s="117"/>
      <c r="S39" s="111"/>
      <c r="T39" s="39">
        <f>Q39*O39+S39+0</f>
        <v>710065</v>
      </c>
      <c r="U39" s="363" t="s">
        <v>72</v>
      </c>
      <c r="V39" s="353">
        <v>42937</v>
      </c>
      <c r="W39" s="368">
        <v>16437.2</v>
      </c>
      <c r="X39" s="355"/>
      <c r="Y39" s="356"/>
      <c r="Z39" s="357"/>
      <c r="AA39" s="358"/>
      <c r="AB39" s="357"/>
      <c r="AC39" s="359"/>
      <c r="AD39" s="360"/>
      <c r="AE39" s="355"/>
      <c r="AF39" s="355"/>
      <c r="AG39" s="355"/>
      <c r="AH39" s="356"/>
      <c r="AI39" s="357"/>
      <c r="AJ39" s="358"/>
      <c r="AK39" s="357"/>
      <c r="AL39" s="359"/>
      <c r="AM39" s="360"/>
      <c r="AN39" s="355"/>
      <c r="AO39" s="355"/>
      <c r="AP39" s="355"/>
      <c r="AQ39" s="356"/>
      <c r="AR39" s="357"/>
      <c r="AS39" s="358"/>
      <c r="AT39" s="357"/>
      <c r="AU39" s="359"/>
      <c r="AV39" s="360"/>
      <c r="AW39" s="355"/>
      <c r="AX39" s="355"/>
      <c r="AY39" s="355"/>
      <c r="AZ39" s="356"/>
      <c r="BA39" s="357"/>
      <c r="BB39" s="358"/>
      <c r="BC39" s="357"/>
      <c r="BD39" s="359"/>
      <c r="BE39" s="360"/>
      <c r="BF39" s="355"/>
      <c r="BG39" s="355"/>
      <c r="BH39" s="355"/>
      <c r="BI39" s="356"/>
      <c r="BJ39" s="357"/>
      <c r="BK39" s="358"/>
      <c r="BL39" s="357"/>
      <c r="BM39" s="359"/>
      <c r="BN39" s="360"/>
      <c r="BO39" s="355"/>
      <c r="BP39" s="355"/>
      <c r="BQ39" s="355"/>
      <c r="BR39" s="356"/>
      <c r="BS39" s="357"/>
      <c r="BT39" s="358"/>
      <c r="BU39" s="357"/>
      <c r="BV39" s="359"/>
      <c r="BW39" s="360"/>
      <c r="BX39" s="355"/>
      <c r="BY39" s="355"/>
      <c r="BZ39" s="355"/>
      <c r="CA39" s="356"/>
      <c r="CB39" s="357"/>
      <c r="CC39" s="358"/>
      <c r="CD39" s="357"/>
      <c r="CE39" s="359"/>
      <c r="CF39" s="360"/>
      <c r="CG39" s="355"/>
      <c r="CH39" s="355"/>
      <c r="CI39" s="355"/>
      <c r="CJ39" s="356"/>
      <c r="CK39" s="357"/>
      <c r="CL39" s="358"/>
      <c r="CM39" s="357"/>
      <c r="CN39" s="359"/>
      <c r="CO39" s="360"/>
      <c r="CP39" s="355"/>
      <c r="CQ39" s="355"/>
      <c r="CR39" s="355"/>
      <c r="CS39" s="356"/>
      <c r="CT39" s="357"/>
      <c r="CU39" s="358"/>
      <c r="CV39" s="357"/>
      <c r="CW39" s="359"/>
      <c r="CX39" s="360"/>
      <c r="CY39" s="355"/>
      <c r="CZ39" s="355"/>
      <c r="DA39" s="355"/>
      <c r="DB39" s="356"/>
      <c r="DC39" s="357"/>
      <c r="DD39" s="358"/>
      <c r="DE39" s="357"/>
      <c r="DF39" s="359"/>
      <c r="DG39" s="360"/>
      <c r="DH39" s="355"/>
      <c r="DI39" s="355"/>
      <c r="DJ39" s="355"/>
      <c r="DK39" s="356"/>
      <c r="DL39" s="357"/>
      <c r="DM39" s="358"/>
      <c r="DN39" s="357"/>
      <c r="DO39" s="359"/>
      <c r="DP39" s="360"/>
      <c r="DQ39" s="355"/>
      <c r="DR39" s="355"/>
      <c r="DS39" s="355"/>
      <c r="DT39" s="356"/>
      <c r="DU39" s="357"/>
      <c r="DV39" s="358"/>
      <c r="DW39" s="357"/>
      <c r="DX39" s="359"/>
      <c r="DY39" s="360"/>
      <c r="DZ39" s="355"/>
      <c r="EA39" s="355"/>
      <c r="EB39" s="355"/>
      <c r="EC39" s="356"/>
      <c r="ED39" s="357"/>
      <c r="EE39" s="358"/>
      <c r="EF39" s="357"/>
      <c r="EG39" s="359"/>
      <c r="EH39" s="360"/>
      <c r="EI39" s="355"/>
      <c r="EJ39" s="355"/>
      <c r="EK39" s="355"/>
      <c r="EL39" s="356"/>
      <c r="EM39" s="357"/>
      <c r="EN39" s="358"/>
      <c r="EO39" s="357"/>
      <c r="EP39" s="359"/>
      <c r="EQ39" s="360"/>
      <c r="ER39" s="355"/>
      <c r="ES39" s="355"/>
      <c r="ET39" s="355"/>
      <c r="EU39" s="356"/>
      <c r="EV39" s="357"/>
      <c r="EW39" s="358"/>
      <c r="EX39" s="357"/>
      <c r="EY39" s="359"/>
      <c r="EZ39" s="360"/>
      <c r="FA39" s="355"/>
      <c r="FB39" s="355"/>
      <c r="FC39" s="355"/>
      <c r="FD39" s="356"/>
      <c r="FE39" s="357"/>
      <c r="FF39" s="358"/>
      <c r="FG39" s="357"/>
      <c r="FH39" s="359"/>
      <c r="FI39" s="360"/>
      <c r="FJ39" s="355"/>
      <c r="FK39" s="355"/>
      <c r="FL39" s="355"/>
      <c r="FM39" s="356"/>
      <c r="FN39" s="357"/>
      <c r="FO39" s="358"/>
      <c r="FP39" s="357"/>
      <c r="FQ39" s="359"/>
      <c r="FR39" s="360"/>
      <c r="FS39" s="355"/>
      <c r="FT39" s="355"/>
      <c r="FU39" s="355"/>
      <c r="FV39" s="356"/>
      <c r="FW39" s="357"/>
      <c r="FX39" s="358"/>
      <c r="FY39" s="357"/>
      <c r="FZ39" s="359"/>
      <c r="GA39" s="360"/>
      <c r="GB39" s="355"/>
      <c r="GC39" s="355"/>
      <c r="GD39" s="355"/>
      <c r="GE39" s="356"/>
      <c r="GF39" s="357"/>
      <c r="GG39" s="358"/>
      <c r="GH39" s="357"/>
      <c r="GI39" s="359"/>
      <c r="GJ39" s="360"/>
      <c r="GK39" s="355"/>
      <c r="GL39" s="355"/>
      <c r="GM39" s="355"/>
      <c r="GN39" s="356"/>
      <c r="GO39" s="357"/>
      <c r="GP39" s="358"/>
      <c r="GQ39" s="357"/>
      <c r="GR39" s="359"/>
      <c r="GS39" s="360"/>
      <c r="GT39" s="362">
        <v>42937</v>
      </c>
      <c r="GU39" s="98">
        <v>22176</v>
      </c>
      <c r="GV39" s="130" t="s">
        <v>583</v>
      </c>
      <c r="GW39" s="74"/>
      <c r="GX39" s="74"/>
      <c r="GY39" s="391" t="s">
        <v>620</v>
      </c>
      <c r="GZ39" s="67">
        <v>3944</v>
      </c>
    </row>
    <row r="40" spans="1:208" x14ac:dyDescent="0.25">
      <c r="A40"/>
      <c r="D40" s="35"/>
      <c r="E40" s="36"/>
      <c r="F40" s="37"/>
      <c r="G40" s="38"/>
      <c r="H40" s="39"/>
      <c r="I40" s="40"/>
      <c r="J40" s="68" t="s">
        <v>43</v>
      </c>
      <c r="K40" s="407" t="s">
        <v>315</v>
      </c>
      <c r="L40" s="70">
        <v>24930</v>
      </c>
      <c r="M40" s="71">
        <v>42915</v>
      </c>
      <c r="N40" s="381" t="s">
        <v>607</v>
      </c>
      <c r="O40" s="72">
        <v>30915</v>
      </c>
      <c r="P40" s="113">
        <f t="shared" ref="P40:P51" si="2">O40-L40</f>
        <v>5985</v>
      </c>
      <c r="Q40" s="117">
        <v>29.5</v>
      </c>
      <c r="R40" s="117"/>
      <c r="S40" s="111"/>
      <c r="T40" s="39">
        <f>Q40*O40+S40+0</f>
        <v>911992.5</v>
      </c>
      <c r="U40" s="363" t="s">
        <v>72</v>
      </c>
      <c r="V40" s="353">
        <v>42936</v>
      </c>
      <c r="W40" s="368">
        <v>18774.599999999999</v>
      </c>
      <c r="X40" s="355"/>
      <c r="Y40" s="356"/>
      <c r="Z40" s="357"/>
      <c r="AA40" s="358"/>
      <c r="AB40" s="357"/>
      <c r="AC40" s="359"/>
      <c r="AD40" s="360"/>
      <c r="AE40" s="355"/>
      <c r="AF40" s="355"/>
      <c r="AG40" s="355"/>
      <c r="AH40" s="356"/>
      <c r="AI40" s="357"/>
      <c r="AJ40" s="358"/>
      <c r="AK40" s="357"/>
      <c r="AL40" s="359"/>
      <c r="AM40" s="360"/>
      <c r="AN40" s="355"/>
      <c r="AO40" s="355"/>
      <c r="AP40" s="355"/>
      <c r="AQ40" s="356"/>
      <c r="AR40" s="357"/>
      <c r="AS40" s="358"/>
      <c r="AT40" s="357"/>
      <c r="AU40" s="359"/>
      <c r="AV40" s="360"/>
      <c r="AW40" s="355"/>
      <c r="AX40" s="355"/>
      <c r="AY40" s="355"/>
      <c r="AZ40" s="356"/>
      <c r="BA40" s="357"/>
      <c r="BB40" s="358"/>
      <c r="BC40" s="357"/>
      <c r="BD40" s="359"/>
      <c r="BE40" s="360"/>
      <c r="BF40" s="355"/>
      <c r="BG40" s="355"/>
      <c r="BH40" s="355"/>
      <c r="BI40" s="356"/>
      <c r="BJ40" s="357"/>
      <c r="BK40" s="358"/>
      <c r="BL40" s="357"/>
      <c r="BM40" s="359"/>
      <c r="BN40" s="360"/>
      <c r="BO40" s="355"/>
      <c r="BP40" s="355"/>
      <c r="BQ40" s="355"/>
      <c r="BR40" s="356"/>
      <c r="BS40" s="357"/>
      <c r="BT40" s="358"/>
      <c r="BU40" s="357"/>
      <c r="BV40" s="359"/>
      <c r="BW40" s="360"/>
      <c r="BX40" s="355"/>
      <c r="BY40" s="355"/>
      <c r="BZ40" s="355"/>
      <c r="CA40" s="356"/>
      <c r="CB40" s="357"/>
      <c r="CC40" s="358"/>
      <c r="CD40" s="357"/>
      <c r="CE40" s="359"/>
      <c r="CF40" s="360"/>
      <c r="CG40" s="355"/>
      <c r="CH40" s="355"/>
      <c r="CI40" s="355"/>
      <c r="CJ40" s="356"/>
      <c r="CK40" s="357"/>
      <c r="CL40" s="358"/>
      <c r="CM40" s="357"/>
      <c r="CN40" s="359"/>
      <c r="CO40" s="360"/>
      <c r="CP40" s="355"/>
      <c r="CQ40" s="355"/>
      <c r="CR40" s="355"/>
      <c r="CS40" s="356"/>
      <c r="CT40" s="357"/>
      <c r="CU40" s="358"/>
      <c r="CV40" s="357"/>
      <c r="CW40" s="359"/>
      <c r="CX40" s="360"/>
      <c r="CY40" s="355"/>
      <c r="CZ40" s="355"/>
      <c r="DA40" s="355"/>
      <c r="DB40" s="356"/>
      <c r="DC40" s="357"/>
      <c r="DD40" s="358"/>
      <c r="DE40" s="357"/>
      <c r="DF40" s="359"/>
      <c r="DG40" s="360"/>
      <c r="DH40" s="355"/>
      <c r="DI40" s="355"/>
      <c r="DJ40" s="355"/>
      <c r="DK40" s="356"/>
      <c r="DL40" s="357"/>
      <c r="DM40" s="358"/>
      <c r="DN40" s="357"/>
      <c r="DO40" s="359"/>
      <c r="DP40" s="360"/>
      <c r="DQ40" s="355"/>
      <c r="DR40" s="355"/>
      <c r="DS40" s="355"/>
      <c r="DT40" s="356"/>
      <c r="DU40" s="357"/>
      <c r="DV40" s="358"/>
      <c r="DW40" s="357"/>
      <c r="DX40" s="359"/>
      <c r="DY40" s="360"/>
      <c r="DZ40" s="355"/>
      <c r="EA40" s="355"/>
      <c r="EB40" s="355"/>
      <c r="EC40" s="356"/>
      <c r="ED40" s="357"/>
      <c r="EE40" s="358"/>
      <c r="EF40" s="357"/>
      <c r="EG40" s="359"/>
      <c r="EH40" s="360"/>
      <c r="EI40" s="355"/>
      <c r="EJ40" s="355"/>
      <c r="EK40" s="355"/>
      <c r="EL40" s="356"/>
      <c r="EM40" s="357"/>
      <c r="EN40" s="358"/>
      <c r="EO40" s="357"/>
      <c r="EP40" s="359"/>
      <c r="EQ40" s="360"/>
      <c r="ER40" s="355"/>
      <c r="ES40" s="355"/>
      <c r="ET40" s="355"/>
      <c r="EU40" s="356"/>
      <c r="EV40" s="357"/>
      <c r="EW40" s="358"/>
      <c r="EX40" s="357"/>
      <c r="EY40" s="359"/>
      <c r="EZ40" s="360"/>
      <c r="FA40" s="355"/>
      <c r="FB40" s="355"/>
      <c r="FC40" s="355"/>
      <c r="FD40" s="356"/>
      <c r="FE40" s="357"/>
      <c r="FF40" s="358"/>
      <c r="FG40" s="357"/>
      <c r="FH40" s="359"/>
      <c r="FI40" s="360"/>
      <c r="FJ40" s="355"/>
      <c r="FK40" s="355"/>
      <c r="FL40" s="355"/>
      <c r="FM40" s="356"/>
      <c r="FN40" s="357"/>
      <c r="FO40" s="358"/>
      <c r="FP40" s="357"/>
      <c r="FQ40" s="359"/>
      <c r="FR40" s="360"/>
      <c r="FS40" s="355"/>
      <c r="FT40" s="355"/>
      <c r="FU40" s="355"/>
      <c r="FV40" s="356"/>
      <c r="FW40" s="357"/>
      <c r="FX40" s="358"/>
      <c r="FY40" s="357"/>
      <c r="FZ40" s="359"/>
      <c r="GA40" s="360"/>
      <c r="GB40" s="355"/>
      <c r="GC40" s="355"/>
      <c r="GD40" s="355"/>
      <c r="GE40" s="356"/>
      <c r="GF40" s="357"/>
      <c r="GG40" s="358"/>
      <c r="GH40" s="357"/>
      <c r="GI40" s="359"/>
      <c r="GJ40" s="360"/>
      <c r="GK40" s="355"/>
      <c r="GL40" s="355"/>
      <c r="GM40" s="355"/>
      <c r="GN40" s="356"/>
      <c r="GO40" s="357"/>
      <c r="GP40" s="358"/>
      <c r="GQ40" s="357"/>
      <c r="GR40" s="359"/>
      <c r="GS40" s="360"/>
      <c r="GT40" s="362">
        <v>42936</v>
      </c>
      <c r="GU40" s="131"/>
      <c r="GV40" s="130"/>
      <c r="GW40" s="74"/>
      <c r="GX40" s="74"/>
      <c r="GY40" s="391" t="s">
        <v>620</v>
      </c>
      <c r="GZ40" s="67">
        <v>3944</v>
      </c>
    </row>
    <row r="41" spans="1:208" x14ac:dyDescent="0.25">
      <c r="A41"/>
      <c r="D41" s="35"/>
      <c r="E41" s="36"/>
      <c r="F41" s="37"/>
      <c r="G41" s="38"/>
      <c r="H41" s="39"/>
      <c r="I41" s="40"/>
      <c r="J41" s="68" t="s">
        <v>552</v>
      </c>
      <c r="K41" s="407" t="s">
        <v>551</v>
      </c>
      <c r="L41" s="70">
        <v>17000</v>
      </c>
      <c r="M41" s="71">
        <v>42916</v>
      </c>
      <c r="N41" s="381" t="s">
        <v>610</v>
      </c>
      <c r="O41" s="72">
        <v>26630</v>
      </c>
      <c r="P41" s="113">
        <f t="shared" si="2"/>
        <v>9630</v>
      </c>
      <c r="Q41" s="117">
        <v>29.5</v>
      </c>
      <c r="R41" s="893"/>
      <c r="S41" s="894"/>
      <c r="T41" s="39">
        <f>Q41*O41</f>
        <v>785585</v>
      </c>
      <c r="U41" s="363" t="s">
        <v>72</v>
      </c>
      <c r="V41" s="353">
        <v>42940</v>
      </c>
      <c r="W41" s="368">
        <v>16965</v>
      </c>
      <c r="X41" s="355"/>
      <c r="Y41" s="356"/>
      <c r="Z41" s="357"/>
      <c r="AA41" s="358"/>
      <c r="AB41" s="357"/>
      <c r="AC41" s="359"/>
      <c r="AD41" s="360"/>
      <c r="AE41" s="355"/>
      <c r="AF41" s="355"/>
      <c r="AG41" s="355"/>
      <c r="AH41" s="356"/>
      <c r="AI41" s="357"/>
      <c r="AJ41" s="358"/>
      <c r="AK41" s="357"/>
      <c r="AL41" s="359"/>
      <c r="AM41" s="360"/>
      <c r="AN41" s="355"/>
      <c r="AO41" s="355"/>
      <c r="AP41" s="355"/>
      <c r="AQ41" s="356"/>
      <c r="AR41" s="357"/>
      <c r="AS41" s="358"/>
      <c r="AT41" s="357"/>
      <c r="AU41" s="359"/>
      <c r="AV41" s="360"/>
      <c r="AW41" s="355"/>
      <c r="AX41" s="355"/>
      <c r="AY41" s="355"/>
      <c r="AZ41" s="356"/>
      <c r="BA41" s="357"/>
      <c r="BB41" s="358"/>
      <c r="BC41" s="357"/>
      <c r="BD41" s="359"/>
      <c r="BE41" s="360"/>
      <c r="BF41" s="355"/>
      <c r="BG41" s="355"/>
      <c r="BH41" s="355"/>
      <c r="BI41" s="356"/>
      <c r="BJ41" s="357"/>
      <c r="BK41" s="358"/>
      <c r="BL41" s="357"/>
      <c r="BM41" s="359"/>
      <c r="BN41" s="360"/>
      <c r="BO41" s="355"/>
      <c r="BP41" s="355"/>
      <c r="BQ41" s="355"/>
      <c r="BR41" s="356"/>
      <c r="BS41" s="357"/>
      <c r="BT41" s="358"/>
      <c r="BU41" s="357"/>
      <c r="BV41" s="359"/>
      <c r="BW41" s="360"/>
      <c r="BX41" s="355"/>
      <c r="BY41" s="355"/>
      <c r="BZ41" s="355"/>
      <c r="CA41" s="356"/>
      <c r="CB41" s="357"/>
      <c r="CC41" s="358"/>
      <c r="CD41" s="357"/>
      <c r="CE41" s="359"/>
      <c r="CF41" s="360"/>
      <c r="CG41" s="355"/>
      <c r="CH41" s="355"/>
      <c r="CI41" s="355"/>
      <c r="CJ41" s="356"/>
      <c r="CK41" s="357"/>
      <c r="CL41" s="358"/>
      <c r="CM41" s="357"/>
      <c r="CN41" s="359"/>
      <c r="CO41" s="360"/>
      <c r="CP41" s="355"/>
      <c r="CQ41" s="355"/>
      <c r="CR41" s="355"/>
      <c r="CS41" s="356"/>
      <c r="CT41" s="357"/>
      <c r="CU41" s="358"/>
      <c r="CV41" s="357"/>
      <c r="CW41" s="359"/>
      <c r="CX41" s="360"/>
      <c r="CY41" s="355"/>
      <c r="CZ41" s="355"/>
      <c r="DA41" s="355"/>
      <c r="DB41" s="356"/>
      <c r="DC41" s="357"/>
      <c r="DD41" s="358"/>
      <c r="DE41" s="357"/>
      <c r="DF41" s="359"/>
      <c r="DG41" s="360"/>
      <c r="DH41" s="355"/>
      <c r="DI41" s="355"/>
      <c r="DJ41" s="355"/>
      <c r="DK41" s="356"/>
      <c r="DL41" s="357"/>
      <c r="DM41" s="358"/>
      <c r="DN41" s="357"/>
      <c r="DO41" s="359"/>
      <c r="DP41" s="360"/>
      <c r="DQ41" s="355"/>
      <c r="DR41" s="355"/>
      <c r="DS41" s="355"/>
      <c r="DT41" s="356"/>
      <c r="DU41" s="357"/>
      <c r="DV41" s="358"/>
      <c r="DW41" s="357"/>
      <c r="DX41" s="359"/>
      <c r="DY41" s="360"/>
      <c r="DZ41" s="355"/>
      <c r="EA41" s="355"/>
      <c r="EB41" s="355"/>
      <c r="EC41" s="356"/>
      <c r="ED41" s="357"/>
      <c r="EE41" s="358"/>
      <c r="EF41" s="357"/>
      <c r="EG41" s="359"/>
      <c r="EH41" s="360"/>
      <c r="EI41" s="355"/>
      <c r="EJ41" s="355"/>
      <c r="EK41" s="355"/>
      <c r="EL41" s="356"/>
      <c r="EM41" s="357"/>
      <c r="EN41" s="358"/>
      <c r="EO41" s="357"/>
      <c r="EP41" s="359"/>
      <c r="EQ41" s="360"/>
      <c r="ER41" s="355"/>
      <c r="ES41" s="355"/>
      <c r="ET41" s="355"/>
      <c r="EU41" s="356"/>
      <c r="EV41" s="357"/>
      <c r="EW41" s="358"/>
      <c r="EX41" s="357"/>
      <c r="EY41" s="359"/>
      <c r="EZ41" s="360"/>
      <c r="FA41" s="355"/>
      <c r="FB41" s="355"/>
      <c r="FC41" s="355"/>
      <c r="FD41" s="356"/>
      <c r="FE41" s="357"/>
      <c r="FF41" s="358"/>
      <c r="FG41" s="357"/>
      <c r="FH41" s="359"/>
      <c r="FI41" s="360"/>
      <c r="FJ41" s="355"/>
      <c r="FK41" s="355"/>
      <c r="FL41" s="355"/>
      <c r="FM41" s="356"/>
      <c r="FN41" s="357"/>
      <c r="FO41" s="358"/>
      <c r="FP41" s="357"/>
      <c r="FQ41" s="359"/>
      <c r="FR41" s="360"/>
      <c r="FS41" s="355"/>
      <c r="FT41" s="355"/>
      <c r="FU41" s="355"/>
      <c r="FV41" s="356"/>
      <c r="FW41" s="357"/>
      <c r="FX41" s="358"/>
      <c r="FY41" s="357"/>
      <c r="FZ41" s="359"/>
      <c r="GA41" s="360"/>
      <c r="GB41" s="355"/>
      <c r="GC41" s="355"/>
      <c r="GD41" s="355"/>
      <c r="GE41" s="356"/>
      <c r="GF41" s="357"/>
      <c r="GG41" s="358"/>
      <c r="GH41" s="357"/>
      <c r="GI41" s="359"/>
      <c r="GJ41" s="360"/>
      <c r="GK41" s="355"/>
      <c r="GL41" s="355"/>
      <c r="GM41" s="355"/>
      <c r="GN41" s="356"/>
      <c r="GO41" s="357"/>
      <c r="GP41" s="358"/>
      <c r="GQ41" s="357"/>
      <c r="GR41" s="359"/>
      <c r="GS41" s="360"/>
      <c r="GT41" s="362">
        <v>42940</v>
      </c>
      <c r="GU41" s="98">
        <v>22176</v>
      </c>
      <c r="GV41" s="130" t="s">
        <v>585</v>
      </c>
      <c r="GW41" s="74"/>
      <c r="GX41" s="74"/>
      <c r="GY41" s="391" t="s">
        <v>620</v>
      </c>
      <c r="GZ41" s="67">
        <v>3944</v>
      </c>
    </row>
    <row r="42" spans="1:208" x14ac:dyDescent="0.25">
      <c r="A42"/>
      <c r="D42" s="35"/>
      <c r="E42" s="36"/>
      <c r="F42" s="37"/>
      <c r="G42" s="38"/>
      <c r="H42" s="39"/>
      <c r="I42" s="40"/>
      <c r="J42" s="68" t="s">
        <v>553</v>
      </c>
      <c r="K42" s="407" t="s">
        <v>46</v>
      </c>
      <c r="L42" s="70">
        <v>11920</v>
      </c>
      <c r="M42" s="71">
        <v>42916</v>
      </c>
      <c r="N42" s="380" t="s">
        <v>609</v>
      </c>
      <c r="O42" s="72">
        <v>9865</v>
      </c>
      <c r="P42" s="113">
        <f t="shared" si="2"/>
        <v>-2055</v>
      </c>
      <c r="Q42" s="117">
        <v>29.5</v>
      </c>
      <c r="R42" s="117"/>
      <c r="S42" s="117"/>
      <c r="T42" s="39">
        <f t="shared" ref="T42:T49" si="3">Q42*O42+S42+0</f>
        <v>291017.5</v>
      </c>
      <c r="U42" s="363" t="s">
        <v>72</v>
      </c>
      <c r="V42" s="353">
        <v>42937</v>
      </c>
      <c r="W42" s="368">
        <v>75401</v>
      </c>
      <c r="X42" s="355"/>
      <c r="Y42" s="356"/>
      <c r="Z42" s="357"/>
      <c r="AA42" s="358"/>
      <c r="AB42" s="357"/>
      <c r="AC42" s="359"/>
      <c r="AD42" s="360"/>
      <c r="AE42" s="355"/>
      <c r="AF42" s="355"/>
      <c r="AG42" s="355"/>
      <c r="AH42" s="356"/>
      <c r="AI42" s="357"/>
      <c r="AJ42" s="358"/>
      <c r="AK42" s="357"/>
      <c r="AL42" s="359"/>
      <c r="AM42" s="360"/>
      <c r="AN42" s="355"/>
      <c r="AO42" s="355"/>
      <c r="AP42" s="355"/>
      <c r="AQ42" s="356"/>
      <c r="AR42" s="357"/>
      <c r="AS42" s="358"/>
      <c r="AT42" s="357"/>
      <c r="AU42" s="359"/>
      <c r="AV42" s="360"/>
      <c r="AW42" s="355"/>
      <c r="AX42" s="355"/>
      <c r="AY42" s="355"/>
      <c r="AZ42" s="356"/>
      <c r="BA42" s="357"/>
      <c r="BB42" s="358"/>
      <c r="BC42" s="357"/>
      <c r="BD42" s="359"/>
      <c r="BE42" s="360"/>
      <c r="BF42" s="355"/>
      <c r="BG42" s="355"/>
      <c r="BH42" s="355"/>
      <c r="BI42" s="356"/>
      <c r="BJ42" s="357"/>
      <c r="BK42" s="358"/>
      <c r="BL42" s="357"/>
      <c r="BM42" s="359"/>
      <c r="BN42" s="360"/>
      <c r="BO42" s="355"/>
      <c r="BP42" s="355"/>
      <c r="BQ42" s="355"/>
      <c r="BR42" s="356"/>
      <c r="BS42" s="357"/>
      <c r="BT42" s="358"/>
      <c r="BU42" s="357"/>
      <c r="BV42" s="359"/>
      <c r="BW42" s="360"/>
      <c r="BX42" s="355"/>
      <c r="BY42" s="355"/>
      <c r="BZ42" s="355"/>
      <c r="CA42" s="356"/>
      <c r="CB42" s="357"/>
      <c r="CC42" s="358"/>
      <c r="CD42" s="357"/>
      <c r="CE42" s="359"/>
      <c r="CF42" s="360"/>
      <c r="CG42" s="355"/>
      <c r="CH42" s="355"/>
      <c r="CI42" s="355"/>
      <c r="CJ42" s="356"/>
      <c r="CK42" s="357"/>
      <c r="CL42" s="358"/>
      <c r="CM42" s="357"/>
      <c r="CN42" s="359"/>
      <c r="CO42" s="360"/>
      <c r="CP42" s="355"/>
      <c r="CQ42" s="355"/>
      <c r="CR42" s="355"/>
      <c r="CS42" s="356"/>
      <c r="CT42" s="357"/>
      <c r="CU42" s="358"/>
      <c r="CV42" s="357"/>
      <c r="CW42" s="359"/>
      <c r="CX42" s="360"/>
      <c r="CY42" s="355"/>
      <c r="CZ42" s="355"/>
      <c r="DA42" s="355"/>
      <c r="DB42" s="356"/>
      <c r="DC42" s="357"/>
      <c r="DD42" s="358"/>
      <c r="DE42" s="357"/>
      <c r="DF42" s="359"/>
      <c r="DG42" s="360"/>
      <c r="DH42" s="355"/>
      <c r="DI42" s="355"/>
      <c r="DJ42" s="355"/>
      <c r="DK42" s="356"/>
      <c r="DL42" s="357"/>
      <c r="DM42" s="358"/>
      <c r="DN42" s="357"/>
      <c r="DO42" s="359"/>
      <c r="DP42" s="360"/>
      <c r="DQ42" s="355"/>
      <c r="DR42" s="355"/>
      <c r="DS42" s="355"/>
      <c r="DT42" s="356"/>
      <c r="DU42" s="357"/>
      <c r="DV42" s="358"/>
      <c r="DW42" s="357"/>
      <c r="DX42" s="359"/>
      <c r="DY42" s="360"/>
      <c r="DZ42" s="355"/>
      <c r="EA42" s="355"/>
      <c r="EB42" s="355"/>
      <c r="EC42" s="356"/>
      <c r="ED42" s="357"/>
      <c r="EE42" s="358"/>
      <c r="EF42" s="357"/>
      <c r="EG42" s="359"/>
      <c r="EH42" s="360"/>
      <c r="EI42" s="355"/>
      <c r="EJ42" s="355"/>
      <c r="EK42" s="355"/>
      <c r="EL42" s="356"/>
      <c r="EM42" s="357"/>
      <c r="EN42" s="358"/>
      <c r="EO42" s="357"/>
      <c r="EP42" s="359"/>
      <c r="EQ42" s="360"/>
      <c r="ER42" s="355"/>
      <c r="ES42" s="355"/>
      <c r="ET42" s="355"/>
      <c r="EU42" s="356"/>
      <c r="EV42" s="357"/>
      <c r="EW42" s="358"/>
      <c r="EX42" s="357"/>
      <c r="EY42" s="359"/>
      <c r="EZ42" s="360"/>
      <c r="FA42" s="355"/>
      <c r="FB42" s="355"/>
      <c r="FC42" s="355"/>
      <c r="FD42" s="356"/>
      <c r="FE42" s="357"/>
      <c r="FF42" s="358"/>
      <c r="FG42" s="357"/>
      <c r="FH42" s="359"/>
      <c r="FI42" s="360"/>
      <c r="FJ42" s="355"/>
      <c r="FK42" s="355"/>
      <c r="FL42" s="355"/>
      <c r="FM42" s="356"/>
      <c r="FN42" s="357"/>
      <c r="FO42" s="358"/>
      <c r="FP42" s="357"/>
      <c r="FQ42" s="359"/>
      <c r="FR42" s="360"/>
      <c r="FS42" s="355"/>
      <c r="FT42" s="355"/>
      <c r="FU42" s="355"/>
      <c r="FV42" s="356"/>
      <c r="FW42" s="357"/>
      <c r="FX42" s="358"/>
      <c r="FY42" s="357"/>
      <c r="FZ42" s="359"/>
      <c r="GA42" s="360"/>
      <c r="GB42" s="355"/>
      <c r="GC42" s="355"/>
      <c r="GD42" s="355"/>
      <c r="GE42" s="356"/>
      <c r="GF42" s="357"/>
      <c r="GG42" s="358"/>
      <c r="GH42" s="357"/>
      <c r="GI42" s="359"/>
      <c r="GJ42" s="360"/>
      <c r="GK42" s="355"/>
      <c r="GL42" s="355"/>
      <c r="GM42" s="355"/>
      <c r="GN42" s="356"/>
      <c r="GO42" s="357"/>
      <c r="GP42" s="358"/>
      <c r="GQ42" s="357"/>
      <c r="GR42" s="359"/>
      <c r="GS42" s="360"/>
      <c r="GT42" s="362">
        <v>42937</v>
      </c>
      <c r="GU42" s="98">
        <v>17584</v>
      </c>
      <c r="GV42" s="130" t="s">
        <v>584</v>
      </c>
      <c r="GW42" s="74"/>
      <c r="GX42" s="132"/>
      <c r="GY42" s="391" t="s">
        <v>620</v>
      </c>
      <c r="GZ42" s="67">
        <v>2088</v>
      </c>
    </row>
    <row r="43" spans="1:208" x14ac:dyDescent="0.25">
      <c r="A43"/>
      <c r="D43" s="35"/>
      <c r="E43" s="36"/>
      <c r="F43" s="37"/>
      <c r="G43" s="38"/>
      <c r="H43" s="39"/>
      <c r="I43" s="40"/>
      <c r="J43" s="68"/>
      <c r="K43" s="407"/>
      <c r="L43" s="70"/>
      <c r="M43" s="71"/>
      <c r="N43" s="56"/>
      <c r="O43" s="72"/>
      <c r="P43" s="113">
        <f t="shared" si="2"/>
        <v>0</v>
      </c>
      <c r="Q43" s="117"/>
      <c r="R43" s="117"/>
      <c r="S43" s="117"/>
      <c r="T43" s="39">
        <f t="shared" si="3"/>
        <v>0</v>
      </c>
      <c r="U43" s="115"/>
      <c r="V43" s="112"/>
      <c r="W43" s="377"/>
      <c r="X43" s="146"/>
      <c r="Y43" s="147"/>
      <c r="Z43" s="148"/>
      <c r="AA43" s="149"/>
      <c r="AB43" s="148"/>
      <c r="AC43" s="150"/>
      <c r="AD43" s="151"/>
      <c r="AE43" s="146"/>
      <c r="AF43" s="146"/>
      <c r="AG43" s="146"/>
      <c r="AH43" s="147"/>
      <c r="AI43" s="148"/>
      <c r="AJ43" s="149"/>
      <c r="AK43" s="148"/>
      <c r="AL43" s="150"/>
      <c r="AM43" s="151"/>
      <c r="AN43" s="146"/>
      <c r="AO43" s="146"/>
      <c r="AP43" s="146"/>
      <c r="AQ43" s="147"/>
      <c r="AR43" s="148"/>
      <c r="AS43" s="149"/>
      <c r="AT43" s="148"/>
      <c r="AU43" s="150"/>
      <c r="AV43" s="151"/>
      <c r="AW43" s="146"/>
      <c r="AX43" s="146"/>
      <c r="AY43" s="146"/>
      <c r="AZ43" s="147"/>
      <c r="BA43" s="148"/>
      <c r="BB43" s="149"/>
      <c r="BC43" s="148"/>
      <c r="BD43" s="150"/>
      <c r="BE43" s="151"/>
      <c r="BF43" s="146"/>
      <c r="BG43" s="146"/>
      <c r="BH43" s="146"/>
      <c r="BI43" s="147"/>
      <c r="BJ43" s="148"/>
      <c r="BK43" s="149"/>
      <c r="BL43" s="148"/>
      <c r="BM43" s="150"/>
      <c r="BN43" s="151"/>
      <c r="BO43" s="146"/>
      <c r="BP43" s="146"/>
      <c r="BQ43" s="146"/>
      <c r="BR43" s="147"/>
      <c r="BS43" s="148"/>
      <c r="BT43" s="149"/>
      <c r="BU43" s="148"/>
      <c r="BV43" s="150"/>
      <c r="BW43" s="151"/>
      <c r="BX43" s="146"/>
      <c r="BY43" s="146"/>
      <c r="BZ43" s="146"/>
      <c r="CA43" s="147"/>
      <c r="CB43" s="148"/>
      <c r="CC43" s="149"/>
      <c r="CD43" s="148"/>
      <c r="CE43" s="150"/>
      <c r="CF43" s="151"/>
      <c r="CG43" s="146"/>
      <c r="CH43" s="146"/>
      <c r="CI43" s="146"/>
      <c r="CJ43" s="147"/>
      <c r="CK43" s="148"/>
      <c r="CL43" s="149"/>
      <c r="CM43" s="148"/>
      <c r="CN43" s="150"/>
      <c r="CO43" s="151"/>
      <c r="CP43" s="146"/>
      <c r="CQ43" s="146"/>
      <c r="CR43" s="146"/>
      <c r="CS43" s="147"/>
      <c r="CT43" s="148"/>
      <c r="CU43" s="149"/>
      <c r="CV43" s="148"/>
      <c r="CW43" s="150"/>
      <c r="CX43" s="151"/>
      <c r="CY43" s="146"/>
      <c r="CZ43" s="146"/>
      <c r="DA43" s="146"/>
      <c r="DB43" s="147"/>
      <c r="DC43" s="148"/>
      <c r="DD43" s="149"/>
      <c r="DE43" s="148"/>
      <c r="DF43" s="150"/>
      <c r="DG43" s="151"/>
      <c r="DH43" s="146"/>
      <c r="DI43" s="146"/>
      <c r="DJ43" s="146"/>
      <c r="DK43" s="147"/>
      <c r="DL43" s="148"/>
      <c r="DM43" s="149"/>
      <c r="DN43" s="148"/>
      <c r="DO43" s="150"/>
      <c r="DP43" s="151"/>
      <c r="DQ43" s="146"/>
      <c r="DR43" s="146"/>
      <c r="DS43" s="146"/>
      <c r="DT43" s="147"/>
      <c r="DU43" s="148"/>
      <c r="DV43" s="149"/>
      <c r="DW43" s="148"/>
      <c r="DX43" s="150"/>
      <c r="DY43" s="151"/>
      <c r="DZ43" s="146"/>
      <c r="EA43" s="146"/>
      <c r="EB43" s="146"/>
      <c r="EC43" s="147"/>
      <c r="ED43" s="148"/>
      <c r="EE43" s="149"/>
      <c r="EF43" s="148"/>
      <c r="EG43" s="150"/>
      <c r="EH43" s="151"/>
      <c r="EI43" s="146"/>
      <c r="EJ43" s="146"/>
      <c r="EK43" s="146"/>
      <c r="EL43" s="147"/>
      <c r="EM43" s="148"/>
      <c r="EN43" s="149"/>
      <c r="EO43" s="148"/>
      <c r="EP43" s="150"/>
      <c r="EQ43" s="151"/>
      <c r="ER43" s="146"/>
      <c r="ES43" s="146"/>
      <c r="ET43" s="146"/>
      <c r="EU43" s="147"/>
      <c r="EV43" s="148"/>
      <c r="EW43" s="149"/>
      <c r="EX43" s="148"/>
      <c r="EY43" s="150"/>
      <c r="EZ43" s="151"/>
      <c r="FA43" s="146"/>
      <c r="FB43" s="146"/>
      <c r="FC43" s="146"/>
      <c r="FD43" s="147"/>
      <c r="FE43" s="148"/>
      <c r="FF43" s="149"/>
      <c r="FG43" s="148"/>
      <c r="FH43" s="150"/>
      <c r="FI43" s="151"/>
      <c r="FJ43" s="146"/>
      <c r="FK43" s="146"/>
      <c r="FL43" s="146"/>
      <c r="FM43" s="147"/>
      <c r="FN43" s="148"/>
      <c r="FO43" s="149"/>
      <c r="FP43" s="148"/>
      <c r="FQ43" s="150"/>
      <c r="FR43" s="151"/>
      <c r="FS43" s="146"/>
      <c r="FT43" s="146"/>
      <c r="FU43" s="146"/>
      <c r="FV43" s="147"/>
      <c r="FW43" s="148"/>
      <c r="FX43" s="149"/>
      <c r="FY43" s="148"/>
      <c r="FZ43" s="150"/>
      <c r="GA43" s="151"/>
      <c r="GB43" s="146"/>
      <c r="GC43" s="146"/>
      <c r="GD43" s="146"/>
      <c r="GE43" s="147"/>
      <c r="GF43" s="148"/>
      <c r="GG43" s="149"/>
      <c r="GH43" s="148"/>
      <c r="GI43" s="150"/>
      <c r="GJ43" s="151"/>
      <c r="GK43" s="146"/>
      <c r="GL43" s="146"/>
      <c r="GM43" s="146"/>
      <c r="GN43" s="147"/>
      <c r="GO43" s="148"/>
      <c r="GP43" s="149"/>
      <c r="GQ43" s="148"/>
      <c r="GR43" s="150"/>
      <c r="GS43" s="151"/>
      <c r="GT43" s="152"/>
      <c r="GU43" s="98"/>
      <c r="GV43" s="130"/>
      <c r="GW43" s="74"/>
      <c r="GX43" s="132"/>
      <c r="GY43" s="167"/>
      <c r="GZ43" s="86"/>
    </row>
    <row r="44" spans="1:208" x14ac:dyDescent="0.25">
      <c r="A44"/>
      <c r="D44" s="35"/>
      <c r="E44" s="36"/>
      <c r="F44" s="37"/>
      <c r="G44" s="38"/>
      <c r="H44" s="39"/>
      <c r="I44" s="40"/>
      <c r="J44" s="68"/>
      <c r="K44" s="407"/>
      <c r="L44" s="70"/>
      <c r="M44" s="71"/>
      <c r="N44" s="56"/>
      <c r="O44" s="72"/>
      <c r="P44" s="113">
        <f t="shared" si="2"/>
        <v>0</v>
      </c>
      <c r="Q44" s="117"/>
      <c r="R44" s="117"/>
      <c r="S44" s="117"/>
      <c r="T44" s="39">
        <f t="shared" si="3"/>
        <v>0</v>
      </c>
      <c r="U44" s="115"/>
      <c r="V44" s="112"/>
      <c r="W44" s="377"/>
      <c r="X44" s="146"/>
      <c r="Y44" s="147"/>
      <c r="Z44" s="148"/>
      <c r="AA44" s="149"/>
      <c r="AB44" s="148"/>
      <c r="AC44" s="150"/>
      <c r="AD44" s="151"/>
      <c r="AE44" s="146"/>
      <c r="AF44" s="146"/>
      <c r="AG44" s="146"/>
      <c r="AH44" s="147"/>
      <c r="AI44" s="148"/>
      <c r="AJ44" s="149"/>
      <c r="AK44" s="148"/>
      <c r="AL44" s="150"/>
      <c r="AM44" s="151"/>
      <c r="AN44" s="146"/>
      <c r="AO44" s="146"/>
      <c r="AP44" s="146"/>
      <c r="AQ44" s="147"/>
      <c r="AR44" s="148"/>
      <c r="AS44" s="149"/>
      <c r="AT44" s="148"/>
      <c r="AU44" s="150"/>
      <c r="AV44" s="151"/>
      <c r="AW44" s="146"/>
      <c r="AX44" s="146"/>
      <c r="AY44" s="146"/>
      <c r="AZ44" s="147"/>
      <c r="BA44" s="148"/>
      <c r="BB44" s="149"/>
      <c r="BC44" s="148"/>
      <c r="BD44" s="150"/>
      <c r="BE44" s="151"/>
      <c r="BF44" s="146"/>
      <c r="BG44" s="146"/>
      <c r="BH44" s="146"/>
      <c r="BI44" s="147"/>
      <c r="BJ44" s="148"/>
      <c r="BK44" s="149"/>
      <c r="BL44" s="148"/>
      <c r="BM44" s="150"/>
      <c r="BN44" s="151"/>
      <c r="BO44" s="146"/>
      <c r="BP44" s="146"/>
      <c r="BQ44" s="146"/>
      <c r="BR44" s="147"/>
      <c r="BS44" s="148"/>
      <c r="BT44" s="149"/>
      <c r="BU44" s="148"/>
      <c r="BV44" s="150"/>
      <c r="BW44" s="151"/>
      <c r="BX44" s="146"/>
      <c r="BY44" s="146"/>
      <c r="BZ44" s="146"/>
      <c r="CA44" s="147"/>
      <c r="CB44" s="148"/>
      <c r="CC44" s="149"/>
      <c r="CD44" s="148"/>
      <c r="CE44" s="150"/>
      <c r="CF44" s="151"/>
      <c r="CG44" s="146"/>
      <c r="CH44" s="146"/>
      <c r="CI44" s="146"/>
      <c r="CJ44" s="147"/>
      <c r="CK44" s="148"/>
      <c r="CL44" s="149"/>
      <c r="CM44" s="148"/>
      <c r="CN44" s="150"/>
      <c r="CO44" s="151"/>
      <c r="CP44" s="146"/>
      <c r="CQ44" s="146"/>
      <c r="CR44" s="146"/>
      <c r="CS44" s="147"/>
      <c r="CT44" s="148"/>
      <c r="CU44" s="149"/>
      <c r="CV44" s="148"/>
      <c r="CW44" s="150"/>
      <c r="CX44" s="151"/>
      <c r="CY44" s="146"/>
      <c r="CZ44" s="146"/>
      <c r="DA44" s="146"/>
      <c r="DB44" s="147"/>
      <c r="DC44" s="148"/>
      <c r="DD44" s="149"/>
      <c r="DE44" s="148"/>
      <c r="DF44" s="150"/>
      <c r="DG44" s="151"/>
      <c r="DH44" s="146"/>
      <c r="DI44" s="146"/>
      <c r="DJ44" s="146"/>
      <c r="DK44" s="147"/>
      <c r="DL44" s="148"/>
      <c r="DM44" s="149"/>
      <c r="DN44" s="148"/>
      <c r="DO44" s="150"/>
      <c r="DP44" s="151"/>
      <c r="DQ44" s="146"/>
      <c r="DR44" s="146"/>
      <c r="DS44" s="146"/>
      <c r="DT44" s="147"/>
      <c r="DU44" s="148"/>
      <c r="DV44" s="149"/>
      <c r="DW44" s="148"/>
      <c r="DX44" s="150"/>
      <c r="DY44" s="151"/>
      <c r="DZ44" s="146"/>
      <c r="EA44" s="146"/>
      <c r="EB44" s="146"/>
      <c r="EC44" s="147"/>
      <c r="ED44" s="148"/>
      <c r="EE44" s="149"/>
      <c r="EF44" s="148"/>
      <c r="EG44" s="150"/>
      <c r="EH44" s="151"/>
      <c r="EI44" s="146"/>
      <c r="EJ44" s="146"/>
      <c r="EK44" s="146"/>
      <c r="EL44" s="147"/>
      <c r="EM44" s="148"/>
      <c r="EN44" s="149"/>
      <c r="EO44" s="148"/>
      <c r="EP44" s="150"/>
      <c r="EQ44" s="151"/>
      <c r="ER44" s="146"/>
      <c r="ES44" s="146"/>
      <c r="ET44" s="146"/>
      <c r="EU44" s="147"/>
      <c r="EV44" s="148"/>
      <c r="EW44" s="149"/>
      <c r="EX44" s="148"/>
      <c r="EY44" s="150"/>
      <c r="EZ44" s="151"/>
      <c r="FA44" s="146"/>
      <c r="FB44" s="146"/>
      <c r="FC44" s="146"/>
      <c r="FD44" s="147"/>
      <c r="FE44" s="148"/>
      <c r="FF44" s="149"/>
      <c r="FG44" s="148"/>
      <c r="FH44" s="150"/>
      <c r="FI44" s="151"/>
      <c r="FJ44" s="146"/>
      <c r="FK44" s="146"/>
      <c r="FL44" s="146"/>
      <c r="FM44" s="147"/>
      <c r="FN44" s="148"/>
      <c r="FO44" s="149"/>
      <c r="FP44" s="148"/>
      <c r="FQ44" s="150"/>
      <c r="FR44" s="151"/>
      <c r="FS44" s="146"/>
      <c r="FT44" s="146"/>
      <c r="FU44" s="146"/>
      <c r="FV44" s="147"/>
      <c r="FW44" s="148"/>
      <c r="FX44" s="149"/>
      <c r="FY44" s="148"/>
      <c r="FZ44" s="150"/>
      <c r="GA44" s="151"/>
      <c r="GB44" s="146"/>
      <c r="GC44" s="146"/>
      <c r="GD44" s="146"/>
      <c r="GE44" s="147"/>
      <c r="GF44" s="148"/>
      <c r="GG44" s="149"/>
      <c r="GH44" s="148"/>
      <c r="GI44" s="150"/>
      <c r="GJ44" s="151"/>
      <c r="GK44" s="146"/>
      <c r="GL44" s="146"/>
      <c r="GM44" s="146"/>
      <c r="GN44" s="147"/>
      <c r="GO44" s="148"/>
      <c r="GP44" s="149"/>
      <c r="GQ44" s="148"/>
      <c r="GR44" s="150"/>
      <c r="GS44" s="151"/>
      <c r="GT44" s="152"/>
      <c r="GU44" s="98"/>
      <c r="GV44" s="130"/>
      <c r="GW44" s="74"/>
      <c r="GX44" s="132"/>
      <c r="GY44" s="167"/>
      <c r="GZ44" s="86"/>
    </row>
    <row r="45" spans="1:208" x14ac:dyDescent="0.25">
      <c r="A45"/>
      <c r="D45" s="35"/>
      <c r="E45" s="36"/>
      <c r="F45" s="37"/>
      <c r="G45" s="38"/>
      <c r="H45" s="39"/>
      <c r="I45" s="40"/>
      <c r="J45" s="68"/>
      <c r="K45" s="407"/>
      <c r="L45" s="70"/>
      <c r="M45" s="71"/>
      <c r="N45" s="56"/>
      <c r="O45" s="72"/>
      <c r="P45" s="113">
        <f t="shared" si="2"/>
        <v>0</v>
      </c>
      <c r="Q45" s="117"/>
      <c r="R45" s="117"/>
      <c r="S45" s="117"/>
      <c r="T45" s="39">
        <f t="shared" si="3"/>
        <v>0</v>
      </c>
      <c r="U45" s="115"/>
      <c r="V45" s="112"/>
      <c r="W45" s="377"/>
      <c r="X45" s="146"/>
      <c r="Y45" s="147"/>
      <c r="Z45" s="148"/>
      <c r="AA45" s="149"/>
      <c r="AB45" s="148"/>
      <c r="AC45" s="150"/>
      <c r="AD45" s="151"/>
      <c r="AE45" s="146"/>
      <c r="AF45" s="146"/>
      <c r="AG45" s="146"/>
      <c r="AH45" s="147"/>
      <c r="AI45" s="148"/>
      <c r="AJ45" s="149"/>
      <c r="AK45" s="148"/>
      <c r="AL45" s="150"/>
      <c r="AM45" s="151"/>
      <c r="AN45" s="146"/>
      <c r="AO45" s="146"/>
      <c r="AP45" s="146"/>
      <c r="AQ45" s="147"/>
      <c r="AR45" s="148"/>
      <c r="AS45" s="149"/>
      <c r="AT45" s="148"/>
      <c r="AU45" s="150"/>
      <c r="AV45" s="151"/>
      <c r="AW45" s="146"/>
      <c r="AX45" s="146"/>
      <c r="AY45" s="146"/>
      <c r="AZ45" s="147"/>
      <c r="BA45" s="148"/>
      <c r="BB45" s="149"/>
      <c r="BC45" s="148"/>
      <c r="BD45" s="150"/>
      <c r="BE45" s="151"/>
      <c r="BF45" s="146"/>
      <c r="BG45" s="146"/>
      <c r="BH45" s="146"/>
      <c r="BI45" s="147"/>
      <c r="BJ45" s="148"/>
      <c r="BK45" s="149"/>
      <c r="BL45" s="148"/>
      <c r="BM45" s="150"/>
      <c r="BN45" s="151"/>
      <c r="BO45" s="146"/>
      <c r="BP45" s="146"/>
      <c r="BQ45" s="146"/>
      <c r="BR45" s="147"/>
      <c r="BS45" s="148"/>
      <c r="BT45" s="149"/>
      <c r="BU45" s="148"/>
      <c r="BV45" s="150"/>
      <c r="BW45" s="151"/>
      <c r="BX45" s="146"/>
      <c r="BY45" s="146"/>
      <c r="BZ45" s="146"/>
      <c r="CA45" s="147"/>
      <c r="CB45" s="148"/>
      <c r="CC45" s="149"/>
      <c r="CD45" s="148"/>
      <c r="CE45" s="150"/>
      <c r="CF45" s="151"/>
      <c r="CG45" s="146"/>
      <c r="CH45" s="146"/>
      <c r="CI45" s="146"/>
      <c r="CJ45" s="147"/>
      <c r="CK45" s="148"/>
      <c r="CL45" s="149"/>
      <c r="CM45" s="148"/>
      <c r="CN45" s="150"/>
      <c r="CO45" s="151"/>
      <c r="CP45" s="146"/>
      <c r="CQ45" s="146"/>
      <c r="CR45" s="146"/>
      <c r="CS45" s="147"/>
      <c r="CT45" s="148"/>
      <c r="CU45" s="149"/>
      <c r="CV45" s="148"/>
      <c r="CW45" s="150"/>
      <c r="CX45" s="151"/>
      <c r="CY45" s="146"/>
      <c r="CZ45" s="146"/>
      <c r="DA45" s="146"/>
      <c r="DB45" s="147"/>
      <c r="DC45" s="148"/>
      <c r="DD45" s="149"/>
      <c r="DE45" s="148"/>
      <c r="DF45" s="150"/>
      <c r="DG45" s="151"/>
      <c r="DH45" s="146"/>
      <c r="DI45" s="146"/>
      <c r="DJ45" s="146"/>
      <c r="DK45" s="147"/>
      <c r="DL45" s="148"/>
      <c r="DM45" s="149"/>
      <c r="DN45" s="148"/>
      <c r="DO45" s="150"/>
      <c r="DP45" s="151"/>
      <c r="DQ45" s="146"/>
      <c r="DR45" s="146"/>
      <c r="DS45" s="146"/>
      <c r="DT45" s="147"/>
      <c r="DU45" s="148"/>
      <c r="DV45" s="149"/>
      <c r="DW45" s="148"/>
      <c r="DX45" s="150"/>
      <c r="DY45" s="151"/>
      <c r="DZ45" s="146"/>
      <c r="EA45" s="146"/>
      <c r="EB45" s="146"/>
      <c r="EC45" s="147"/>
      <c r="ED45" s="148"/>
      <c r="EE45" s="149"/>
      <c r="EF45" s="148"/>
      <c r="EG45" s="150"/>
      <c r="EH45" s="151"/>
      <c r="EI45" s="146"/>
      <c r="EJ45" s="146"/>
      <c r="EK45" s="146"/>
      <c r="EL45" s="147"/>
      <c r="EM45" s="148"/>
      <c r="EN45" s="149"/>
      <c r="EO45" s="148"/>
      <c r="EP45" s="150"/>
      <c r="EQ45" s="151"/>
      <c r="ER45" s="146"/>
      <c r="ES45" s="146"/>
      <c r="ET45" s="146"/>
      <c r="EU45" s="147"/>
      <c r="EV45" s="148"/>
      <c r="EW45" s="149"/>
      <c r="EX45" s="148"/>
      <c r="EY45" s="150"/>
      <c r="EZ45" s="151"/>
      <c r="FA45" s="146"/>
      <c r="FB45" s="146"/>
      <c r="FC45" s="146"/>
      <c r="FD45" s="147"/>
      <c r="FE45" s="148"/>
      <c r="FF45" s="149"/>
      <c r="FG45" s="148"/>
      <c r="FH45" s="150"/>
      <c r="FI45" s="151"/>
      <c r="FJ45" s="146"/>
      <c r="FK45" s="146"/>
      <c r="FL45" s="146"/>
      <c r="FM45" s="147"/>
      <c r="FN45" s="148"/>
      <c r="FO45" s="149"/>
      <c r="FP45" s="148"/>
      <c r="FQ45" s="150"/>
      <c r="FR45" s="151"/>
      <c r="FS45" s="146"/>
      <c r="FT45" s="146"/>
      <c r="FU45" s="146"/>
      <c r="FV45" s="147"/>
      <c r="FW45" s="148"/>
      <c r="FX45" s="149"/>
      <c r="FY45" s="148"/>
      <c r="FZ45" s="150"/>
      <c r="GA45" s="151"/>
      <c r="GB45" s="146"/>
      <c r="GC45" s="146"/>
      <c r="GD45" s="146"/>
      <c r="GE45" s="147"/>
      <c r="GF45" s="148"/>
      <c r="GG45" s="149"/>
      <c r="GH45" s="148"/>
      <c r="GI45" s="150"/>
      <c r="GJ45" s="151"/>
      <c r="GK45" s="146"/>
      <c r="GL45" s="146"/>
      <c r="GM45" s="146"/>
      <c r="GN45" s="147"/>
      <c r="GO45" s="148"/>
      <c r="GP45" s="149"/>
      <c r="GQ45" s="148"/>
      <c r="GR45" s="150"/>
      <c r="GS45" s="151"/>
      <c r="GT45" s="152"/>
      <c r="GU45" s="98"/>
      <c r="GV45" s="130"/>
      <c r="GW45" s="74"/>
      <c r="GX45" s="132"/>
      <c r="GY45" s="167"/>
      <c r="GZ45" s="86"/>
    </row>
    <row r="46" spans="1:208" x14ac:dyDescent="0.25">
      <c r="A46"/>
      <c r="D46" s="35"/>
      <c r="E46" s="36"/>
      <c r="F46" s="37"/>
      <c r="G46" s="38"/>
      <c r="H46" s="39"/>
      <c r="I46" s="40"/>
      <c r="J46" s="68"/>
      <c r="K46" s="407"/>
      <c r="L46" s="70"/>
      <c r="M46" s="71"/>
      <c r="N46" s="56"/>
      <c r="O46" s="72"/>
      <c r="P46" s="113">
        <f t="shared" si="2"/>
        <v>0</v>
      </c>
      <c r="Q46" s="117"/>
      <c r="R46" s="117"/>
      <c r="S46" s="117"/>
      <c r="T46" s="39">
        <f t="shared" si="3"/>
        <v>0</v>
      </c>
      <c r="U46" s="115"/>
      <c r="V46" s="112"/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152"/>
      <c r="GU46" s="98"/>
      <c r="GV46" s="130"/>
      <c r="GW46" s="74"/>
      <c r="GX46" s="132"/>
      <c r="GY46" s="167"/>
      <c r="GZ46" s="86"/>
    </row>
    <row r="47" spans="1:208" x14ac:dyDescent="0.25">
      <c r="A47"/>
      <c r="D47" s="35"/>
      <c r="E47" s="36"/>
      <c r="F47" s="37"/>
      <c r="G47" s="38"/>
      <c r="H47" s="39"/>
      <c r="I47" s="40"/>
      <c r="J47" s="76"/>
      <c r="K47" s="407"/>
      <c r="L47" s="70"/>
      <c r="M47" s="71"/>
      <c r="N47" s="119"/>
      <c r="O47" s="72"/>
      <c r="P47" s="113">
        <f t="shared" si="2"/>
        <v>0</v>
      </c>
      <c r="Q47" s="117"/>
      <c r="R47" s="117"/>
      <c r="S47" s="117"/>
      <c r="T47" s="39">
        <f t="shared" si="3"/>
        <v>0</v>
      </c>
      <c r="U47" s="375"/>
      <c r="V47" s="144"/>
      <c r="W47" s="377"/>
      <c r="X47" s="146"/>
      <c r="Y47" s="147"/>
      <c r="Z47" s="148"/>
      <c r="AA47" s="149"/>
      <c r="AB47" s="148"/>
      <c r="AC47" s="150"/>
      <c r="AD47" s="151"/>
      <c r="AE47" s="146"/>
      <c r="AF47" s="146"/>
      <c r="AG47" s="146"/>
      <c r="AH47" s="147"/>
      <c r="AI47" s="148"/>
      <c r="AJ47" s="149"/>
      <c r="AK47" s="148"/>
      <c r="AL47" s="150"/>
      <c r="AM47" s="151"/>
      <c r="AN47" s="146"/>
      <c r="AO47" s="146"/>
      <c r="AP47" s="146"/>
      <c r="AQ47" s="147"/>
      <c r="AR47" s="148"/>
      <c r="AS47" s="149"/>
      <c r="AT47" s="148"/>
      <c r="AU47" s="150"/>
      <c r="AV47" s="151"/>
      <c r="AW47" s="146"/>
      <c r="AX47" s="146"/>
      <c r="AY47" s="146"/>
      <c r="AZ47" s="147"/>
      <c r="BA47" s="148"/>
      <c r="BB47" s="149"/>
      <c r="BC47" s="148"/>
      <c r="BD47" s="150"/>
      <c r="BE47" s="151"/>
      <c r="BF47" s="146"/>
      <c r="BG47" s="146"/>
      <c r="BH47" s="146"/>
      <c r="BI47" s="147"/>
      <c r="BJ47" s="148"/>
      <c r="BK47" s="149"/>
      <c r="BL47" s="148"/>
      <c r="BM47" s="150"/>
      <c r="BN47" s="151"/>
      <c r="BO47" s="146"/>
      <c r="BP47" s="146"/>
      <c r="BQ47" s="146"/>
      <c r="BR47" s="147"/>
      <c r="BS47" s="148"/>
      <c r="BT47" s="149"/>
      <c r="BU47" s="148"/>
      <c r="BV47" s="150"/>
      <c r="BW47" s="151"/>
      <c r="BX47" s="146"/>
      <c r="BY47" s="146"/>
      <c r="BZ47" s="146"/>
      <c r="CA47" s="147"/>
      <c r="CB47" s="148"/>
      <c r="CC47" s="149"/>
      <c r="CD47" s="148"/>
      <c r="CE47" s="150"/>
      <c r="CF47" s="151"/>
      <c r="CG47" s="146"/>
      <c r="CH47" s="146"/>
      <c r="CI47" s="146"/>
      <c r="CJ47" s="147"/>
      <c r="CK47" s="148"/>
      <c r="CL47" s="149"/>
      <c r="CM47" s="148"/>
      <c r="CN47" s="150"/>
      <c r="CO47" s="151"/>
      <c r="CP47" s="146"/>
      <c r="CQ47" s="146"/>
      <c r="CR47" s="146"/>
      <c r="CS47" s="147"/>
      <c r="CT47" s="148"/>
      <c r="CU47" s="149"/>
      <c r="CV47" s="148"/>
      <c r="CW47" s="150"/>
      <c r="CX47" s="151"/>
      <c r="CY47" s="146"/>
      <c r="CZ47" s="146"/>
      <c r="DA47" s="146"/>
      <c r="DB47" s="147"/>
      <c r="DC47" s="148"/>
      <c r="DD47" s="149"/>
      <c r="DE47" s="148"/>
      <c r="DF47" s="150"/>
      <c r="DG47" s="151"/>
      <c r="DH47" s="146"/>
      <c r="DI47" s="146"/>
      <c r="DJ47" s="146"/>
      <c r="DK47" s="147"/>
      <c r="DL47" s="148"/>
      <c r="DM47" s="149"/>
      <c r="DN47" s="148"/>
      <c r="DO47" s="150"/>
      <c r="DP47" s="151"/>
      <c r="DQ47" s="146"/>
      <c r="DR47" s="146"/>
      <c r="DS47" s="146"/>
      <c r="DT47" s="147"/>
      <c r="DU47" s="148"/>
      <c r="DV47" s="149"/>
      <c r="DW47" s="148"/>
      <c r="DX47" s="150"/>
      <c r="DY47" s="151"/>
      <c r="DZ47" s="146"/>
      <c r="EA47" s="146"/>
      <c r="EB47" s="146"/>
      <c r="EC47" s="147"/>
      <c r="ED47" s="148"/>
      <c r="EE47" s="149"/>
      <c r="EF47" s="148"/>
      <c r="EG47" s="150"/>
      <c r="EH47" s="151"/>
      <c r="EI47" s="146"/>
      <c r="EJ47" s="146"/>
      <c r="EK47" s="146"/>
      <c r="EL47" s="147"/>
      <c r="EM47" s="148"/>
      <c r="EN47" s="149"/>
      <c r="EO47" s="148"/>
      <c r="EP47" s="150"/>
      <c r="EQ47" s="151"/>
      <c r="ER47" s="146"/>
      <c r="ES47" s="146"/>
      <c r="ET47" s="146"/>
      <c r="EU47" s="147"/>
      <c r="EV47" s="148"/>
      <c r="EW47" s="149"/>
      <c r="EX47" s="148"/>
      <c r="EY47" s="150"/>
      <c r="EZ47" s="151"/>
      <c r="FA47" s="146"/>
      <c r="FB47" s="146"/>
      <c r="FC47" s="146"/>
      <c r="FD47" s="147"/>
      <c r="FE47" s="148"/>
      <c r="FF47" s="149"/>
      <c r="FG47" s="148"/>
      <c r="FH47" s="150"/>
      <c r="FI47" s="151"/>
      <c r="FJ47" s="146"/>
      <c r="FK47" s="146"/>
      <c r="FL47" s="146"/>
      <c r="FM47" s="147"/>
      <c r="FN47" s="148"/>
      <c r="FO47" s="149"/>
      <c r="FP47" s="148"/>
      <c r="FQ47" s="150"/>
      <c r="FR47" s="151"/>
      <c r="FS47" s="146"/>
      <c r="FT47" s="146"/>
      <c r="FU47" s="146"/>
      <c r="FV47" s="147"/>
      <c r="FW47" s="148"/>
      <c r="FX47" s="149"/>
      <c r="FY47" s="148"/>
      <c r="FZ47" s="150"/>
      <c r="GA47" s="151"/>
      <c r="GB47" s="146"/>
      <c r="GC47" s="146"/>
      <c r="GD47" s="146"/>
      <c r="GE47" s="147"/>
      <c r="GF47" s="148"/>
      <c r="GG47" s="149"/>
      <c r="GH47" s="148"/>
      <c r="GI47" s="150"/>
      <c r="GJ47" s="151"/>
      <c r="GK47" s="146"/>
      <c r="GL47" s="146"/>
      <c r="GM47" s="146"/>
      <c r="GN47" s="147"/>
      <c r="GO47" s="148"/>
      <c r="GP47" s="149"/>
      <c r="GQ47" s="148"/>
      <c r="GR47" s="150"/>
      <c r="GS47" s="151"/>
      <c r="GT47" s="378"/>
      <c r="GU47" s="98"/>
      <c r="GV47" s="130"/>
      <c r="GW47" s="74"/>
      <c r="GX47" s="74"/>
      <c r="GY47" s="167"/>
      <c r="GZ47" s="86"/>
    </row>
    <row r="48" spans="1:208" x14ac:dyDescent="0.25">
      <c r="A48"/>
      <c r="D48" s="35"/>
      <c r="E48" s="36"/>
      <c r="F48" s="37"/>
      <c r="G48" s="38"/>
      <c r="H48" s="39"/>
      <c r="I48" s="40"/>
      <c r="J48" s="76"/>
      <c r="K48" s="451"/>
      <c r="L48" s="70"/>
      <c r="M48" s="71"/>
      <c r="N48" s="119"/>
      <c r="O48" s="72"/>
      <c r="P48" s="113">
        <f t="shared" si="2"/>
        <v>0</v>
      </c>
      <c r="Q48" s="117"/>
      <c r="R48" s="117"/>
      <c r="S48" s="117"/>
      <c r="T48" s="39">
        <f t="shared" si="3"/>
        <v>0</v>
      </c>
      <c r="U48" s="375"/>
      <c r="V48" s="144"/>
      <c r="W48" s="377"/>
      <c r="X48" s="146"/>
      <c r="Y48" s="147"/>
      <c r="Z48" s="148"/>
      <c r="AA48" s="149"/>
      <c r="AB48" s="148"/>
      <c r="AC48" s="150"/>
      <c r="AD48" s="151"/>
      <c r="AE48" s="146"/>
      <c r="AF48" s="146"/>
      <c r="AG48" s="146"/>
      <c r="AH48" s="147"/>
      <c r="AI48" s="148"/>
      <c r="AJ48" s="149"/>
      <c r="AK48" s="148"/>
      <c r="AL48" s="150"/>
      <c r="AM48" s="151"/>
      <c r="AN48" s="146"/>
      <c r="AO48" s="146"/>
      <c r="AP48" s="146"/>
      <c r="AQ48" s="147"/>
      <c r="AR48" s="148"/>
      <c r="AS48" s="149"/>
      <c r="AT48" s="148"/>
      <c r="AU48" s="150"/>
      <c r="AV48" s="151"/>
      <c r="AW48" s="146"/>
      <c r="AX48" s="146"/>
      <c r="AY48" s="146"/>
      <c r="AZ48" s="147"/>
      <c r="BA48" s="148"/>
      <c r="BB48" s="149"/>
      <c r="BC48" s="148"/>
      <c r="BD48" s="150"/>
      <c r="BE48" s="151"/>
      <c r="BF48" s="146"/>
      <c r="BG48" s="146"/>
      <c r="BH48" s="146"/>
      <c r="BI48" s="147"/>
      <c r="BJ48" s="148"/>
      <c r="BK48" s="149"/>
      <c r="BL48" s="148"/>
      <c r="BM48" s="150"/>
      <c r="BN48" s="151"/>
      <c r="BO48" s="146"/>
      <c r="BP48" s="146"/>
      <c r="BQ48" s="146"/>
      <c r="BR48" s="147"/>
      <c r="BS48" s="148"/>
      <c r="BT48" s="149"/>
      <c r="BU48" s="148"/>
      <c r="BV48" s="150"/>
      <c r="BW48" s="151"/>
      <c r="BX48" s="146"/>
      <c r="BY48" s="146"/>
      <c r="BZ48" s="146"/>
      <c r="CA48" s="147"/>
      <c r="CB48" s="148"/>
      <c r="CC48" s="149"/>
      <c r="CD48" s="148"/>
      <c r="CE48" s="150"/>
      <c r="CF48" s="151"/>
      <c r="CG48" s="146"/>
      <c r="CH48" s="146"/>
      <c r="CI48" s="146"/>
      <c r="CJ48" s="147"/>
      <c r="CK48" s="148"/>
      <c r="CL48" s="149"/>
      <c r="CM48" s="148"/>
      <c r="CN48" s="150"/>
      <c r="CO48" s="151"/>
      <c r="CP48" s="146"/>
      <c r="CQ48" s="146"/>
      <c r="CR48" s="146"/>
      <c r="CS48" s="147"/>
      <c r="CT48" s="148"/>
      <c r="CU48" s="149"/>
      <c r="CV48" s="148"/>
      <c r="CW48" s="150"/>
      <c r="CX48" s="151"/>
      <c r="CY48" s="146"/>
      <c r="CZ48" s="146"/>
      <c r="DA48" s="146"/>
      <c r="DB48" s="147"/>
      <c r="DC48" s="148"/>
      <c r="DD48" s="149"/>
      <c r="DE48" s="148"/>
      <c r="DF48" s="150"/>
      <c r="DG48" s="151"/>
      <c r="DH48" s="146"/>
      <c r="DI48" s="146"/>
      <c r="DJ48" s="146"/>
      <c r="DK48" s="147"/>
      <c r="DL48" s="148"/>
      <c r="DM48" s="149"/>
      <c r="DN48" s="148"/>
      <c r="DO48" s="150"/>
      <c r="DP48" s="151"/>
      <c r="DQ48" s="146"/>
      <c r="DR48" s="146"/>
      <c r="DS48" s="146"/>
      <c r="DT48" s="147"/>
      <c r="DU48" s="148"/>
      <c r="DV48" s="149"/>
      <c r="DW48" s="148"/>
      <c r="DX48" s="150"/>
      <c r="DY48" s="151"/>
      <c r="DZ48" s="146"/>
      <c r="EA48" s="146"/>
      <c r="EB48" s="146"/>
      <c r="EC48" s="147"/>
      <c r="ED48" s="148"/>
      <c r="EE48" s="149"/>
      <c r="EF48" s="148"/>
      <c r="EG48" s="150"/>
      <c r="EH48" s="151"/>
      <c r="EI48" s="146"/>
      <c r="EJ48" s="146"/>
      <c r="EK48" s="146"/>
      <c r="EL48" s="147"/>
      <c r="EM48" s="148"/>
      <c r="EN48" s="149"/>
      <c r="EO48" s="148"/>
      <c r="EP48" s="150"/>
      <c r="EQ48" s="151"/>
      <c r="ER48" s="146"/>
      <c r="ES48" s="146"/>
      <c r="ET48" s="146"/>
      <c r="EU48" s="147"/>
      <c r="EV48" s="148"/>
      <c r="EW48" s="149"/>
      <c r="EX48" s="148"/>
      <c r="EY48" s="150"/>
      <c r="EZ48" s="151"/>
      <c r="FA48" s="146"/>
      <c r="FB48" s="146"/>
      <c r="FC48" s="146"/>
      <c r="FD48" s="147"/>
      <c r="FE48" s="148"/>
      <c r="FF48" s="149"/>
      <c r="FG48" s="148"/>
      <c r="FH48" s="150"/>
      <c r="FI48" s="151"/>
      <c r="FJ48" s="146"/>
      <c r="FK48" s="146"/>
      <c r="FL48" s="146"/>
      <c r="FM48" s="147"/>
      <c r="FN48" s="148"/>
      <c r="FO48" s="149"/>
      <c r="FP48" s="148"/>
      <c r="FQ48" s="150"/>
      <c r="FR48" s="151"/>
      <c r="FS48" s="146"/>
      <c r="FT48" s="146"/>
      <c r="FU48" s="146"/>
      <c r="FV48" s="147"/>
      <c r="FW48" s="148"/>
      <c r="FX48" s="149"/>
      <c r="FY48" s="148"/>
      <c r="FZ48" s="150"/>
      <c r="GA48" s="151"/>
      <c r="GB48" s="146"/>
      <c r="GC48" s="146"/>
      <c r="GD48" s="146"/>
      <c r="GE48" s="147"/>
      <c r="GF48" s="148"/>
      <c r="GG48" s="149"/>
      <c r="GH48" s="148"/>
      <c r="GI48" s="150"/>
      <c r="GJ48" s="151"/>
      <c r="GK48" s="146"/>
      <c r="GL48" s="146"/>
      <c r="GM48" s="146"/>
      <c r="GN48" s="147"/>
      <c r="GO48" s="148"/>
      <c r="GP48" s="149"/>
      <c r="GQ48" s="148"/>
      <c r="GR48" s="150"/>
      <c r="GS48" s="151"/>
      <c r="GT48" s="378"/>
      <c r="GU48" s="98"/>
      <c r="GV48" s="133"/>
      <c r="GW48" s="134"/>
      <c r="GX48" s="134"/>
      <c r="GY48" s="167"/>
      <c r="GZ48" s="86"/>
    </row>
    <row r="49" spans="1:208" x14ac:dyDescent="0.25">
      <c r="A49"/>
      <c r="D49" s="35"/>
      <c r="E49" s="36"/>
      <c r="F49" s="37"/>
      <c r="G49" s="38"/>
      <c r="H49" s="39"/>
      <c r="I49" s="40"/>
      <c r="J49" s="68"/>
      <c r="K49" s="407"/>
      <c r="L49" s="70"/>
      <c r="M49" s="71"/>
      <c r="N49" s="119"/>
      <c r="O49" s="72"/>
      <c r="P49" s="113">
        <f t="shared" si="2"/>
        <v>0</v>
      </c>
      <c r="Q49" s="117"/>
      <c r="R49" s="117"/>
      <c r="S49" s="117"/>
      <c r="T49" s="39">
        <f t="shared" si="3"/>
        <v>0</v>
      </c>
      <c r="U49" s="115"/>
      <c r="V49" s="112"/>
      <c r="W49" s="118"/>
      <c r="X49" s="17"/>
      <c r="Y49" s="20"/>
      <c r="Z49" s="92"/>
      <c r="AA49" s="93"/>
      <c r="AB49" s="92"/>
      <c r="AC49" s="94"/>
      <c r="AD49" s="95"/>
      <c r="AE49" s="17"/>
      <c r="AF49" s="17"/>
      <c r="AG49" s="17"/>
      <c r="AH49" s="20"/>
      <c r="AI49" s="92"/>
      <c r="AJ49" s="93"/>
      <c r="AK49" s="92"/>
      <c r="AL49" s="94"/>
      <c r="AM49" s="95"/>
      <c r="AN49" s="17"/>
      <c r="AO49" s="17"/>
      <c r="AP49" s="17"/>
      <c r="AQ49" s="20"/>
      <c r="AR49" s="92"/>
      <c r="AS49" s="93"/>
      <c r="AT49" s="92"/>
      <c r="AU49" s="94"/>
      <c r="AV49" s="95"/>
      <c r="AW49" s="17"/>
      <c r="AX49" s="17"/>
      <c r="AY49" s="17"/>
      <c r="AZ49" s="20"/>
      <c r="BA49" s="92"/>
      <c r="BB49" s="93"/>
      <c r="BC49" s="92"/>
      <c r="BD49" s="94"/>
      <c r="BE49" s="95"/>
      <c r="BF49" s="17"/>
      <c r="BG49" s="17"/>
      <c r="BH49" s="17"/>
      <c r="BI49" s="20"/>
      <c r="BJ49" s="92"/>
      <c r="BK49" s="93"/>
      <c r="BL49" s="92"/>
      <c r="BM49" s="94"/>
      <c r="BN49" s="95"/>
      <c r="BO49" s="17"/>
      <c r="BP49" s="17"/>
      <c r="BQ49" s="17"/>
      <c r="BR49" s="20"/>
      <c r="BS49" s="92"/>
      <c r="BT49" s="93"/>
      <c r="BU49" s="92"/>
      <c r="BV49" s="94"/>
      <c r="BW49" s="95"/>
      <c r="BX49" s="17"/>
      <c r="BY49" s="17"/>
      <c r="BZ49" s="17"/>
      <c r="CA49" s="20"/>
      <c r="CB49" s="92"/>
      <c r="CC49" s="93"/>
      <c r="CD49" s="92"/>
      <c r="CE49" s="94"/>
      <c r="CF49" s="95"/>
      <c r="CG49" s="17"/>
      <c r="CH49" s="17"/>
      <c r="CI49" s="17"/>
      <c r="CJ49" s="20"/>
      <c r="CK49" s="92"/>
      <c r="CL49" s="93"/>
      <c r="CM49" s="92"/>
      <c r="CN49" s="94"/>
      <c r="CO49" s="95"/>
      <c r="CP49" s="17"/>
      <c r="CQ49" s="17"/>
      <c r="CR49" s="17"/>
      <c r="CS49" s="20"/>
      <c r="CT49" s="92"/>
      <c r="CU49" s="93"/>
      <c r="CV49" s="92"/>
      <c r="CW49" s="94"/>
      <c r="CX49" s="95"/>
      <c r="CY49" s="17"/>
      <c r="CZ49" s="17"/>
      <c r="DA49" s="17"/>
      <c r="DB49" s="20"/>
      <c r="DC49" s="92"/>
      <c r="DD49" s="93"/>
      <c r="DE49" s="92"/>
      <c r="DF49" s="94"/>
      <c r="DG49" s="95"/>
      <c r="DH49" s="17"/>
      <c r="DI49" s="17"/>
      <c r="DJ49" s="17"/>
      <c r="DK49" s="20"/>
      <c r="DL49" s="92"/>
      <c r="DM49" s="93"/>
      <c r="DN49" s="92"/>
      <c r="DO49" s="94"/>
      <c r="DP49" s="95"/>
      <c r="DQ49" s="17"/>
      <c r="DR49" s="17"/>
      <c r="DS49" s="17"/>
      <c r="DT49" s="20"/>
      <c r="DU49" s="92"/>
      <c r="DV49" s="93"/>
      <c r="DW49" s="92"/>
      <c r="DX49" s="94"/>
      <c r="DY49" s="95"/>
      <c r="DZ49" s="17"/>
      <c r="EA49" s="17"/>
      <c r="EB49" s="17"/>
      <c r="EC49" s="20"/>
      <c r="ED49" s="92"/>
      <c r="EE49" s="93"/>
      <c r="EF49" s="92"/>
      <c r="EG49" s="94"/>
      <c r="EH49" s="95"/>
      <c r="EI49" s="17"/>
      <c r="EJ49" s="17"/>
      <c r="EK49" s="17"/>
      <c r="EL49" s="20"/>
      <c r="EM49" s="92"/>
      <c r="EN49" s="93"/>
      <c r="EO49" s="92"/>
      <c r="EP49" s="94"/>
      <c r="EQ49" s="95"/>
      <c r="ER49" s="17"/>
      <c r="ES49" s="17"/>
      <c r="ET49" s="17"/>
      <c r="EU49" s="20"/>
      <c r="EV49" s="92"/>
      <c r="EW49" s="93"/>
      <c r="EX49" s="92"/>
      <c r="EY49" s="94"/>
      <c r="EZ49" s="95"/>
      <c r="FA49" s="17"/>
      <c r="FB49" s="17"/>
      <c r="FC49" s="17"/>
      <c r="FD49" s="20"/>
      <c r="FE49" s="92"/>
      <c r="FF49" s="93"/>
      <c r="FG49" s="92"/>
      <c r="FH49" s="94"/>
      <c r="FI49" s="95"/>
      <c r="FJ49" s="17"/>
      <c r="FK49" s="17"/>
      <c r="FL49" s="17"/>
      <c r="FM49" s="20"/>
      <c r="FN49" s="92"/>
      <c r="FO49" s="93"/>
      <c r="FP49" s="92"/>
      <c r="FQ49" s="94"/>
      <c r="FR49" s="95"/>
      <c r="FS49" s="17"/>
      <c r="FT49" s="17"/>
      <c r="FU49" s="17"/>
      <c r="FV49" s="20"/>
      <c r="FW49" s="92"/>
      <c r="FX49" s="93"/>
      <c r="FY49" s="92"/>
      <c r="FZ49" s="94"/>
      <c r="GA49" s="95"/>
      <c r="GB49" s="17"/>
      <c r="GC49" s="17"/>
      <c r="GD49" s="17"/>
      <c r="GE49" s="20"/>
      <c r="GF49" s="92"/>
      <c r="GG49" s="93"/>
      <c r="GH49" s="92"/>
      <c r="GI49" s="94"/>
      <c r="GJ49" s="95"/>
      <c r="GK49" s="17"/>
      <c r="GL49" s="17"/>
      <c r="GM49" s="17"/>
      <c r="GN49" s="20"/>
      <c r="GO49" s="92"/>
      <c r="GP49" s="93"/>
      <c r="GQ49" s="92"/>
      <c r="GR49" s="94"/>
      <c r="GS49" s="95"/>
      <c r="GT49" s="122"/>
      <c r="GU49" s="98"/>
      <c r="GV49" s="133"/>
      <c r="GW49" s="134"/>
      <c r="GX49" s="134"/>
      <c r="GY49" s="167"/>
      <c r="GZ49" s="86"/>
    </row>
    <row r="50" spans="1:208" x14ac:dyDescent="0.25">
      <c r="A50"/>
      <c r="D50" s="35"/>
      <c r="E50" s="36"/>
      <c r="F50" s="37"/>
      <c r="G50" s="38"/>
      <c r="H50" s="39"/>
      <c r="I50" s="40"/>
      <c r="J50" s="68"/>
      <c r="K50" s="407"/>
      <c r="L50" s="70"/>
      <c r="M50" s="71"/>
      <c r="N50" s="56"/>
      <c r="O50" s="72"/>
      <c r="P50" s="113">
        <f t="shared" si="2"/>
        <v>0</v>
      </c>
      <c r="Q50" s="117"/>
      <c r="R50" s="117"/>
      <c r="S50" s="117"/>
      <c r="T50" s="39">
        <f t="shared" ref="T50" si="4">Q50*O50</f>
        <v>0</v>
      </c>
      <c r="U50" s="115"/>
      <c r="V50" s="112"/>
      <c r="W50" s="118"/>
      <c r="X50" s="17"/>
      <c r="Y50" s="20"/>
      <c r="Z50" s="92"/>
      <c r="AA50" s="93"/>
      <c r="AB50" s="92"/>
      <c r="AC50" s="94"/>
      <c r="AD50" s="95"/>
      <c r="AE50" s="17"/>
      <c r="AF50" s="17"/>
      <c r="AG50" s="17"/>
      <c r="AH50" s="20"/>
      <c r="AI50" s="92"/>
      <c r="AJ50" s="93"/>
      <c r="AK50" s="92"/>
      <c r="AL50" s="94"/>
      <c r="AM50" s="95"/>
      <c r="AN50" s="17"/>
      <c r="AO50" s="17"/>
      <c r="AP50" s="17"/>
      <c r="AQ50" s="20"/>
      <c r="AR50" s="92"/>
      <c r="AS50" s="93"/>
      <c r="AT50" s="92"/>
      <c r="AU50" s="94"/>
      <c r="AV50" s="95"/>
      <c r="AW50" s="17"/>
      <c r="AX50" s="17"/>
      <c r="AY50" s="17"/>
      <c r="AZ50" s="20"/>
      <c r="BA50" s="92"/>
      <c r="BB50" s="93"/>
      <c r="BC50" s="92"/>
      <c r="BD50" s="94"/>
      <c r="BE50" s="95"/>
      <c r="BF50" s="17"/>
      <c r="BG50" s="17"/>
      <c r="BH50" s="17"/>
      <c r="BI50" s="20"/>
      <c r="BJ50" s="92"/>
      <c r="BK50" s="93"/>
      <c r="BL50" s="92"/>
      <c r="BM50" s="94"/>
      <c r="BN50" s="95"/>
      <c r="BO50" s="17"/>
      <c r="BP50" s="17"/>
      <c r="BQ50" s="17"/>
      <c r="BR50" s="20"/>
      <c r="BS50" s="92"/>
      <c r="BT50" s="93"/>
      <c r="BU50" s="92"/>
      <c r="BV50" s="94"/>
      <c r="BW50" s="95"/>
      <c r="BX50" s="17"/>
      <c r="BY50" s="17"/>
      <c r="BZ50" s="17"/>
      <c r="CA50" s="20"/>
      <c r="CB50" s="92"/>
      <c r="CC50" s="93"/>
      <c r="CD50" s="92"/>
      <c r="CE50" s="94"/>
      <c r="CF50" s="95"/>
      <c r="CG50" s="17"/>
      <c r="CH50" s="17"/>
      <c r="CI50" s="17"/>
      <c r="CJ50" s="20"/>
      <c r="CK50" s="92"/>
      <c r="CL50" s="93"/>
      <c r="CM50" s="92"/>
      <c r="CN50" s="94"/>
      <c r="CO50" s="95"/>
      <c r="CP50" s="17"/>
      <c r="CQ50" s="17"/>
      <c r="CR50" s="17"/>
      <c r="CS50" s="20"/>
      <c r="CT50" s="92"/>
      <c r="CU50" s="93"/>
      <c r="CV50" s="92"/>
      <c r="CW50" s="94"/>
      <c r="CX50" s="95"/>
      <c r="CY50" s="17"/>
      <c r="CZ50" s="17"/>
      <c r="DA50" s="17"/>
      <c r="DB50" s="20"/>
      <c r="DC50" s="92"/>
      <c r="DD50" s="93"/>
      <c r="DE50" s="92"/>
      <c r="DF50" s="94"/>
      <c r="DG50" s="95"/>
      <c r="DH50" s="17"/>
      <c r="DI50" s="17"/>
      <c r="DJ50" s="17"/>
      <c r="DK50" s="20"/>
      <c r="DL50" s="92"/>
      <c r="DM50" s="93"/>
      <c r="DN50" s="92"/>
      <c r="DO50" s="94"/>
      <c r="DP50" s="95"/>
      <c r="DQ50" s="17"/>
      <c r="DR50" s="17"/>
      <c r="DS50" s="17"/>
      <c r="DT50" s="20"/>
      <c r="DU50" s="92"/>
      <c r="DV50" s="93"/>
      <c r="DW50" s="92"/>
      <c r="DX50" s="94"/>
      <c r="DY50" s="95"/>
      <c r="DZ50" s="17"/>
      <c r="EA50" s="17"/>
      <c r="EB50" s="17"/>
      <c r="EC50" s="20"/>
      <c r="ED50" s="92"/>
      <c r="EE50" s="93"/>
      <c r="EF50" s="92"/>
      <c r="EG50" s="94"/>
      <c r="EH50" s="95"/>
      <c r="EI50" s="17"/>
      <c r="EJ50" s="17"/>
      <c r="EK50" s="17"/>
      <c r="EL50" s="20"/>
      <c r="EM50" s="92"/>
      <c r="EN50" s="93"/>
      <c r="EO50" s="92"/>
      <c r="EP50" s="94"/>
      <c r="EQ50" s="95"/>
      <c r="ER50" s="17"/>
      <c r="ES50" s="17"/>
      <c r="ET50" s="17"/>
      <c r="EU50" s="20"/>
      <c r="EV50" s="92"/>
      <c r="EW50" s="93"/>
      <c r="EX50" s="92"/>
      <c r="EY50" s="94"/>
      <c r="EZ50" s="95"/>
      <c r="FA50" s="17"/>
      <c r="FB50" s="17"/>
      <c r="FC50" s="17"/>
      <c r="FD50" s="20"/>
      <c r="FE50" s="92"/>
      <c r="FF50" s="93"/>
      <c r="FG50" s="92"/>
      <c r="FH50" s="94"/>
      <c r="FI50" s="95"/>
      <c r="FJ50" s="17"/>
      <c r="FK50" s="17"/>
      <c r="FL50" s="17"/>
      <c r="FM50" s="20"/>
      <c r="FN50" s="92"/>
      <c r="FO50" s="93"/>
      <c r="FP50" s="92"/>
      <c r="FQ50" s="94"/>
      <c r="FR50" s="95"/>
      <c r="FS50" s="17"/>
      <c r="FT50" s="17"/>
      <c r="FU50" s="17"/>
      <c r="FV50" s="20"/>
      <c r="FW50" s="92"/>
      <c r="FX50" s="93"/>
      <c r="FY50" s="92"/>
      <c r="FZ50" s="94"/>
      <c r="GA50" s="95"/>
      <c r="GB50" s="17"/>
      <c r="GC50" s="17"/>
      <c r="GD50" s="17"/>
      <c r="GE50" s="20"/>
      <c r="GF50" s="92"/>
      <c r="GG50" s="93"/>
      <c r="GH50" s="92"/>
      <c r="GI50" s="94"/>
      <c r="GJ50" s="95"/>
      <c r="GK50" s="17"/>
      <c r="GL50" s="17"/>
      <c r="GM50" s="17"/>
      <c r="GN50" s="20"/>
      <c r="GO50" s="92"/>
      <c r="GP50" s="93"/>
      <c r="GQ50" s="92"/>
      <c r="GR50" s="94"/>
      <c r="GS50" s="95"/>
      <c r="GT50" s="122"/>
      <c r="GU50" s="98"/>
      <c r="GV50" s="135"/>
      <c r="GW50" s="134"/>
      <c r="GX50" s="136"/>
      <c r="GY50" s="167"/>
      <c r="GZ50" s="86"/>
    </row>
    <row r="51" spans="1:208" x14ac:dyDescent="0.25">
      <c r="A51"/>
      <c r="D51" s="35"/>
      <c r="E51" s="36"/>
      <c r="F51" s="37"/>
      <c r="G51" s="38"/>
      <c r="H51" s="39"/>
      <c r="I51" s="40"/>
      <c r="J51" s="68"/>
      <c r="K51" s="407"/>
      <c r="L51" s="70"/>
      <c r="M51" s="71"/>
      <c r="N51" s="56"/>
      <c r="O51" s="72"/>
      <c r="P51" s="113">
        <f t="shared" si="2"/>
        <v>0</v>
      </c>
      <c r="Q51" s="64"/>
      <c r="R51" s="117"/>
      <c r="S51" s="117"/>
      <c r="T51" s="39">
        <f>Q51*O51</f>
        <v>0</v>
      </c>
      <c r="U51" s="115"/>
      <c r="V51" s="83"/>
      <c r="W51" s="118"/>
      <c r="X51" s="17"/>
      <c r="Y51" s="20"/>
      <c r="Z51" s="92"/>
      <c r="AA51" s="93"/>
      <c r="AB51" s="92"/>
      <c r="AC51" s="94"/>
      <c r="AD51" s="95"/>
      <c r="AE51" s="17"/>
      <c r="AF51" s="17"/>
      <c r="AG51" s="17"/>
      <c r="AH51" s="20"/>
      <c r="AI51" s="92"/>
      <c r="AJ51" s="93"/>
      <c r="AK51" s="92"/>
      <c r="AL51" s="94"/>
      <c r="AM51" s="95"/>
      <c r="AN51" s="17"/>
      <c r="AO51" s="17"/>
      <c r="AP51" s="17"/>
      <c r="AQ51" s="20"/>
      <c r="AR51" s="92"/>
      <c r="AS51" s="93"/>
      <c r="AT51" s="92"/>
      <c r="AU51" s="94"/>
      <c r="AV51" s="95"/>
      <c r="AW51" s="17"/>
      <c r="AX51" s="17"/>
      <c r="AY51" s="17"/>
      <c r="AZ51" s="20"/>
      <c r="BA51" s="92"/>
      <c r="BB51" s="93"/>
      <c r="BC51" s="92"/>
      <c r="BD51" s="94"/>
      <c r="BE51" s="95"/>
      <c r="BF51" s="17"/>
      <c r="BG51" s="17"/>
      <c r="BH51" s="17"/>
      <c r="BI51" s="20"/>
      <c r="BJ51" s="92"/>
      <c r="BK51" s="93"/>
      <c r="BL51" s="92"/>
      <c r="BM51" s="94"/>
      <c r="BN51" s="95"/>
      <c r="BO51" s="17"/>
      <c r="BP51" s="17"/>
      <c r="BQ51" s="17"/>
      <c r="BR51" s="20"/>
      <c r="BS51" s="92"/>
      <c r="BT51" s="93"/>
      <c r="BU51" s="92"/>
      <c r="BV51" s="94"/>
      <c r="BW51" s="95"/>
      <c r="BX51" s="17"/>
      <c r="BY51" s="17"/>
      <c r="BZ51" s="17"/>
      <c r="CA51" s="20"/>
      <c r="CB51" s="92"/>
      <c r="CC51" s="93"/>
      <c r="CD51" s="92"/>
      <c r="CE51" s="94"/>
      <c r="CF51" s="95"/>
      <c r="CG51" s="17"/>
      <c r="CH51" s="17"/>
      <c r="CI51" s="17"/>
      <c r="CJ51" s="20"/>
      <c r="CK51" s="92"/>
      <c r="CL51" s="93"/>
      <c r="CM51" s="92"/>
      <c r="CN51" s="94"/>
      <c r="CO51" s="95"/>
      <c r="CP51" s="17"/>
      <c r="CQ51" s="17"/>
      <c r="CR51" s="17"/>
      <c r="CS51" s="20"/>
      <c r="CT51" s="92"/>
      <c r="CU51" s="93"/>
      <c r="CV51" s="92"/>
      <c r="CW51" s="94"/>
      <c r="CX51" s="95"/>
      <c r="CY51" s="17"/>
      <c r="CZ51" s="17"/>
      <c r="DA51" s="17"/>
      <c r="DB51" s="20"/>
      <c r="DC51" s="92"/>
      <c r="DD51" s="93"/>
      <c r="DE51" s="92"/>
      <c r="DF51" s="94"/>
      <c r="DG51" s="95"/>
      <c r="DH51" s="17"/>
      <c r="DI51" s="17"/>
      <c r="DJ51" s="17"/>
      <c r="DK51" s="20"/>
      <c r="DL51" s="92"/>
      <c r="DM51" s="93"/>
      <c r="DN51" s="92"/>
      <c r="DO51" s="94"/>
      <c r="DP51" s="95"/>
      <c r="DQ51" s="17"/>
      <c r="DR51" s="17"/>
      <c r="DS51" s="17"/>
      <c r="DT51" s="20"/>
      <c r="DU51" s="92"/>
      <c r="DV51" s="93"/>
      <c r="DW51" s="92"/>
      <c r="DX51" s="94"/>
      <c r="DY51" s="95"/>
      <c r="DZ51" s="17"/>
      <c r="EA51" s="17"/>
      <c r="EB51" s="17"/>
      <c r="EC51" s="20"/>
      <c r="ED51" s="92"/>
      <c r="EE51" s="93"/>
      <c r="EF51" s="92"/>
      <c r="EG51" s="94"/>
      <c r="EH51" s="95"/>
      <c r="EI51" s="17"/>
      <c r="EJ51" s="17"/>
      <c r="EK51" s="17"/>
      <c r="EL51" s="20"/>
      <c r="EM51" s="92"/>
      <c r="EN51" s="93"/>
      <c r="EO51" s="92"/>
      <c r="EP51" s="94"/>
      <c r="EQ51" s="95"/>
      <c r="ER51" s="17"/>
      <c r="ES51" s="17"/>
      <c r="ET51" s="17"/>
      <c r="EU51" s="20"/>
      <c r="EV51" s="92"/>
      <c r="EW51" s="93"/>
      <c r="EX51" s="92"/>
      <c r="EY51" s="94"/>
      <c r="EZ51" s="95"/>
      <c r="FA51" s="17"/>
      <c r="FB51" s="17"/>
      <c r="FC51" s="17"/>
      <c r="FD51" s="20"/>
      <c r="FE51" s="92"/>
      <c r="FF51" s="93"/>
      <c r="FG51" s="92"/>
      <c r="FH51" s="94"/>
      <c r="FI51" s="95"/>
      <c r="FJ51" s="17"/>
      <c r="FK51" s="17"/>
      <c r="FL51" s="17"/>
      <c r="FM51" s="20"/>
      <c r="FN51" s="92"/>
      <c r="FO51" s="93"/>
      <c r="FP51" s="92"/>
      <c r="FQ51" s="94"/>
      <c r="FR51" s="95"/>
      <c r="FS51" s="17"/>
      <c r="FT51" s="17"/>
      <c r="FU51" s="17"/>
      <c r="FV51" s="20"/>
      <c r="FW51" s="92"/>
      <c r="FX51" s="93"/>
      <c r="FY51" s="92"/>
      <c r="FZ51" s="94"/>
      <c r="GA51" s="95"/>
      <c r="GB51" s="17"/>
      <c r="GC51" s="17"/>
      <c r="GD51" s="17"/>
      <c r="GE51" s="20"/>
      <c r="GF51" s="92"/>
      <c r="GG51" s="93"/>
      <c r="GH51" s="92"/>
      <c r="GI51" s="94"/>
      <c r="GJ51" s="95"/>
      <c r="GK51" s="17"/>
      <c r="GL51" s="17"/>
      <c r="GM51" s="17"/>
      <c r="GN51" s="20"/>
      <c r="GO51" s="92"/>
      <c r="GP51" s="93"/>
      <c r="GQ51" s="92"/>
      <c r="GR51" s="94"/>
      <c r="GS51" s="95"/>
      <c r="GT51" s="137"/>
      <c r="GU51" s="98"/>
      <c r="GV51" s="129"/>
      <c r="GW51" s="74"/>
      <c r="GX51" s="74"/>
      <c r="GY51" s="167"/>
      <c r="GZ51" s="86"/>
    </row>
    <row r="52" spans="1:208" x14ac:dyDescent="0.25">
      <c r="A52"/>
      <c r="D52" s="35"/>
      <c r="E52" s="36"/>
      <c r="F52" s="37"/>
      <c r="G52" s="38"/>
      <c r="H52" s="39"/>
      <c r="I52" s="40"/>
      <c r="J52" s="68"/>
      <c r="K52" s="407"/>
      <c r="L52" s="70"/>
      <c r="M52" s="71"/>
      <c r="N52" s="56"/>
      <c r="O52" s="72"/>
      <c r="P52" s="113">
        <f t="shared" si="0"/>
        <v>0</v>
      </c>
      <c r="Q52" s="117"/>
      <c r="R52" s="117"/>
      <c r="S52" s="117"/>
      <c r="T52" s="39">
        <f>Q52*O52</f>
        <v>0</v>
      </c>
      <c r="U52" s="115"/>
      <c r="V52" s="112"/>
      <c r="W52" s="118"/>
      <c r="X52" s="17"/>
      <c r="Y52" s="20"/>
      <c r="Z52" s="92"/>
      <c r="AA52" s="93"/>
      <c r="AB52" s="92"/>
      <c r="AC52" s="94"/>
      <c r="AD52" s="95"/>
      <c r="AE52" s="17"/>
      <c r="AF52" s="17"/>
      <c r="AG52" s="17"/>
      <c r="AH52" s="20"/>
      <c r="AI52" s="92"/>
      <c r="AJ52" s="93"/>
      <c r="AK52" s="92"/>
      <c r="AL52" s="94"/>
      <c r="AM52" s="95"/>
      <c r="AN52" s="17"/>
      <c r="AO52" s="17"/>
      <c r="AP52" s="17"/>
      <c r="AQ52" s="20"/>
      <c r="AR52" s="92"/>
      <c r="AS52" s="93"/>
      <c r="AT52" s="92"/>
      <c r="AU52" s="94"/>
      <c r="AV52" s="95"/>
      <c r="AW52" s="17"/>
      <c r="AX52" s="17"/>
      <c r="AY52" s="17"/>
      <c r="AZ52" s="20"/>
      <c r="BA52" s="92"/>
      <c r="BB52" s="93"/>
      <c r="BC52" s="92"/>
      <c r="BD52" s="94"/>
      <c r="BE52" s="95"/>
      <c r="BF52" s="17"/>
      <c r="BG52" s="17"/>
      <c r="BH52" s="17"/>
      <c r="BI52" s="20"/>
      <c r="BJ52" s="92"/>
      <c r="BK52" s="93"/>
      <c r="BL52" s="92"/>
      <c r="BM52" s="94"/>
      <c r="BN52" s="95"/>
      <c r="BO52" s="17"/>
      <c r="BP52" s="17"/>
      <c r="BQ52" s="17"/>
      <c r="BR52" s="20"/>
      <c r="BS52" s="92"/>
      <c r="BT52" s="93"/>
      <c r="BU52" s="92"/>
      <c r="BV52" s="94"/>
      <c r="BW52" s="95"/>
      <c r="BX52" s="17"/>
      <c r="BY52" s="17"/>
      <c r="BZ52" s="17"/>
      <c r="CA52" s="20"/>
      <c r="CB52" s="92"/>
      <c r="CC52" s="93"/>
      <c r="CD52" s="92"/>
      <c r="CE52" s="94"/>
      <c r="CF52" s="95"/>
      <c r="CG52" s="17"/>
      <c r="CH52" s="17"/>
      <c r="CI52" s="17"/>
      <c r="CJ52" s="20"/>
      <c r="CK52" s="92"/>
      <c r="CL52" s="93"/>
      <c r="CM52" s="92"/>
      <c r="CN52" s="94"/>
      <c r="CO52" s="95"/>
      <c r="CP52" s="17"/>
      <c r="CQ52" s="17"/>
      <c r="CR52" s="17"/>
      <c r="CS52" s="20"/>
      <c r="CT52" s="92"/>
      <c r="CU52" s="93"/>
      <c r="CV52" s="92"/>
      <c r="CW52" s="94"/>
      <c r="CX52" s="95"/>
      <c r="CY52" s="17"/>
      <c r="CZ52" s="17"/>
      <c r="DA52" s="17"/>
      <c r="DB52" s="20"/>
      <c r="DC52" s="92"/>
      <c r="DD52" s="93"/>
      <c r="DE52" s="92"/>
      <c r="DF52" s="94"/>
      <c r="DG52" s="95"/>
      <c r="DH52" s="17"/>
      <c r="DI52" s="17"/>
      <c r="DJ52" s="17"/>
      <c r="DK52" s="20"/>
      <c r="DL52" s="92"/>
      <c r="DM52" s="93"/>
      <c r="DN52" s="92"/>
      <c r="DO52" s="94"/>
      <c r="DP52" s="95"/>
      <c r="DQ52" s="17"/>
      <c r="DR52" s="17"/>
      <c r="DS52" s="17"/>
      <c r="DT52" s="20"/>
      <c r="DU52" s="92"/>
      <c r="DV52" s="93"/>
      <c r="DW52" s="92"/>
      <c r="DX52" s="94"/>
      <c r="DY52" s="95"/>
      <c r="DZ52" s="17"/>
      <c r="EA52" s="17"/>
      <c r="EB52" s="17"/>
      <c r="EC52" s="20"/>
      <c r="ED52" s="92"/>
      <c r="EE52" s="93"/>
      <c r="EF52" s="92"/>
      <c r="EG52" s="94"/>
      <c r="EH52" s="95"/>
      <c r="EI52" s="17"/>
      <c r="EJ52" s="17"/>
      <c r="EK52" s="17"/>
      <c r="EL52" s="20"/>
      <c r="EM52" s="92"/>
      <c r="EN52" s="93"/>
      <c r="EO52" s="92"/>
      <c r="EP52" s="94"/>
      <c r="EQ52" s="95"/>
      <c r="ER52" s="17"/>
      <c r="ES52" s="17"/>
      <c r="ET52" s="17"/>
      <c r="EU52" s="20"/>
      <c r="EV52" s="92"/>
      <c r="EW52" s="93"/>
      <c r="EX52" s="92"/>
      <c r="EY52" s="94"/>
      <c r="EZ52" s="95"/>
      <c r="FA52" s="17"/>
      <c r="FB52" s="17"/>
      <c r="FC52" s="17"/>
      <c r="FD52" s="20"/>
      <c r="FE52" s="92"/>
      <c r="FF52" s="93"/>
      <c r="FG52" s="92"/>
      <c r="FH52" s="94"/>
      <c r="FI52" s="95"/>
      <c r="FJ52" s="17"/>
      <c r="FK52" s="17"/>
      <c r="FL52" s="17"/>
      <c r="FM52" s="20"/>
      <c r="FN52" s="92"/>
      <c r="FO52" s="93"/>
      <c r="FP52" s="92"/>
      <c r="FQ52" s="94"/>
      <c r="FR52" s="95"/>
      <c r="FS52" s="17"/>
      <c r="FT52" s="17"/>
      <c r="FU52" s="17"/>
      <c r="FV52" s="20"/>
      <c r="FW52" s="92"/>
      <c r="FX52" s="93"/>
      <c r="FY52" s="92"/>
      <c r="FZ52" s="94"/>
      <c r="GA52" s="95"/>
      <c r="GB52" s="17"/>
      <c r="GC52" s="17"/>
      <c r="GD52" s="17"/>
      <c r="GE52" s="20"/>
      <c r="GF52" s="92"/>
      <c r="GG52" s="93"/>
      <c r="GH52" s="92"/>
      <c r="GI52" s="94"/>
      <c r="GJ52" s="95"/>
      <c r="GK52" s="17"/>
      <c r="GL52" s="17"/>
      <c r="GM52" s="17"/>
      <c r="GN52" s="20"/>
      <c r="GO52" s="92"/>
      <c r="GP52" s="93"/>
      <c r="GQ52" s="92"/>
      <c r="GR52" s="94"/>
      <c r="GS52" s="95"/>
      <c r="GT52" s="128"/>
      <c r="GU52" s="98"/>
      <c r="GV52" s="129"/>
      <c r="GW52" s="74"/>
      <c r="GX52" s="74"/>
      <c r="GY52" s="167"/>
      <c r="GZ52" s="86"/>
    </row>
    <row r="53" spans="1:208" x14ac:dyDescent="0.25">
      <c r="A53"/>
      <c r="D53" s="35"/>
      <c r="E53" s="36"/>
      <c r="F53" s="37"/>
      <c r="G53" s="38"/>
      <c r="H53" s="39"/>
      <c r="I53" s="40"/>
      <c r="J53" s="68"/>
      <c r="K53" s="407"/>
      <c r="L53" s="70"/>
      <c r="M53" s="71"/>
      <c r="N53" s="56"/>
      <c r="O53" s="72"/>
      <c r="P53" s="113">
        <f t="shared" si="0"/>
        <v>0</v>
      </c>
      <c r="Q53" s="117"/>
      <c r="R53" s="117"/>
      <c r="S53" s="117"/>
      <c r="T53" s="39">
        <f>Q53*O53</f>
        <v>0</v>
      </c>
      <c r="U53" s="115"/>
      <c r="V53" s="112"/>
      <c r="W53" s="118"/>
      <c r="X53" s="17"/>
      <c r="Y53" s="20"/>
      <c r="Z53" s="92"/>
      <c r="AA53" s="93"/>
      <c r="AB53" s="92"/>
      <c r="AC53" s="94"/>
      <c r="AD53" s="95"/>
      <c r="AE53" s="17"/>
      <c r="AF53" s="17"/>
      <c r="AG53" s="17"/>
      <c r="AH53" s="20"/>
      <c r="AI53" s="92"/>
      <c r="AJ53" s="93"/>
      <c r="AK53" s="92"/>
      <c r="AL53" s="94"/>
      <c r="AM53" s="95"/>
      <c r="AN53" s="17"/>
      <c r="AO53" s="17"/>
      <c r="AP53" s="17"/>
      <c r="AQ53" s="20"/>
      <c r="AR53" s="92"/>
      <c r="AS53" s="93"/>
      <c r="AT53" s="92"/>
      <c r="AU53" s="94"/>
      <c r="AV53" s="95"/>
      <c r="AW53" s="17"/>
      <c r="AX53" s="17"/>
      <c r="AY53" s="17"/>
      <c r="AZ53" s="20"/>
      <c r="BA53" s="92"/>
      <c r="BB53" s="93"/>
      <c r="BC53" s="92"/>
      <c r="BD53" s="94"/>
      <c r="BE53" s="95"/>
      <c r="BF53" s="17"/>
      <c r="BG53" s="17"/>
      <c r="BH53" s="17"/>
      <c r="BI53" s="20"/>
      <c r="BJ53" s="92"/>
      <c r="BK53" s="93"/>
      <c r="BL53" s="92"/>
      <c r="BM53" s="94"/>
      <c r="BN53" s="95"/>
      <c r="BO53" s="17"/>
      <c r="BP53" s="17"/>
      <c r="BQ53" s="17"/>
      <c r="BR53" s="20"/>
      <c r="BS53" s="92"/>
      <c r="BT53" s="93"/>
      <c r="BU53" s="92"/>
      <c r="BV53" s="94"/>
      <c r="BW53" s="95"/>
      <c r="BX53" s="17"/>
      <c r="BY53" s="17"/>
      <c r="BZ53" s="17"/>
      <c r="CA53" s="20"/>
      <c r="CB53" s="92"/>
      <c r="CC53" s="93"/>
      <c r="CD53" s="92"/>
      <c r="CE53" s="94"/>
      <c r="CF53" s="95"/>
      <c r="CG53" s="17"/>
      <c r="CH53" s="17"/>
      <c r="CI53" s="17"/>
      <c r="CJ53" s="20"/>
      <c r="CK53" s="92"/>
      <c r="CL53" s="93"/>
      <c r="CM53" s="92"/>
      <c r="CN53" s="94"/>
      <c r="CO53" s="95"/>
      <c r="CP53" s="17"/>
      <c r="CQ53" s="17"/>
      <c r="CR53" s="17"/>
      <c r="CS53" s="20"/>
      <c r="CT53" s="92"/>
      <c r="CU53" s="93"/>
      <c r="CV53" s="92"/>
      <c r="CW53" s="94"/>
      <c r="CX53" s="95"/>
      <c r="CY53" s="17"/>
      <c r="CZ53" s="17"/>
      <c r="DA53" s="17"/>
      <c r="DB53" s="20"/>
      <c r="DC53" s="92"/>
      <c r="DD53" s="93"/>
      <c r="DE53" s="92"/>
      <c r="DF53" s="94"/>
      <c r="DG53" s="95"/>
      <c r="DH53" s="17"/>
      <c r="DI53" s="17"/>
      <c r="DJ53" s="17"/>
      <c r="DK53" s="20"/>
      <c r="DL53" s="92"/>
      <c r="DM53" s="93"/>
      <c r="DN53" s="92"/>
      <c r="DO53" s="94"/>
      <c r="DP53" s="95"/>
      <c r="DQ53" s="17"/>
      <c r="DR53" s="17"/>
      <c r="DS53" s="17"/>
      <c r="DT53" s="20"/>
      <c r="DU53" s="92"/>
      <c r="DV53" s="93"/>
      <c r="DW53" s="92"/>
      <c r="DX53" s="94"/>
      <c r="DY53" s="95"/>
      <c r="DZ53" s="17"/>
      <c r="EA53" s="17"/>
      <c r="EB53" s="17"/>
      <c r="EC53" s="20"/>
      <c r="ED53" s="92"/>
      <c r="EE53" s="93"/>
      <c r="EF53" s="92"/>
      <c r="EG53" s="94"/>
      <c r="EH53" s="95"/>
      <c r="EI53" s="17"/>
      <c r="EJ53" s="17"/>
      <c r="EK53" s="17"/>
      <c r="EL53" s="20"/>
      <c r="EM53" s="92"/>
      <c r="EN53" s="93"/>
      <c r="EO53" s="92"/>
      <c r="EP53" s="94"/>
      <c r="EQ53" s="95"/>
      <c r="ER53" s="17"/>
      <c r="ES53" s="17"/>
      <c r="ET53" s="17"/>
      <c r="EU53" s="20"/>
      <c r="EV53" s="92"/>
      <c r="EW53" s="93"/>
      <c r="EX53" s="92"/>
      <c r="EY53" s="94"/>
      <c r="EZ53" s="95"/>
      <c r="FA53" s="17"/>
      <c r="FB53" s="17"/>
      <c r="FC53" s="17"/>
      <c r="FD53" s="20"/>
      <c r="FE53" s="92"/>
      <c r="FF53" s="93"/>
      <c r="FG53" s="92"/>
      <c r="FH53" s="94"/>
      <c r="FI53" s="95"/>
      <c r="FJ53" s="17"/>
      <c r="FK53" s="17"/>
      <c r="FL53" s="17"/>
      <c r="FM53" s="20"/>
      <c r="FN53" s="92"/>
      <c r="FO53" s="93"/>
      <c r="FP53" s="92"/>
      <c r="FQ53" s="94"/>
      <c r="FR53" s="95"/>
      <c r="FS53" s="17"/>
      <c r="FT53" s="17"/>
      <c r="FU53" s="17"/>
      <c r="FV53" s="20"/>
      <c r="FW53" s="92"/>
      <c r="FX53" s="93"/>
      <c r="FY53" s="92"/>
      <c r="FZ53" s="94"/>
      <c r="GA53" s="95"/>
      <c r="GB53" s="17"/>
      <c r="GC53" s="17"/>
      <c r="GD53" s="17"/>
      <c r="GE53" s="20"/>
      <c r="GF53" s="92"/>
      <c r="GG53" s="93"/>
      <c r="GH53" s="92"/>
      <c r="GI53" s="94"/>
      <c r="GJ53" s="95"/>
      <c r="GK53" s="17"/>
      <c r="GL53" s="17"/>
      <c r="GM53" s="17"/>
      <c r="GN53" s="20"/>
      <c r="GO53" s="92"/>
      <c r="GP53" s="93"/>
      <c r="GQ53" s="92"/>
      <c r="GR53" s="94"/>
      <c r="GS53" s="95"/>
      <c r="GT53" s="97"/>
      <c r="GU53" s="98"/>
      <c r="GV53" s="130"/>
      <c r="GW53" s="74"/>
      <c r="GX53" s="74"/>
      <c r="GY53" s="167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407"/>
      <c r="L54" s="70"/>
      <c r="M54" s="71"/>
      <c r="N54" s="56"/>
      <c r="O54" s="72"/>
      <c r="P54" s="113">
        <f t="shared" si="0"/>
        <v>0</v>
      </c>
      <c r="Q54" s="117"/>
      <c r="R54" s="117"/>
      <c r="S54" s="117"/>
      <c r="T54" s="39">
        <f>Q54*O54</f>
        <v>0</v>
      </c>
      <c r="U54" s="138"/>
      <c r="V54" s="139"/>
      <c r="W54" s="121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97"/>
      <c r="GU54" s="98"/>
      <c r="GV54" s="130"/>
      <c r="GW54" s="74"/>
      <c r="GX54" s="74"/>
      <c r="GY54" s="167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407"/>
      <c r="L55" s="70"/>
      <c r="M55" s="71"/>
      <c r="N55" s="56"/>
      <c r="O55" s="72"/>
      <c r="P55" s="113">
        <f t="shared" si="0"/>
        <v>0</v>
      </c>
      <c r="Q55" s="117"/>
      <c r="R55" s="117"/>
      <c r="S55" s="140"/>
      <c r="T55" s="39">
        <f t="shared" si="1"/>
        <v>0</v>
      </c>
      <c r="U55" s="138"/>
      <c r="V55" s="112"/>
      <c r="W55" s="121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97"/>
      <c r="GU55" s="98"/>
      <c r="GV55" s="130"/>
      <c r="GW55" s="74"/>
      <c r="GX55" s="74"/>
      <c r="GY55" s="167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68"/>
      <c r="K56" s="407"/>
      <c r="L56" s="70"/>
      <c r="M56" s="71"/>
      <c r="N56" s="56"/>
      <c r="O56" s="72"/>
      <c r="P56" s="113">
        <f t="shared" si="0"/>
        <v>0</v>
      </c>
      <c r="Q56" s="117"/>
      <c r="R56" s="117"/>
      <c r="S56" s="117"/>
      <c r="T56" s="39">
        <f t="shared" si="1"/>
        <v>0</v>
      </c>
      <c r="U56" s="138"/>
      <c r="V56" s="112"/>
      <c r="W56" s="121"/>
      <c r="X56" s="17"/>
      <c r="Y56" s="20"/>
      <c r="Z56" s="92"/>
      <c r="AA56" s="93"/>
      <c r="AB56" s="92"/>
      <c r="AC56" s="94"/>
      <c r="AD56" s="95"/>
      <c r="AE56" s="17"/>
      <c r="AF56" s="17"/>
      <c r="AG56" s="17"/>
      <c r="AH56" s="20"/>
      <c r="AI56" s="92"/>
      <c r="AJ56" s="93"/>
      <c r="AK56" s="92"/>
      <c r="AL56" s="94"/>
      <c r="AM56" s="95"/>
      <c r="AN56" s="17"/>
      <c r="AO56" s="17"/>
      <c r="AP56" s="17"/>
      <c r="AQ56" s="20"/>
      <c r="AR56" s="92"/>
      <c r="AS56" s="93"/>
      <c r="AT56" s="92"/>
      <c r="AU56" s="94"/>
      <c r="AV56" s="95"/>
      <c r="AW56" s="17"/>
      <c r="AX56" s="17"/>
      <c r="AY56" s="17"/>
      <c r="AZ56" s="20"/>
      <c r="BA56" s="92"/>
      <c r="BB56" s="93"/>
      <c r="BC56" s="92"/>
      <c r="BD56" s="94"/>
      <c r="BE56" s="95"/>
      <c r="BF56" s="17"/>
      <c r="BG56" s="17"/>
      <c r="BH56" s="17"/>
      <c r="BI56" s="20"/>
      <c r="BJ56" s="92"/>
      <c r="BK56" s="93"/>
      <c r="BL56" s="92"/>
      <c r="BM56" s="94"/>
      <c r="BN56" s="95"/>
      <c r="BO56" s="17"/>
      <c r="BP56" s="17"/>
      <c r="BQ56" s="17"/>
      <c r="BR56" s="20"/>
      <c r="BS56" s="92"/>
      <c r="BT56" s="93"/>
      <c r="BU56" s="92"/>
      <c r="BV56" s="94"/>
      <c r="BW56" s="95"/>
      <c r="BX56" s="17"/>
      <c r="BY56" s="17"/>
      <c r="BZ56" s="17"/>
      <c r="CA56" s="20"/>
      <c r="CB56" s="92"/>
      <c r="CC56" s="93"/>
      <c r="CD56" s="92"/>
      <c r="CE56" s="94"/>
      <c r="CF56" s="95"/>
      <c r="CG56" s="17"/>
      <c r="CH56" s="17"/>
      <c r="CI56" s="17"/>
      <c r="CJ56" s="20"/>
      <c r="CK56" s="92"/>
      <c r="CL56" s="93"/>
      <c r="CM56" s="92"/>
      <c r="CN56" s="94"/>
      <c r="CO56" s="95"/>
      <c r="CP56" s="17"/>
      <c r="CQ56" s="17"/>
      <c r="CR56" s="17"/>
      <c r="CS56" s="20"/>
      <c r="CT56" s="92"/>
      <c r="CU56" s="93"/>
      <c r="CV56" s="92"/>
      <c r="CW56" s="94"/>
      <c r="CX56" s="95"/>
      <c r="CY56" s="17"/>
      <c r="CZ56" s="17"/>
      <c r="DA56" s="17"/>
      <c r="DB56" s="20"/>
      <c r="DC56" s="92"/>
      <c r="DD56" s="93"/>
      <c r="DE56" s="92"/>
      <c r="DF56" s="94"/>
      <c r="DG56" s="95"/>
      <c r="DH56" s="17"/>
      <c r="DI56" s="17"/>
      <c r="DJ56" s="17"/>
      <c r="DK56" s="20"/>
      <c r="DL56" s="92"/>
      <c r="DM56" s="93"/>
      <c r="DN56" s="92"/>
      <c r="DO56" s="94"/>
      <c r="DP56" s="95"/>
      <c r="DQ56" s="17"/>
      <c r="DR56" s="17"/>
      <c r="DS56" s="17"/>
      <c r="DT56" s="20"/>
      <c r="DU56" s="92"/>
      <c r="DV56" s="93"/>
      <c r="DW56" s="92"/>
      <c r="DX56" s="94"/>
      <c r="DY56" s="95"/>
      <c r="DZ56" s="17"/>
      <c r="EA56" s="17"/>
      <c r="EB56" s="17"/>
      <c r="EC56" s="20"/>
      <c r="ED56" s="92"/>
      <c r="EE56" s="93"/>
      <c r="EF56" s="92"/>
      <c r="EG56" s="94"/>
      <c r="EH56" s="95"/>
      <c r="EI56" s="17"/>
      <c r="EJ56" s="17"/>
      <c r="EK56" s="17"/>
      <c r="EL56" s="20"/>
      <c r="EM56" s="92"/>
      <c r="EN56" s="93"/>
      <c r="EO56" s="92"/>
      <c r="EP56" s="94"/>
      <c r="EQ56" s="95"/>
      <c r="ER56" s="17"/>
      <c r="ES56" s="17"/>
      <c r="ET56" s="17"/>
      <c r="EU56" s="20"/>
      <c r="EV56" s="92"/>
      <c r="EW56" s="93"/>
      <c r="EX56" s="92"/>
      <c r="EY56" s="94"/>
      <c r="EZ56" s="95"/>
      <c r="FA56" s="17"/>
      <c r="FB56" s="17"/>
      <c r="FC56" s="17"/>
      <c r="FD56" s="20"/>
      <c r="FE56" s="92"/>
      <c r="FF56" s="93"/>
      <c r="FG56" s="92"/>
      <c r="FH56" s="94"/>
      <c r="FI56" s="95"/>
      <c r="FJ56" s="17"/>
      <c r="FK56" s="17"/>
      <c r="FL56" s="17"/>
      <c r="FM56" s="20"/>
      <c r="FN56" s="92"/>
      <c r="FO56" s="93"/>
      <c r="FP56" s="92"/>
      <c r="FQ56" s="94"/>
      <c r="FR56" s="95"/>
      <c r="FS56" s="17"/>
      <c r="FT56" s="17"/>
      <c r="FU56" s="17"/>
      <c r="FV56" s="20"/>
      <c r="FW56" s="92"/>
      <c r="FX56" s="93"/>
      <c r="FY56" s="92"/>
      <c r="FZ56" s="94"/>
      <c r="GA56" s="95"/>
      <c r="GB56" s="17"/>
      <c r="GC56" s="17"/>
      <c r="GD56" s="17"/>
      <c r="GE56" s="20"/>
      <c r="GF56" s="92"/>
      <c r="GG56" s="93"/>
      <c r="GH56" s="92"/>
      <c r="GI56" s="94"/>
      <c r="GJ56" s="95"/>
      <c r="GK56" s="17"/>
      <c r="GL56" s="17"/>
      <c r="GM56" s="17"/>
      <c r="GN56" s="20"/>
      <c r="GO56" s="92"/>
      <c r="GP56" s="93"/>
      <c r="GQ56" s="92"/>
      <c r="GR56" s="94"/>
      <c r="GS56" s="95"/>
      <c r="GT56" s="97"/>
      <c r="GU56" s="98"/>
      <c r="GV56" s="130"/>
      <c r="GW56" s="141"/>
      <c r="GX56" s="141"/>
      <c r="GY56" s="167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407"/>
      <c r="L57" s="70"/>
      <c r="M57" s="71"/>
      <c r="N57" s="56"/>
      <c r="O57" s="72"/>
      <c r="P57" s="113">
        <f t="shared" si="0"/>
        <v>0</v>
      </c>
      <c r="Q57" s="117"/>
      <c r="R57" s="117"/>
      <c r="S57" s="117"/>
      <c r="T57" s="39">
        <f t="shared" si="1"/>
        <v>0</v>
      </c>
      <c r="U57" s="138"/>
      <c r="V57" s="112"/>
      <c r="W57" s="121"/>
      <c r="X57" s="17"/>
      <c r="Y57" s="20"/>
      <c r="Z57" s="92"/>
      <c r="AA57" s="93"/>
      <c r="AB57" s="92"/>
      <c r="AC57" s="94"/>
      <c r="AD57" s="95"/>
      <c r="AE57" s="17"/>
      <c r="AF57" s="17"/>
      <c r="AG57" s="17"/>
      <c r="AH57" s="20"/>
      <c r="AI57" s="92"/>
      <c r="AJ57" s="93"/>
      <c r="AK57" s="92"/>
      <c r="AL57" s="94"/>
      <c r="AM57" s="95"/>
      <c r="AN57" s="17"/>
      <c r="AO57" s="17"/>
      <c r="AP57" s="17"/>
      <c r="AQ57" s="20"/>
      <c r="AR57" s="92"/>
      <c r="AS57" s="93"/>
      <c r="AT57" s="92"/>
      <c r="AU57" s="94"/>
      <c r="AV57" s="95"/>
      <c r="AW57" s="17"/>
      <c r="AX57" s="17"/>
      <c r="AY57" s="17"/>
      <c r="AZ57" s="20"/>
      <c r="BA57" s="92"/>
      <c r="BB57" s="93"/>
      <c r="BC57" s="92"/>
      <c r="BD57" s="94"/>
      <c r="BE57" s="95"/>
      <c r="BF57" s="17"/>
      <c r="BG57" s="17"/>
      <c r="BH57" s="17"/>
      <c r="BI57" s="20"/>
      <c r="BJ57" s="92"/>
      <c r="BK57" s="93"/>
      <c r="BL57" s="92"/>
      <c r="BM57" s="94"/>
      <c r="BN57" s="95"/>
      <c r="BO57" s="17"/>
      <c r="BP57" s="17"/>
      <c r="BQ57" s="17"/>
      <c r="BR57" s="20"/>
      <c r="BS57" s="92"/>
      <c r="BT57" s="93"/>
      <c r="BU57" s="92"/>
      <c r="BV57" s="94"/>
      <c r="BW57" s="95"/>
      <c r="BX57" s="17"/>
      <c r="BY57" s="17"/>
      <c r="BZ57" s="17"/>
      <c r="CA57" s="20"/>
      <c r="CB57" s="92"/>
      <c r="CC57" s="93"/>
      <c r="CD57" s="92"/>
      <c r="CE57" s="94"/>
      <c r="CF57" s="95"/>
      <c r="CG57" s="17"/>
      <c r="CH57" s="17"/>
      <c r="CI57" s="17"/>
      <c r="CJ57" s="20"/>
      <c r="CK57" s="92"/>
      <c r="CL57" s="93"/>
      <c r="CM57" s="92"/>
      <c r="CN57" s="94"/>
      <c r="CO57" s="95"/>
      <c r="CP57" s="17"/>
      <c r="CQ57" s="17"/>
      <c r="CR57" s="17"/>
      <c r="CS57" s="20"/>
      <c r="CT57" s="92"/>
      <c r="CU57" s="93"/>
      <c r="CV57" s="92"/>
      <c r="CW57" s="94"/>
      <c r="CX57" s="95"/>
      <c r="CY57" s="17"/>
      <c r="CZ57" s="17"/>
      <c r="DA57" s="17"/>
      <c r="DB57" s="20"/>
      <c r="DC57" s="92"/>
      <c r="DD57" s="93"/>
      <c r="DE57" s="92"/>
      <c r="DF57" s="94"/>
      <c r="DG57" s="95"/>
      <c r="DH57" s="17"/>
      <c r="DI57" s="17"/>
      <c r="DJ57" s="17"/>
      <c r="DK57" s="20"/>
      <c r="DL57" s="92"/>
      <c r="DM57" s="93"/>
      <c r="DN57" s="92"/>
      <c r="DO57" s="94"/>
      <c r="DP57" s="95"/>
      <c r="DQ57" s="17"/>
      <c r="DR57" s="17"/>
      <c r="DS57" s="17"/>
      <c r="DT57" s="20"/>
      <c r="DU57" s="92"/>
      <c r="DV57" s="93"/>
      <c r="DW57" s="92"/>
      <c r="DX57" s="94"/>
      <c r="DY57" s="95"/>
      <c r="DZ57" s="17"/>
      <c r="EA57" s="17"/>
      <c r="EB57" s="17"/>
      <c r="EC57" s="20"/>
      <c r="ED57" s="92"/>
      <c r="EE57" s="93"/>
      <c r="EF57" s="92"/>
      <c r="EG57" s="94"/>
      <c r="EH57" s="95"/>
      <c r="EI57" s="17"/>
      <c r="EJ57" s="17"/>
      <c r="EK57" s="17"/>
      <c r="EL57" s="20"/>
      <c r="EM57" s="92"/>
      <c r="EN57" s="93"/>
      <c r="EO57" s="92"/>
      <c r="EP57" s="94"/>
      <c r="EQ57" s="95"/>
      <c r="ER57" s="17"/>
      <c r="ES57" s="17"/>
      <c r="ET57" s="17"/>
      <c r="EU57" s="20"/>
      <c r="EV57" s="92"/>
      <c r="EW57" s="93"/>
      <c r="EX57" s="92"/>
      <c r="EY57" s="94"/>
      <c r="EZ57" s="95"/>
      <c r="FA57" s="17"/>
      <c r="FB57" s="17"/>
      <c r="FC57" s="17"/>
      <c r="FD57" s="20"/>
      <c r="FE57" s="92"/>
      <c r="FF57" s="93"/>
      <c r="FG57" s="92"/>
      <c r="FH57" s="94"/>
      <c r="FI57" s="95"/>
      <c r="FJ57" s="17"/>
      <c r="FK57" s="17"/>
      <c r="FL57" s="17"/>
      <c r="FM57" s="20"/>
      <c r="FN57" s="92"/>
      <c r="FO57" s="93"/>
      <c r="FP57" s="92"/>
      <c r="FQ57" s="94"/>
      <c r="FR57" s="95"/>
      <c r="FS57" s="17"/>
      <c r="FT57" s="17"/>
      <c r="FU57" s="17"/>
      <c r="FV57" s="20"/>
      <c r="FW57" s="92"/>
      <c r="FX57" s="93"/>
      <c r="FY57" s="92"/>
      <c r="FZ57" s="94"/>
      <c r="GA57" s="95"/>
      <c r="GB57" s="17"/>
      <c r="GC57" s="17"/>
      <c r="GD57" s="17"/>
      <c r="GE57" s="20"/>
      <c r="GF57" s="92"/>
      <c r="GG57" s="93"/>
      <c r="GH57" s="92"/>
      <c r="GI57" s="94"/>
      <c r="GJ57" s="95"/>
      <c r="GK57" s="17"/>
      <c r="GL57" s="17"/>
      <c r="GM57" s="17"/>
      <c r="GN57" s="20"/>
      <c r="GO57" s="92"/>
      <c r="GP57" s="93"/>
      <c r="GQ57" s="92"/>
      <c r="GR57" s="94"/>
      <c r="GS57" s="95"/>
      <c r="GT57" s="97"/>
      <c r="GU57" s="98"/>
      <c r="GV57" s="130"/>
      <c r="GW57" s="141"/>
      <c r="GX57" s="141"/>
      <c r="GY57" s="167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76"/>
      <c r="K58" s="407"/>
      <c r="L58" s="70"/>
      <c r="M58" s="71"/>
      <c r="N58" s="142"/>
      <c r="O58" s="72"/>
      <c r="P58" s="113">
        <f t="shared" si="0"/>
        <v>0</v>
      </c>
      <c r="Q58" s="117"/>
      <c r="R58" s="117"/>
      <c r="S58" s="117"/>
      <c r="T58" s="39">
        <f t="shared" si="1"/>
        <v>0</v>
      </c>
      <c r="U58" s="143"/>
      <c r="V58" s="144"/>
      <c r="W58" s="145"/>
      <c r="X58" s="146"/>
      <c r="Y58" s="147"/>
      <c r="Z58" s="148"/>
      <c r="AA58" s="149"/>
      <c r="AB58" s="148"/>
      <c r="AC58" s="150"/>
      <c r="AD58" s="151"/>
      <c r="AE58" s="146"/>
      <c r="AF58" s="146"/>
      <c r="AG58" s="146"/>
      <c r="AH58" s="147"/>
      <c r="AI58" s="148"/>
      <c r="AJ58" s="149"/>
      <c r="AK58" s="148"/>
      <c r="AL58" s="150"/>
      <c r="AM58" s="151"/>
      <c r="AN58" s="146"/>
      <c r="AO58" s="146"/>
      <c r="AP58" s="146"/>
      <c r="AQ58" s="147"/>
      <c r="AR58" s="148"/>
      <c r="AS58" s="149"/>
      <c r="AT58" s="148"/>
      <c r="AU58" s="150"/>
      <c r="AV58" s="151"/>
      <c r="AW58" s="146"/>
      <c r="AX58" s="146"/>
      <c r="AY58" s="146"/>
      <c r="AZ58" s="147"/>
      <c r="BA58" s="148"/>
      <c r="BB58" s="149"/>
      <c r="BC58" s="148"/>
      <c r="BD58" s="150"/>
      <c r="BE58" s="151"/>
      <c r="BF58" s="146"/>
      <c r="BG58" s="146"/>
      <c r="BH58" s="146"/>
      <c r="BI58" s="147"/>
      <c r="BJ58" s="148"/>
      <c r="BK58" s="149"/>
      <c r="BL58" s="148"/>
      <c r="BM58" s="150"/>
      <c r="BN58" s="151"/>
      <c r="BO58" s="146"/>
      <c r="BP58" s="146"/>
      <c r="BQ58" s="146"/>
      <c r="BR58" s="147"/>
      <c r="BS58" s="148"/>
      <c r="BT58" s="149"/>
      <c r="BU58" s="148"/>
      <c r="BV58" s="150"/>
      <c r="BW58" s="151"/>
      <c r="BX58" s="146"/>
      <c r="BY58" s="146"/>
      <c r="BZ58" s="146"/>
      <c r="CA58" s="147"/>
      <c r="CB58" s="148"/>
      <c r="CC58" s="149"/>
      <c r="CD58" s="148"/>
      <c r="CE58" s="150"/>
      <c r="CF58" s="151"/>
      <c r="CG58" s="146"/>
      <c r="CH58" s="146"/>
      <c r="CI58" s="146"/>
      <c r="CJ58" s="147"/>
      <c r="CK58" s="148"/>
      <c r="CL58" s="149"/>
      <c r="CM58" s="148"/>
      <c r="CN58" s="150"/>
      <c r="CO58" s="151"/>
      <c r="CP58" s="146"/>
      <c r="CQ58" s="146"/>
      <c r="CR58" s="146"/>
      <c r="CS58" s="147"/>
      <c r="CT58" s="148"/>
      <c r="CU58" s="149"/>
      <c r="CV58" s="148"/>
      <c r="CW58" s="150"/>
      <c r="CX58" s="151"/>
      <c r="CY58" s="146"/>
      <c r="CZ58" s="146"/>
      <c r="DA58" s="146"/>
      <c r="DB58" s="147"/>
      <c r="DC58" s="148"/>
      <c r="DD58" s="149"/>
      <c r="DE58" s="148"/>
      <c r="DF58" s="150"/>
      <c r="DG58" s="151"/>
      <c r="DH58" s="146"/>
      <c r="DI58" s="146"/>
      <c r="DJ58" s="146"/>
      <c r="DK58" s="147"/>
      <c r="DL58" s="148"/>
      <c r="DM58" s="149"/>
      <c r="DN58" s="148"/>
      <c r="DO58" s="150"/>
      <c r="DP58" s="151"/>
      <c r="DQ58" s="146"/>
      <c r="DR58" s="146"/>
      <c r="DS58" s="146"/>
      <c r="DT58" s="147"/>
      <c r="DU58" s="148"/>
      <c r="DV58" s="149"/>
      <c r="DW58" s="148"/>
      <c r="DX58" s="150"/>
      <c r="DY58" s="151"/>
      <c r="DZ58" s="146"/>
      <c r="EA58" s="146"/>
      <c r="EB58" s="146"/>
      <c r="EC58" s="147"/>
      <c r="ED58" s="148"/>
      <c r="EE58" s="149"/>
      <c r="EF58" s="148"/>
      <c r="EG58" s="150"/>
      <c r="EH58" s="151"/>
      <c r="EI58" s="146"/>
      <c r="EJ58" s="146"/>
      <c r="EK58" s="146"/>
      <c r="EL58" s="147"/>
      <c r="EM58" s="148"/>
      <c r="EN58" s="149"/>
      <c r="EO58" s="148"/>
      <c r="EP58" s="150"/>
      <c r="EQ58" s="151"/>
      <c r="ER58" s="146"/>
      <c r="ES58" s="146"/>
      <c r="ET58" s="146"/>
      <c r="EU58" s="147"/>
      <c r="EV58" s="148"/>
      <c r="EW58" s="149"/>
      <c r="EX58" s="148"/>
      <c r="EY58" s="150"/>
      <c r="EZ58" s="151"/>
      <c r="FA58" s="146"/>
      <c r="FB58" s="146"/>
      <c r="FC58" s="146"/>
      <c r="FD58" s="147"/>
      <c r="FE58" s="148"/>
      <c r="FF58" s="149"/>
      <c r="FG58" s="148"/>
      <c r="FH58" s="150"/>
      <c r="FI58" s="151"/>
      <c r="FJ58" s="146"/>
      <c r="FK58" s="146"/>
      <c r="FL58" s="146"/>
      <c r="FM58" s="147"/>
      <c r="FN58" s="148"/>
      <c r="FO58" s="149"/>
      <c r="FP58" s="148"/>
      <c r="FQ58" s="150"/>
      <c r="FR58" s="151"/>
      <c r="FS58" s="146"/>
      <c r="FT58" s="146"/>
      <c r="FU58" s="146"/>
      <c r="FV58" s="147"/>
      <c r="FW58" s="148"/>
      <c r="FX58" s="149"/>
      <c r="FY58" s="148"/>
      <c r="FZ58" s="150"/>
      <c r="GA58" s="151"/>
      <c r="GB58" s="146"/>
      <c r="GC58" s="146"/>
      <c r="GD58" s="146"/>
      <c r="GE58" s="147"/>
      <c r="GF58" s="148"/>
      <c r="GG58" s="149"/>
      <c r="GH58" s="148"/>
      <c r="GI58" s="150"/>
      <c r="GJ58" s="151"/>
      <c r="GK58" s="146"/>
      <c r="GL58" s="146"/>
      <c r="GM58" s="146"/>
      <c r="GN58" s="147"/>
      <c r="GO58" s="148"/>
      <c r="GP58" s="149"/>
      <c r="GQ58" s="148"/>
      <c r="GR58" s="150"/>
      <c r="GS58" s="151"/>
      <c r="GT58" s="152"/>
      <c r="GU58" s="131"/>
      <c r="GV58" s="153"/>
      <c r="GW58" s="141"/>
      <c r="GX58" s="141"/>
      <c r="GY58" s="167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407"/>
      <c r="L59" s="70"/>
      <c r="M59" s="71"/>
      <c r="N59" s="142"/>
      <c r="O59" s="72"/>
      <c r="P59" s="113">
        <f t="shared" si="0"/>
        <v>0</v>
      </c>
      <c r="Q59" s="117"/>
      <c r="R59" s="117"/>
      <c r="S59" s="117"/>
      <c r="T59" s="39">
        <f t="shared" si="1"/>
        <v>0</v>
      </c>
      <c r="U59" s="143"/>
      <c r="V59" s="154"/>
      <c r="W59" s="155"/>
      <c r="X59" s="146"/>
      <c r="Y59" s="147"/>
      <c r="Z59" s="148"/>
      <c r="AA59" s="149"/>
      <c r="AB59" s="148"/>
      <c r="AC59" s="150"/>
      <c r="AD59" s="151"/>
      <c r="AE59" s="146"/>
      <c r="AF59" s="146"/>
      <c r="AG59" s="146"/>
      <c r="AH59" s="147"/>
      <c r="AI59" s="148"/>
      <c r="AJ59" s="149"/>
      <c r="AK59" s="148"/>
      <c r="AL59" s="150"/>
      <c r="AM59" s="151"/>
      <c r="AN59" s="146"/>
      <c r="AO59" s="146"/>
      <c r="AP59" s="146"/>
      <c r="AQ59" s="147"/>
      <c r="AR59" s="148"/>
      <c r="AS59" s="149"/>
      <c r="AT59" s="148"/>
      <c r="AU59" s="150"/>
      <c r="AV59" s="151"/>
      <c r="AW59" s="146"/>
      <c r="AX59" s="146"/>
      <c r="AY59" s="146"/>
      <c r="AZ59" s="147"/>
      <c r="BA59" s="148"/>
      <c r="BB59" s="149"/>
      <c r="BC59" s="148"/>
      <c r="BD59" s="150"/>
      <c r="BE59" s="151"/>
      <c r="BF59" s="146"/>
      <c r="BG59" s="146"/>
      <c r="BH59" s="146"/>
      <c r="BI59" s="147"/>
      <c r="BJ59" s="148"/>
      <c r="BK59" s="149"/>
      <c r="BL59" s="148"/>
      <c r="BM59" s="150"/>
      <c r="BN59" s="151"/>
      <c r="BO59" s="146"/>
      <c r="BP59" s="146"/>
      <c r="BQ59" s="146"/>
      <c r="BR59" s="147"/>
      <c r="BS59" s="148"/>
      <c r="BT59" s="149"/>
      <c r="BU59" s="148"/>
      <c r="BV59" s="150"/>
      <c r="BW59" s="151"/>
      <c r="BX59" s="146"/>
      <c r="BY59" s="146"/>
      <c r="BZ59" s="146"/>
      <c r="CA59" s="147"/>
      <c r="CB59" s="148"/>
      <c r="CC59" s="149"/>
      <c r="CD59" s="148"/>
      <c r="CE59" s="150"/>
      <c r="CF59" s="151"/>
      <c r="CG59" s="146"/>
      <c r="CH59" s="146"/>
      <c r="CI59" s="146"/>
      <c r="CJ59" s="147"/>
      <c r="CK59" s="148"/>
      <c r="CL59" s="149"/>
      <c r="CM59" s="148"/>
      <c r="CN59" s="150"/>
      <c r="CO59" s="151"/>
      <c r="CP59" s="146"/>
      <c r="CQ59" s="146"/>
      <c r="CR59" s="146"/>
      <c r="CS59" s="147"/>
      <c r="CT59" s="148"/>
      <c r="CU59" s="149"/>
      <c r="CV59" s="148"/>
      <c r="CW59" s="150"/>
      <c r="CX59" s="151"/>
      <c r="CY59" s="146"/>
      <c r="CZ59" s="146"/>
      <c r="DA59" s="146"/>
      <c r="DB59" s="147"/>
      <c r="DC59" s="148"/>
      <c r="DD59" s="149"/>
      <c r="DE59" s="148"/>
      <c r="DF59" s="150"/>
      <c r="DG59" s="151"/>
      <c r="DH59" s="146"/>
      <c r="DI59" s="146"/>
      <c r="DJ59" s="146"/>
      <c r="DK59" s="147"/>
      <c r="DL59" s="148"/>
      <c r="DM59" s="149"/>
      <c r="DN59" s="148"/>
      <c r="DO59" s="150"/>
      <c r="DP59" s="151"/>
      <c r="DQ59" s="146"/>
      <c r="DR59" s="146"/>
      <c r="DS59" s="146"/>
      <c r="DT59" s="147"/>
      <c r="DU59" s="148"/>
      <c r="DV59" s="149"/>
      <c r="DW59" s="148"/>
      <c r="DX59" s="150"/>
      <c r="DY59" s="151"/>
      <c r="DZ59" s="146"/>
      <c r="EA59" s="146"/>
      <c r="EB59" s="146"/>
      <c r="EC59" s="147"/>
      <c r="ED59" s="148"/>
      <c r="EE59" s="149"/>
      <c r="EF59" s="148"/>
      <c r="EG59" s="150"/>
      <c r="EH59" s="151"/>
      <c r="EI59" s="146"/>
      <c r="EJ59" s="146"/>
      <c r="EK59" s="146"/>
      <c r="EL59" s="147"/>
      <c r="EM59" s="148"/>
      <c r="EN59" s="149"/>
      <c r="EO59" s="148"/>
      <c r="EP59" s="150"/>
      <c r="EQ59" s="151"/>
      <c r="ER59" s="146"/>
      <c r="ES59" s="146"/>
      <c r="ET59" s="146"/>
      <c r="EU59" s="147"/>
      <c r="EV59" s="148"/>
      <c r="EW59" s="149"/>
      <c r="EX59" s="148"/>
      <c r="EY59" s="150"/>
      <c r="EZ59" s="151"/>
      <c r="FA59" s="146"/>
      <c r="FB59" s="146"/>
      <c r="FC59" s="146"/>
      <c r="FD59" s="147"/>
      <c r="FE59" s="148"/>
      <c r="FF59" s="149"/>
      <c r="FG59" s="148"/>
      <c r="FH59" s="150"/>
      <c r="FI59" s="151"/>
      <c r="FJ59" s="146"/>
      <c r="FK59" s="146"/>
      <c r="FL59" s="146"/>
      <c r="FM59" s="147"/>
      <c r="FN59" s="148"/>
      <c r="FO59" s="149"/>
      <c r="FP59" s="148"/>
      <c r="FQ59" s="150"/>
      <c r="FR59" s="151"/>
      <c r="FS59" s="146"/>
      <c r="FT59" s="146"/>
      <c r="FU59" s="146"/>
      <c r="FV59" s="147"/>
      <c r="FW59" s="148"/>
      <c r="FX59" s="149"/>
      <c r="FY59" s="148"/>
      <c r="FZ59" s="150"/>
      <c r="GA59" s="151"/>
      <c r="GB59" s="146"/>
      <c r="GC59" s="146"/>
      <c r="GD59" s="146"/>
      <c r="GE59" s="147"/>
      <c r="GF59" s="148"/>
      <c r="GG59" s="149"/>
      <c r="GH59" s="148"/>
      <c r="GI59" s="150"/>
      <c r="GJ59" s="151"/>
      <c r="GK59" s="146"/>
      <c r="GL59" s="146"/>
      <c r="GM59" s="146"/>
      <c r="GN59" s="147"/>
      <c r="GO59" s="148"/>
      <c r="GP59" s="149"/>
      <c r="GQ59" s="148"/>
      <c r="GR59" s="150"/>
      <c r="GS59" s="151"/>
      <c r="GT59" s="154"/>
      <c r="GU59" s="156"/>
      <c r="GV59" s="153"/>
      <c r="GW59" s="141"/>
      <c r="GX59" s="141"/>
      <c r="GY59" s="167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407"/>
      <c r="L60" s="70"/>
      <c r="M60" s="71"/>
      <c r="N60" s="142"/>
      <c r="O60" s="72"/>
      <c r="P60" s="113">
        <f t="shared" si="0"/>
        <v>0</v>
      </c>
      <c r="Q60" s="117"/>
      <c r="R60" s="117"/>
      <c r="S60" s="117"/>
      <c r="T60" s="39">
        <f t="shared" si="1"/>
        <v>0</v>
      </c>
      <c r="U60" s="143"/>
      <c r="V60" s="154"/>
      <c r="W60" s="157"/>
      <c r="X60" s="146"/>
      <c r="Y60" s="147"/>
      <c r="Z60" s="148"/>
      <c r="AA60" s="149"/>
      <c r="AB60" s="148"/>
      <c r="AC60" s="150"/>
      <c r="AD60" s="151"/>
      <c r="AE60" s="146"/>
      <c r="AF60" s="146"/>
      <c r="AG60" s="146"/>
      <c r="AH60" s="147"/>
      <c r="AI60" s="148"/>
      <c r="AJ60" s="149"/>
      <c r="AK60" s="148"/>
      <c r="AL60" s="150"/>
      <c r="AM60" s="151"/>
      <c r="AN60" s="146"/>
      <c r="AO60" s="146"/>
      <c r="AP60" s="146"/>
      <c r="AQ60" s="147"/>
      <c r="AR60" s="148"/>
      <c r="AS60" s="149"/>
      <c r="AT60" s="148"/>
      <c r="AU60" s="150"/>
      <c r="AV60" s="151"/>
      <c r="AW60" s="146"/>
      <c r="AX60" s="146"/>
      <c r="AY60" s="146"/>
      <c r="AZ60" s="147"/>
      <c r="BA60" s="148"/>
      <c r="BB60" s="149"/>
      <c r="BC60" s="148"/>
      <c r="BD60" s="150"/>
      <c r="BE60" s="151"/>
      <c r="BF60" s="146"/>
      <c r="BG60" s="146"/>
      <c r="BH60" s="146"/>
      <c r="BI60" s="147"/>
      <c r="BJ60" s="148"/>
      <c r="BK60" s="149"/>
      <c r="BL60" s="148"/>
      <c r="BM60" s="150"/>
      <c r="BN60" s="151"/>
      <c r="BO60" s="146"/>
      <c r="BP60" s="146"/>
      <c r="BQ60" s="146"/>
      <c r="BR60" s="147"/>
      <c r="BS60" s="148"/>
      <c r="BT60" s="149"/>
      <c r="BU60" s="148"/>
      <c r="BV60" s="150"/>
      <c r="BW60" s="151"/>
      <c r="BX60" s="146"/>
      <c r="BY60" s="146"/>
      <c r="BZ60" s="146"/>
      <c r="CA60" s="147"/>
      <c r="CB60" s="148"/>
      <c r="CC60" s="149"/>
      <c r="CD60" s="148"/>
      <c r="CE60" s="150"/>
      <c r="CF60" s="151"/>
      <c r="CG60" s="146"/>
      <c r="CH60" s="146"/>
      <c r="CI60" s="146"/>
      <c r="CJ60" s="147"/>
      <c r="CK60" s="148"/>
      <c r="CL60" s="149"/>
      <c r="CM60" s="148"/>
      <c r="CN60" s="150"/>
      <c r="CO60" s="151"/>
      <c r="CP60" s="146"/>
      <c r="CQ60" s="146"/>
      <c r="CR60" s="146"/>
      <c r="CS60" s="147"/>
      <c r="CT60" s="148"/>
      <c r="CU60" s="149"/>
      <c r="CV60" s="148"/>
      <c r="CW60" s="150"/>
      <c r="CX60" s="151"/>
      <c r="CY60" s="146"/>
      <c r="CZ60" s="146"/>
      <c r="DA60" s="146"/>
      <c r="DB60" s="147"/>
      <c r="DC60" s="148"/>
      <c r="DD60" s="149"/>
      <c r="DE60" s="148"/>
      <c r="DF60" s="150"/>
      <c r="DG60" s="151"/>
      <c r="DH60" s="146"/>
      <c r="DI60" s="146"/>
      <c r="DJ60" s="146"/>
      <c r="DK60" s="147"/>
      <c r="DL60" s="148"/>
      <c r="DM60" s="149"/>
      <c r="DN60" s="148"/>
      <c r="DO60" s="150"/>
      <c r="DP60" s="151"/>
      <c r="DQ60" s="146"/>
      <c r="DR60" s="146"/>
      <c r="DS60" s="146"/>
      <c r="DT60" s="147"/>
      <c r="DU60" s="148"/>
      <c r="DV60" s="149"/>
      <c r="DW60" s="148"/>
      <c r="DX60" s="150"/>
      <c r="DY60" s="151"/>
      <c r="DZ60" s="146"/>
      <c r="EA60" s="146"/>
      <c r="EB60" s="146"/>
      <c r="EC60" s="147"/>
      <c r="ED60" s="148"/>
      <c r="EE60" s="149"/>
      <c r="EF60" s="148"/>
      <c r="EG60" s="150"/>
      <c r="EH60" s="151"/>
      <c r="EI60" s="146"/>
      <c r="EJ60" s="146"/>
      <c r="EK60" s="146"/>
      <c r="EL60" s="147"/>
      <c r="EM60" s="148"/>
      <c r="EN60" s="149"/>
      <c r="EO60" s="148"/>
      <c r="EP60" s="150"/>
      <c r="EQ60" s="151"/>
      <c r="ER60" s="146"/>
      <c r="ES60" s="146"/>
      <c r="ET60" s="146"/>
      <c r="EU60" s="147"/>
      <c r="EV60" s="148"/>
      <c r="EW60" s="149"/>
      <c r="EX60" s="148"/>
      <c r="EY60" s="150"/>
      <c r="EZ60" s="151"/>
      <c r="FA60" s="146"/>
      <c r="FB60" s="146"/>
      <c r="FC60" s="146"/>
      <c r="FD60" s="147"/>
      <c r="FE60" s="148"/>
      <c r="FF60" s="149"/>
      <c r="FG60" s="148"/>
      <c r="FH60" s="150"/>
      <c r="FI60" s="151"/>
      <c r="FJ60" s="146"/>
      <c r="FK60" s="146"/>
      <c r="FL60" s="146"/>
      <c r="FM60" s="147"/>
      <c r="FN60" s="148"/>
      <c r="FO60" s="149"/>
      <c r="FP60" s="148"/>
      <c r="FQ60" s="150"/>
      <c r="FR60" s="151"/>
      <c r="FS60" s="146"/>
      <c r="FT60" s="146"/>
      <c r="FU60" s="146"/>
      <c r="FV60" s="147"/>
      <c r="FW60" s="148"/>
      <c r="FX60" s="149"/>
      <c r="FY60" s="148"/>
      <c r="FZ60" s="150"/>
      <c r="GA60" s="151"/>
      <c r="GB60" s="146"/>
      <c r="GC60" s="146"/>
      <c r="GD60" s="146"/>
      <c r="GE60" s="147"/>
      <c r="GF60" s="148"/>
      <c r="GG60" s="149"/>
      <c r="GH60" s="148"/>
      <c r="GI60" s="150"/>
      <c r="GJ60" s="151"/>
      <c r="GK60" s="146"/>
      <c r="GL60" s="146"/>
      <c r="GM60" s="146"/>
      <c r="GN60" s="147"/>
      <c r="GO60" s="148"/>
      <c r="GP60" s="149"/>
      <c r="GQ60" s="148"/>
      <c r="GR60" s="150"/>
      <c r="GS60" s="151"/>
      <c r="GT60" s="154"/>
      <c r="GU60" s="156"/>
      <c r="GV60" s="153"/>
      <c r="GW60" s="141"/>
      <c r="GX60" s="141"/>
      <c r="GY60" s="167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68"/>
      <c r="K61" s="407"/>
      <c r="L61" s="70"/>
      <c r="M61" s="71"/>
      <c r="N61" s="142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43"/>
      <c r="V61" s="154"/>
      <c r="W61" s="155"/>
      <c r="X61" s="146"/>
      <c r="Y61" s="147"/>
      <c r="Z61" s="148"/>
      <c r="AA61" s="149"/>
      <c r="AB61" s="148"/>
      <c r="AC61" s="150"/>
      <c r="AD61" s="151"/>
      <c r="AE61" s="146"/>
      <c r="AF61" s="146"/>
      <c r="AG61" s="146"/>
      <c r="AH61" s="147"/>
      <c r="AI61" s="148"/>
      <c r="AJ61" s="149"/>
      <c r="AK61" s="148"/>
      <c r="AL61" s="150"/>
      <c r="AM61" s="151"/>
      <c r="AN61" s="146"/>
      <c r="AO61" s="146"/>
      <c r="AP61" s="146"/>
      <c r="AQ61" s="147"/>
      <c r="AR61" s="148"/>
      <c r="AS61" s="149"/>
      <c r="AT61" s="148"/>
      <c r="AU61" s="150"/>
      <c r="AV61" s="151"/>
      <c r="AW61" s="146"/>
      <c r="AX61" s="146"/>
      <c r="AY61" s="146"/>
      <c r="AZ61" s="147"/>
      <c r="BA61" s="148"/>
      <c r="BB61" s="149"/>
      <c r="BC61" s="148"/>
      <c r="BD61" s="150"/>
      <c r="BE61" s="151"/>
      <c r="BF61" s="146"/>
      <c r="BG61" s="146"/>
      <c r="BH61" s="146"/>
      <c r="BI61" s="147"/>
      <c r="BJ61" s="148"/>
      <c r="BK61" s="149"/>
      <c r="BL61" s="148"/>
      <c r="BM61" s="150"/>
      <c r="BN61" s="151"/>
      <c r="BO61" s="146"/>
      <c r="BP61" s="146"/>
      <c r="BQ61" s="146"/>
      <c r="BR61" s="147"/>
      <c r="BS61" s="148"/>
      <c r="BT61" s="149"/>
      <c r="BU61" s="148"/>
      <c r="BV61" s="150"/>
      <c r="BW61" s="151"/>
      <c r="BX61" s="146"/>
      <c r="BY61" s="146"/>
      <c r="BZ61" s="146"/>
      <c r="CA61" s="147"/>
      <c r="CB61" s="148"/>
      <c r="CC61" s="149"/>
      <c r="CD61" s="148"/>
      <c r="CE61" s="150"/>
      <c r="CF61" s="151"/>
      <c r="CG61" s="146"/>
      <c r="CH61" s="146"/>
      <c r="CI61" s="146"/>
      <c r="CJ61" s="147"/>
      <c r="CK61" s="148"/>
      <c r="CL61" s="149"/>
      <c r="CM61" s="148"/>
      <c r="CN61" s="150"/>
      <c r="CO61" s="151"/>
      <c r="CP61" s="146"/>
      <c r="CQ61" s="146"/>
      <c r="CR61" s="146"/>
      <c r="CS61" s="147"/>
      <c r="CT61" s="148"/>
      <c r="CU61" s="149"/>
      <c r="CV61" s="148"/>
      <c r="CW61" s="150"/>
      <c r="CX61" s="151"/>
      <c r="CY61" s="146"/>
      <c r="CZ61" s="146"/>
      <c r="DA61" s="146"/>
      <c r="DB61" s="147"/>
      <c r="DC61" s="148"/>
      <c r="DD61" s="149"/>
      <c r="DE61" s="148"/>
      <c r="DF61" s="150"/>
      <c r="DG61" s="151"/>
      <c r="DH61" s="146"/>
      <c r="DI61" s="146"/>
      <c r="DJ61" s="146"/>
      <c r="DK61" s="147"/>
      <c r="DL61" s="148"/>
      <c r="DM61" s="149"/>
      <c r="DN61" s="148"/>
      <c r="DO61" s="150"/>
      <c r="DP61" s="151"/>
      <c r="DQ61" s="146"/>
      <c r="DR61" s="146"/>
      <c r="DS61" s="146"/>
      <c r="DT61" s="147"/>
      <c r="DU61" s="148"/>
      <c r="DV61" s="149"/>
      <c r="DW61" s="148"/>
      <c r="DX61" s="150"/>
      <c r="DY61" s="151"/>
      <c r="DZ61" s="146"/>
      <c r="EA61" s="146"/>
      <c r="EB61" s="146"/>
      <c r="EC61" s="147"/>
      <c r="ED61" s="148"/>
      <c r="EE61" s="149"/>
      <c r="EF61" s="148"/>
      <c r="EG61" s="150"/>
      <c r="EH61" s="151"/>
      <c r="EI61" s="146"/>
      <c r="EJ61" s="146"/>
      <c r="EK61" s="146"/>
      <c r="EL61" s="147"/>
      <c r="EM61" s="148"/>
      <c r="EN61" s="149"/>
      <c r="EO61" s="148"/>
      <c r="EP61" s="150"/>
      <c r="EQ61" s="151"/>
      <c r="ER61" s="146"/>
      <c r="ES61" s="146"/>
      <c r="ET61" s="146"/>
      <c r="EU61" s="147"/>
      <c r="EV61" s="148"/>
      <c r="EW61" s="149"/>
      <c r="EX61" s="148"/>
      <c r="EY61" s="150"/>
      <c r="EZ61" s="151"/>
      <c r="FA61" s="146"/>
      <c r="FB61" s="146"/>
      <c r="FC61" s="146"/>
      <c r="FD61" s="147"/>
      <c r="FE61" s="148"/>
      <c r="FF61" s="149"/>
      <c r="FG61" s="148"/>
      <c r="FH61" s="150"/>
      <c r="FI61" s="151"/>
      <c r="FJ61" s="146"/>
      <c r="FK61" s="146"/>
      <c r="FL61" s="146"/>
      <c r="FM61" s="147"/>
      <c r="FN61" s="148"/>
      <c r="FO61" s="149"/>
      <c r="FP61" s="148"/>
      <c r="FQ61" s="150"/>
      <c r="FR61" s="151"/>
      <c r="FS61" s="146"/>
      <c r="FT61" s="146"/>
      <c r="FU61" s="146"/>
      <c r="FV61" s="147"/>
      <c r="FW61" s="148"/>
      <c r="FX61" s="149"/>
      <c r="FY61" s="148"/>
      <c r="FZ61" s="150"/>
      <c r="GA61" s="151"/>
      <c r="GB61" s="146"/>
      <c r="GC61" s="146"/>
      <c r="GD61" s="146"/>
      <c r="GE61" s="147"/>
      <c r="GF61" s="148"/>
      <c r="GG61" s="149"/>
      <c r="GH61" s="148"/>
      <c r="GI61" s="150"/>
      <c r="GJ61" s="151"/>
      <c r="GK61" s="146"/>
      <c r="GL61" s="146"/>
      <c r="GM61" s="146"/>
      <c r="GN61" s="147"/>
      <c r="GO61" s="148"/>
      <c r="GP61" s="149"/>
      <c r="GQ61" s="148"/>
      <c r="GR61" s="150"/>
      <c r="GS61" s="151"/>
      <c r="GT61" s="154"/>
      <c r="GU61" s="156"/>
      <c r="GV61" s="153"/>
      <c r="GW61" s="141"/>
      <c r="GX61" s="141"/>
      <c r="GY61" s="167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407"/>
      <c r="L62" s="70"/>
      <c r="M62" s="71"/>
      <c r="N62" s="142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43"/>
      <c r="V62" s="154"/>
      <c r="W62" s="155"/>
      <c r="X62" s="158"/>
      <c r="Y62" s="159"/>
      <c r="Z62" s="160"/>
      <c r="AA62" s="161"/>
      <c r="AB62" s="160"/>
      <c r="AC62" s="162"/>
      <c r="AD62" s="163"/>
      <c r="AE62" s="158"/>
      <c r="AF62" s="158"/>
      <c r="AG62" s="158"/>
      <c r="AH62" s="159"/>
      <c r="AI62" s="160"/>
      <c r="AJ62" s="161"/>
      <c r="AK62" s="160"/>
      <c r="AL62" s="162"/>
      <c r="AM62" s="163"/>
      <c r="AN62" s="158"/>
      <c r="AO62" s="158"/>
      <c r="AP62" s="158"/>
      <c r="AQ62" s="159"/>
      <c r="AR62" s="160"/>
      <c r="AS62" s="161"/>
      <c r="AT62" s="160"/>
      <c r="AU62" s="162"/>
      <c r="AV62" s="163"/>
      <c r="AW62" s="158"/>
      <c r="AX62" s="158"/>
      <c r="AY62" s="158"/>
      <c r="AZ62" s="159"/>
      <c r="BA62" s="160"/>
      <c r="BB62" s="161"/>
      <c r="BC62" s="160"/>
      <c r="BD62" s="162"/>
      <c r="BE62" s="163"/>
      <c r="BF62" s="158"/>
      <c r="BG62" s="158"/>
      <c r="BH62" s="158"/>
      <c r="BI62" s="159"/>
      <c r="BJ62" s="160"/>
      <c r="BK62" s="161"/>
      <c r="BL62" s="160"/>
      <c r="BM62" s="162"/>
      <c r="BN62" s="163"/>
      <c r="BO62" s="158"/>
      <c r="BP62" s="158"/>
      <c r="BQ62" s="158"/>
      <c r="BR62" s="159"/>
      <c r="BS62" s="160"/>
      <c r="BT62" s="161"/>
      <c r="BU62" s="160"/>
      <c r="BV62" s="162"/>
      <c r="BW62" s="163"/>
      <c r="BX62" s="158"/>
      <c r="BY62" s="158"/>
      <c r="BZ62" s="158"/>
      <c r="CA62" s="159"/>
      <c r="CB62" s="160"/>
      <c r="CC62" s="161"/>
      <c r="CD62" s="160"/>
      <c r="CE62" s="162"/>
      <c r="CF62" s="163"/>
      <c r="CG62" s="158"/>
      <c r="CH62" s="158"/>
      <c r="CI62" s="158"/>
      <c r="CJ62" s="159"/>
      <c r="CK62" s="160"/>
      <c r="CL62" s="161"/>
      <c r="CM62" s="160"/>
      <c r="CN62" s="162"/>
      <c r="CO62" s="163"/>
      <c r="CP62" s="158"/>
      <c r="CQ62" s="158"/>
      <c r="CR62" s="158"/>
      <c r="CS62" s="159"/>
      <c r="CT62" s="160"/>
      <c r="CU62" s="161"/>
      <c r="CV62" s="160"/>
      <c r="CW62" s="162"/>
      <c r="CX62" s="163"/>
      <c r="CY62" s="158"/>
      <c r="CZ62" s="158"/>
      <c r="DA62" s="158"/>
      <c r="DB62" s="159"/>
      <c r="DC62" s="160"/>
      <c r="DD62" s="161"/>
      <c r="DE62" s="160"/>
      <c r="DF62" s="162"/>
      <c r="DG62" s="163"/>
      <c r="DH62" s="158"/>
      <c r="DI62" s="158"/>
      <c r="DJ62" s="158"/>
      <c r="DK62" s="159"/>
      <c r="DL62" s="160"/>
      <c r="DM62" s="161"/>
      <c r="DN62" s="160"/>
      <c r="DO62" s="162"/>
      <c r="DP62" s="163"/>
      <c r="DQ62" s="158"/>
      <c r="DR62" s="158"/>
      <c r="DS62" s="158"/>
      <c r="DT62" s="159"/>
      <c r="DU62" s="160"/>
      <c r="DV62" s="161"/>
      <c r="DW62" s="160"/>
      <c r="DX62" s="162"/>
      <c r="DY62" s="163"/>
      <c r="DZ62" s="158"/>
      <c r="EA62" s="158"/>
      <c r="EB62" s="158"/>
      <c r="EC62" s="159"/>
      <c r="ED62" s="160"/>
      <c r="EE62" s="161"/>
      <c r="EF62" s="160"/>
      <c r="EG62" s="162"/>
      <c r="EH62" s="163"/>
      <c r="EI62" s="158"/>
      <c r="EJ62" s="158"/>
      <c r="EK62" s="158"/>
      <c r="EL62" s="159"/>
      <c r="EM62" s="160"/>
      <c r="EN62" s="161"/>
      <c r="EO62" s="160"/>
      <c r="EP62" s="162"/>
      <c r="EQ62" s="163"/>
      <c r="ER62" s="158"/>
      <c r="ES62" s="158"/>
      <c r="ET62" s="158"/>
      <c r="EU62" s="159"/>
      <c r="EV62" s="160"/>
      <c r="EW62" s="161"/>
      <c r="EX62" s="160"/>
      <c r="EY62" s="162"/>
      <c r="EZ62" s="163"/>
      <c r="FA62" s="158"/>
      <c r="FB62" s="158"/>
      <c r="FC62" s="158"/>
      <c r="FD62" s="159"/>
      <c r="FE62" s="160"/>
      <c r="FF62" s="161"/>
      <c r="FG62" s="160"/>
      <c r="FH62" s="162"/>
      <c r="FI62" s="163"/>
      <c r="FJ62" s="158"/>
      <c r="FK62" s="158"/>
      <c r="FL62" s="158"/>
      <c r="FM62" s="159"/>
      <c r="FN62" s="160"/>
      <c r="FO62" s="161"/>
      <c r="FP62" s="160"/>
      <c r="FQ62" s="162"/>
      <c r="FR62" s="163"/>
      <c r="FS62" s="158"/>
      <c r="FT62" s="158"/>
      <c r="FU62" s="158"/>
      <c r="FV62" s="159"/>
      <c r="FW62" s="160"/>
      <c r="FX62" s="161"/>
      <c r="FY62" s="160"/>
      <c r="FZ62" s="162"/>
      <c r="GA62" s="163"/>
      <c r="GB62" s="158"/>
      <c r="GC62" s="158"/>
      <c r="GD62" s="158"/>
      <c r="GE62" s="159"/>
      <c r="GF62" s="160"/>
      <c r="GG62" s="161"/>
      <c r="GH62" s="160"/>
      <c r="GI62" s="162"/>
      <c r="GJ62" s="163"/>
      <c r="GK62" s="158"/>
      <c r="GL62" s="158"/>
      <c r="GM62" s="158"/>
      <c r="GN62" s="159"/>
      <c r="GO62" s="160"/>
      <c r="GP62" s="161"/>
      <c r="GQ62" s="160"/>
      <c r="GR62" s="162"/>
      <c r="GS62" s="163"/>
      <c r="GT62" s="154"/>
      <c r="GU62" s="156"/>
      <c r="GV62" s="153"/>
      <c r="GW62" s="141"/>
      <c r="GX62" s="141"/>
      <c r="GY62" s="167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68"/>
      <c r="K63" s="407"/>
      <c r="L63" s="70"/>
      <c r="M63" s="71"/>
      <c r="N63" s="164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43"/>
      <c r="V63" s="154"/>
      <c r="W63" s="165"/>
      <c r="X63" s="158"/>
      <c r="Y63" s="159"/>
      <c r="Z63" s="160"/>
      <c r="AA63" s="161"/>
      <c r="AB63" s="160"/>
      <c r="AC63" s="162"/>
      <c r="AD63" s="163"/>
      <c r="AE63" s="158"/>
      <c r="AF63" s="158"/>
      <c r="AG63" s="158"/>
      <c r="AH63" s="159"/>
      <c r="AI63" s="160"/>
      <c r="AJ63" s="161"/>
      <c r="AK63" s="160"/>
      <c r="AL63" s="162"/>
      <c r="AM63" s="163"/>
      <c r="AN63" s="158"/>
      <c r="AO63" s="158"/>
      <c r="AP63" s="158"/>
      <c r="AQ63" s="159"/>
      <c r="AR63" s="160"/>
      <c r="AS63" s="161"/>
      <c r="AT63" s="160"/>
      <c r="AU63" s="162"/>
      <c r="AV63" s="163"/>
      <c r="AW63" s="158"/>
      <c r="AX63" s="158"/>
      <c r="AY63" s="158"/>
      <c r="AZ63" s="159"/>
      <c r="BA63" s="160"/>
      <c r="BB63" s="161"/>
      <c r="BC63" s="160"/>
      <c r="BD63" s="162"/>
      <c r="BE63" s="163"/>
      <c r="BF63" s="158"/>
      <c r="BG63" s="158"/>
      <c r="BH63" s="158"/>
      <c r="BI63" s="159"/>
      <c r="BJ63" s="160"/>
      <c r="BK63" s="161"/>
      <c r="BL63" s="160"/>
      <c r="BM63" s="162"/>
      <c r="BN63" s="163"/>
      <c r="BO63" s="158"/>
      <c r="BP63" s="158"/>
      <c r="BQ63" s="158"/>
      <c r="BR63" s="159"/>
      <c r="BS63" s="160"/>
      <c r="BT63" s="161"/>
      <c r="BU63" s="160"/>
      <c r="BV63" s="162"/>
      <c r="BW63" s="163"/>
      <c r="BX63" s="158"/>
      <c r="BY63" s="158"/>
      <c r="BZ63" s="158"/>
      <c r="CA63" s="159"/>
      <c r="CB63" s="160"/>
      <c r="CC63" s="161"/>
      <c r="CD63" s="160"/>
      <c r="CE63" s="162"/>
      <c r="CF63" s="163"/>
      <c r="CG63" s="158"/>
      <c r="CH63" s="158"/>
      <c r="CI63" s="158"/>
      <c r="CJ63" s="159"/>
      <c r="CK63" s="160"/>
      <c r="CL63" s="161"/>
      <c r="CM63" s="160"/>
      <c r="CN63" s="162"/>
      <c r="CO63" s="163"/>
      <c r="CP63" s="158"/>
      <c r="CQ63" s="158"/>
      <c r="CR63" s="158"/>
      <c r="CS63" s="159"/>
      <c r="CT63" s="160"/>
      <c r="CU63" s="161"/>
      <c r="CV63" s="160"/>
      <c r="CW63" s="162"/>
      <c r="CX63" s="163"/>
      <c r="CY63" s="158"/>
      <c r="CZ63" s="158"/>
      <c r="DA63" s="158"/>
      <c r="DB63" s="159"/>
      <c r="DC63" s="160"/>
      <c r="DD63" s="161"/>
      <c r="DE63" s="160"/>
      <c r="DF63" s="162"/>
      <c r="DG63" s="163"/>
      <c r="DH63" s="158"/>
      <c r="DI63" s="158"/>
      <c r="DJ63" s="158"/>
      <c r="DK63" s="159"/>
      <c r="DL63" s="160"/>
      <c r="DM63" s="161"/>
      <c r="DN63" s="160"/>
      <c r="DO63" s="162"/>
      <c r="DP63" s="163"/>
      <c r="DQ63" s="158"/>
      <c r="DR63" s="158"/>
      <c r="DS63" s="158"/>
      <c r="DT63" s="159"/>
      <c r="DU63" s="160"/>
      <c r="DV63" s="161"/>
      <c r="DW63" s="160"/>
      <c r="DX63" s="162"/>
      <c r="DY63" s="163"/>
      <c r="DZ63" s="158"/>
      <c r="EA63" s="158"/>
      <c r="EB63" s="158"/>
      <c r="EC63" s="159"/>
      <c r="ED63" s="160"/>
      <c r="EE63" s="161"/>
      <c r="EF63" s="160"/>
      <c r="EG63" s="162"/>
      <c r="EH63" s="163"/>
      <c r="EI63" s="158"/>
      <c r="EJ63" s="158"/>
      <c r="EK63" s="158"/>
      <c r="EL63" s="159"/>
      <c r="EM63" s="160"/>
      <c r="EN63" s="161"/>
      <c r="EO63" s="160"/>
      <c r="EP63" s="162"/>
      <c r="EQ63" s="163"/>
      <c r="ER63" s="158"/>
      <c r="ES63" s="158"/>
      <c r="ET63" s="158"/>
      <c r="EU63" s="159"/>
      <c r="EV63" s="160"/>
      <c r="EW63" s="161"/>
      <c r="EX63" s="160"/>
      <c r="EY63" s="162"/>
      <c r="EZ63" s="163"/>
      <c r="FA63" s="158"/>
      <c r="FB63" s="158"/>
      <c r="FC63" s="158"/>
      <c r="FD63" s="159"/>
      <c r="FE63" s="160"/>
      <c r="FF63" s="161"/>
      <c r="FG63" s="160"/>
      <c r="FH63" s="162"/>
      <c r="FI63" s="163"/>
      <c r="FJ63" s="158"/>
      <c r="FK63" s="158"/>
      <c r="FL63" s="158"/>
      <c r="FM63" s="159"/>
      <c r="FN63" s="160"/>
      <c r="FO63" s="161"/>
      <c r="FP63" s="160"/>
      <c r="FQ63" s="162"/>
      <c r="FR63" s="163"/>
      <c r="FS63" s="158"/>
      <c r="FT63" s="158"/>
      <c r="FU63" s="158"/>
      <c r="FV63" s="159"/>
      <c r="FW63" s="160"/>
      <c r="FX63" s="161"/>
      <c r="FY63" s="160"/>
      <c r="FZ63" s="162"/>
      <c r="GA63" s="163"/>
      <c r="GB63" s="158"/>
      <c r="GC63" s="158"/>
      <c r="GD63" s="158"/>
      <c r="GE63" s="159"/>
      <c r="GF63" s="160"/>
      <c r="GG63" s="161"/>
      <c r="GH63" s="160"/>
      <c r="GI63" s="162"/>
      <c r="GJ63" s="163"/>
      <c r="GK63" s="158"/>
      <c r="GL63" s="158"/>
      <c r="GM63" s="158"/>
      <c r="GN63" s="159"/>
      <c r="GO63" s="160"/>
      <c r="GP63" s="161"/>
      <c r="GQ63" s="160"/>
      <c r="GR63" s="162"/>
      <c r="GS63" s="163"/>
      <c r="GT63" s="154"/>
      <c r="GU63" s="156"/>
      <c r="GV63" s="153"/>
      <c r="GW63" s="66"/>
      <c r="GX63" s="66"/>
      <c r="GY63" s="167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407"/>
      <c r="L64" s="70"/>
      <c r="M64" s="71"/>
      <c r="N64" s="56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38"/>
      <c r="V64" s="166"/>
      <c r="W64" s="86"/>
      <c r="X64" s="68"/>
      <c r="Y64" s="167"/>
      <c r="Z64" s="168"/>
      <c r="AA64" s="169"/>
      <c r="AB64" s="168"/>
      <c r="AC64" s="170"/>
      <c r="AD64" s="171"/>
      <c r="AE64" s="68"/>
      <c r="AF64" s="68"/>
      <c r="AG64" s="68"/>
      <c r="AH64" s="167"/>
      <c r="AI64" s="168"/>
      <c r="AJ64" s="169"/>
      <c r="AK64" s="168"/>
      <c r="AL64" s="170"/>
      <c r="AM64" s="171"/>
      <c r="AN64" s="68"/>
      <c r="AO64" s="68"/>
      <c r="AP64" s="68"/>
      <c r="AQ64" s="167"/>
      <c r="AR64" s="168"/>
      <c r="AS64" s="169"/>
      <c r="AT64" s="168"/>
      <c r="AU64" s="170"/>
      <c r="AV64" s="171"/>
      <c r="AW64" s="68"/>
      <c r="AX64" s="68"/>
      <c r="AY64" s="68"/>
      <c r="AZ64" s="167"/>
      <c r="BA64" s="168"/>
      <c r="BB64" s="169"/>
      <c r="BC64" s="168"/>
      <c r="BD64" s="170"/>
      <c r="BE64" s="171"/>
      <c r="BF64" s="68"/>
      <c r="BG64" s="68"/>
      <c r="BH64" s="68"/>
      <c r="BI64" s="167"/>
      <c r="BJ64" s="168"/>
      <c r="BK64" s="169"/>
      <c r="BL64" s="168"/>
      <c r="BM64" s="170"/>
      <c r="BN64" s="171"/>
      <c r="BO64" s="68"/>
      <c r="BP64" s="68"/>
      <c r="BQ64" s="68"/>
      <c r="BR64" s="167"/>
      <c r="BS64" s="168"/>
      <c r="BT64" s="169"/>
      <c r="BU64" s="168"/>
      <c r="BV64" s="170"/>
      <c r="BW64" s="171"/>
      <c r="BX64" s="68"/>
      <c r="BY64" s="68"/>
      <c r="BZ64" s="68"/>
      <c r="CA64" s="167"/>
      <c r="CB64" s="168"/>
      <c r="CC64" s="169"/>
      <c r="CD64" s="168"/>
      <c r="CE64" s="170"/>
      <c r="CF64" s="171"/>
      <c r="CG64" s="68"/>
      <c r="CH64" s="68"/>
      <c r="CI64" s="68"/>
      <c r="CJ64" s="167"/>
      <c r="CK64" s="168"/>
      <c r="CL64" s="169"/>
      <c r="CM64" s="168"/>
      <c r="CN64" s="170"/>
      <c r="CO64" s="171"/>
      <c r="CP64" s="68"/>
      <c r="CQ64" s="68"/>
      <c r="CR64" s="68"/>
      <c r="CS64" s="167"/>
      <c r="CT64" s="168"/>
      <c r="CU64" s="169"/>
      <c r="CV64" s="168"/>
      <c r="CW64" s="170"/>
      <c r="CX64" s="171"/>
      <c r="CY64" s="68"/>
      <c r="CZ64" s="68"/>
      <c r="DA64" s="68"/>
      <c r="DB64" s="167"/>
      <c r="DC64" s="168"/>
      <c r="DD64" s="169"/>
      <c r="DE64" s="168"/>
      <c r="DF64" s="170"/>
      <c r="DG64" s="171"/>
      <c r="DH64" s="68"/>
      <c r="DI64" s="68"/>
      <c r="DJ64" s="68"/>
      <c r="DK64" s="167"/>
      <c r="DL64" s="168"/>
      <c r="DM64" s="169"/>
      <c r="DN64" s="168"/>
      <c r="DO64" s="170"/>
      <c r="DP64" s="171"/>
      <c r="DQ64" s="68"/>
      <c r="DR64" s="68"/>
      <c r="DS64" s="68"/>
      <c r="DT64" s="167"/>
      <c r="DU64" s="168"/>
      <c r="DV64" s="169"/>
      <c r="DW64" s="168"/>
      <c r="DX64" s="170"/>
      <c r="DY64" s="171"/>
      <c r="DZ64" s="68"/>
      <c r="EA64" s="68"/>
      <c r="EB64" s="68"/>
      <c r="EC64" s="167"/>
      <c r="ED64" s="168"/>
      <c r="EE64" s="169"/>
      <c r="EF64" s="168"/>
      <c r="EG64" s="170"/>
      <c r="EH64" s="171"/>
      <c r="EI64" s="68"/>
      <c r="EJ64" s="68"/>
      <c r="EK64" s="68"/>
      <c r="EL64" s="167"/>
      <c r="EM64" s="168"/>
      <c r="EN64" s="169"/>
      <c r="EO64" s="168"/>
      <c r="EP64" s="170"/>
      <c r="EQ64" s="171"/>
      <c r="ER64" s="68"/>
      <c r="ES64" s="68"/>
      <c r="ET64" s="68"/>
      <c r="EU64" s="167"/>
      <c r="EV64" s="168"/>
      <c r="EW64" s="169"/>
      <c r="EX64" s="168"/>
      <c r="EY64" s="170"/>
      <c r="EZ64" s="171"/>
      <c r="FA64" s="68"/>
      <c r="FB64" s="68"/>
      <c r="FC64" s="68"/>
      <c r="FD64" s="167"/>
      <c r="FE64" s="168"/>
      <c r="FF64" s="169"/>
      <c r="FG64" s="168"/>
      <c r="FH64" s="170"/>
      <c r="FI64" s="171"/>
      <c r="FJ64" s="68"/>
      <c r="FK64" s="68"/>
      <c r="FL64" s="68"/>
      <c r="FM64" s="167"/>
      <c r="FN64" s="168"/>
      <c r="FO64" s="169"/>
      <c r="FP64" s="168"/>
      <c r="FQ64" s="170"/>
      <c r="FR64" s="171"/>
      <c r="FS64" s="68"/>
      <c r="FT64" s="68"/>
      <c r="FU64" s="68"/>
      <c r="FV64" s="167"/>
      <c r="FW64" s="168"/>
      <c r="FX64" s="169"/>
      <c r="FY64" s="168"/>
      <c r="FZ64" s="170"/>
      <c r="GA64" s="171"/>
      <c r="GB64" s="68"/>
      <c r="GC64" s="68"/>
      <c r="GD64" s="68"/>
      <c r="GE64" s="167"/>
      <c r="GF64" s="168"/>
      <c r="GG64" s="169"/>
      <c r="GH64" s="168"/>
      <c r="GI64" s="170"/>
      <c r="GJ64" s="171"/>
      <c r="GK64" s="68"/>
      <c r="GL64" s="68"/>
      <c r="GM64" s="68"/>
      <c r="GN64" s="167"/>
      <c r="GO64" s="168"/>
      <c r="GP64" s="169"/>
      <c r="GQ64" s="168"/>
      <c r="GR64" s="170"/>
      <c r="GS64" s="171"/>
      <c r="GT64" s="166"/>
      <c r="GU64" s="64"/>
      <c r="GV64" s="65"/>
      <c r="GW64" s="66"/>
      <c r="GX64" s="66"/>
      <c r="GY64" s="167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407"/>
      <c r="L65" s="70"/>
      <c r="M65" s="71"/>
      <c r="N65" s="56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38"/>
      <c r="V65" s="166"/>
      <c r="W65" s="86"/>
      <c r="X65" s="68"/>
      <c r="Y65" s="167"/>
      <c r="Z65" s="168"/>
      <c r="AA65" s="169"/>
      <c r="AB65" s="168"/>
      <c r="AC65" s="170"/>
      <c r="AD65" s="171"/>
      <c r="AE65" s="68"/>
      <c r="AF65" s="68"/>
      <c r="AG65" s="68"/>
      <c r="AH65" s="167"/>
      <c r="AI65" s="168"/>
      <c r="AJ65" s="169"/>
      <c r="AK65" s="168"/>
      <c r="AL65" s="170"/>
      <c r="AM65" s="171"/>
      <c r="AN65" s="68"/>
      <c r="AO65" s="68"/>
      <c r="AP65" s="68"/>
      <c r="AQ65" s="167"/>
      <c r="AR65" s="168"/>
      <c r="AS65" s="169"/>
      <c r="AT65" s="168"/>
      <c r="AU65" s="170"/>
      <c r="AV65" s="171"/>
      <c r="AW65" s="68"/>
      <c r="AX65" s="68"/>
      <c r="AY65" s="68"/>
      <c r="AZ65" s="167"/>
      <c r="BA65" s="168"/>
      <c r="BB65" s="169"/>
      <c r="BC65" s="168"/>
      <c r="BD65" s="170"/>
      <c r="BE65" s="171"/>
      <c r="BF65" s="68"/>
      <c r="BG65" s="68"/>
      <c r="BH65" s="68"/>
      <c r="BI65" s="167"/>
      <c r="BJ65" s="168"/>
      <c r="BK65" s="169"/>
      <c r="BL65" s="168"/>
      <c r="BM65" s="170"/>
      <c r="BN65" s="171"/>
      <c r="BO65" s="68"/>
      <c r="BP65" s="68"/>
      <c r="BQ65" s="68"/>
      <c r="BR65" s="167"/>
      <c r="BS65" s="168"/>
      <c r="BT65" s="169"/>
      <c r="BU65" s="168"/>
      <c r="BV65" s="170"/>
      <c r="BW65" s="171"/>
      <c r="BX65" s="68"/>
      <c r="BY65" s="68"/>
      <c r="BZ65" s="68"/>
      <c r="CA65" s="167"/>
      <c r="CB65" s="168"/>
      <c r="CC65" s="169"/>
      <c r="CD65" s="168"/>
      <c r="CE65" s="170"/>
      <c r="CF65" s="171"/>
      <c r="CG65" s="68"/>
      <c r="CH65" s="68"/>
      <c r="CI65" s="68"/>
      <c r="CJ65" s="167"/>
      <c r="CK65" s="168"/>
      <c r="CL65" s="169"/>
      <c r="CM65" s="168"/>
      <c r="CN65" s="170"/>
      <c r="CO65" s="171"/>
      <c r="CP65" s="68"/>
      <c r="CQ65" s="68"/>
      <c r="CR65" s="68"/>
      <c r="CS65" s="167"/>
      <c r="CT65" s="168"/>
      <c r="CU65" s="169"/>
      <c r="CV65" s="168"/>
      <c r="CW65" s="170"/>
      <c r="CX65" s="171"/>
      <c r="CY65" s="68"/>
      <c r="CZ65" s="68"/>
      <c r="DA65" s="68"/>
      <c r="DB65" s="167"/>
      <c r="DC65" s="168"/>
      <c r="DD65" s="169"/>
      <c r="DE65" s="168"/>
      <c r="DF65" s="170"/>
      <c r="DG65" s="171"/>
      <c r="DH65" s="68"/>
      <c r="DI65" s="68"/>
      <c r="DJ65" s="68"/>
      <c r="DK65" s="167"/>
      <c r="DL65" s="168"/>
      <c r="DM65" s="169"/>
      <c r="DN65" s="168"/>
      <c r="DO65" s="170"/>
      <c r="DP65" s="171"/>
      <c r="DQ65" s="68"/>
      <c r="DR65" s="68"/>
      <c r="DS65" s="68"/>
      <c r="DT65" s="167"/>
      <c r="DU65" s="168"/>
      <c r="DV65" s="169"/>
      <c r="DW65" s="168"/>
      <c r="DX65" s="170"/>
      <c r="DY65" s="171"/>
      <c r="DZ65" s="68"/>
      <c r="EA65" s="68"/>
      <c r="EB65" s="68"/>
      <c r="EC65" s="167"/>
      <c r="ED65" s="168"/>
      <c r="EE65" s="169"/>
      <c r="EF65" s="168"/>
      <c r="EG65" s="170"/>
      <c r="EH65" s="171"/>
      <c r="EI65" s="68"/>
      <c r="EJ65" s="68"/>
      <c r="EK65" s="68"/>
      <c r="EL65" s="167"/>
      <c r="EM65" s="168"/>
      <c r="EN65" s="169"/>
      <c r="EO65" s="168"/>
      <c r="EP65" s="170"/>
      <c r="EQ65" s="171"/>
      <c r="ER65" s="68"/>
      <c r="ES65" s="68"/>
      <c r="ET65" s="68"/>
      <c r="EU65" s="167"/>
      <c r="EV65" s="168"/>
      <c r="EW65" s="169"/>
      <c r="EX65" s="168"/>
      <c r="EY65" s="170"/>
      <c r="EZ65" s="171"/>
      <c r="FA65" s="68"/>
      <c r="FB65" s="68"/>
      <c r="FC65" s="68"/>
      <c r="FD65" s="167"/>
      <c r="FE65" s="168"/>
      <c r="FF65" s="169"/>
      <c r="FG65" s="168"/>
      <c r="FH65" s="170"/>
      <c r="FI65" s="171"/>
      <c r="FJ65" s="68"/>
      <c r="FK65" s="68"/>
      <c r="FL65" s="68"/>
      <c r="FM65" s="167"/>
      <c r="FN65" s="168"/>
      <c r="FO65" s="169"/>
      <c r="FP65" s="168"/>
      <c r="FQ65" s="170"/>
      <c r="FR65" s="171"/>
      <c r="FS65" s="68"/>
      <c r="FT65" s="68"/>
      <c r="FU65" s="68"/>
      <c r="FV65" s="167"/>
      <c r="FW65" s="168"/>
      <c r="FX65" s="169"/>
      <c r="FY65" s="168"/>
      <c r="FZ65" s="170"/>
      <c r="GA65" s="171"/>
      <c r="GB65" s="68"/>
      <c r="GC65" s="68"/>
      <c r="GD65" s="68"/>
      <c r="GE65" s="167"/>
      <c r="GF65" s="168"/>
      <c r="GG65" s="169"/>
      <c r="GH65" s="168"/>
      <c r="GI65" s="170"/>
      <c r="GJ65" s="171"/>
      <c r="GK65" s="68"/>
      <c r="GL65" s="68"/>
      <c r="GM65" s="68"/>
      <c r="GN65" s="167"/>
      <c r="GO65" s="168"/>
      <c r="GP65" s="169"/>
      <c r="GQ65" s="168"/>
      <c r="GR65" s="170"/>
      <c r="GS65" s="171"/>
      <c r="GT65" s="166"/>
      <c r="GU65" s="64"/>
      <c r="GV65" s="65"/>
      <c r="GW65" s="66"/>
      <c r="GX65" s="66"/>
      <c r="GY65" s="167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407"/>
      <c r="L66" s="70"/>
      <c r="M66" s="71"/>
      <c r="N66" s="56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38"/>
      <c r="V66" s="166"/>
      <c r="W66" s="86"/>
      <c r="X66" s="68"/>
      <c r="Y66" s="167"/>
      <c r="Z66" s="168"/>
      <c r="AA66" s="169"/>
      <c r="AB66" s="168"/>
      <c r="AC66" s="170"/>
      <c r="AD66" s="171"/>
      <c r="AE66" s="68"/>
      <c r="AF66" s="68"/>
      <c r="AG66" s="68"/>
      <c r="AH66" s="167"/>
      <c r="AI66" s="168"/>
      <c r="AJ66" s="169"/>
      <c r="AK66" s="168"/>
      <c r="AL66" s="170"/>
      <c r="AM66" s="171"/>
      <c r="AN66" s="68"/>
      <c r="AO66" s="68"/>
      <c r="AP66" s="68"/>
      <c r="AQ66" s="167"/>
      <c r="AR66" s="168"/>
      <c r="AS66" s="169"/>
      <c r="AT66" s="168"/>
      <c r="AU66" s="170"/>
      <c r="AV66" s="171"/>
      <c r="AW66" s="68"/>
      <c r="AX66" s="68"/>
      <c r="AY66" s="68"/>
      <c r="AZ66" s="167"/>
      <c r="BA66" s="168"/>
      <c r="BB66" s="169"/>
      <c r="BC66" s="168"/>
      <c r="BD66" s="170"/>
      <c r="BE66" s="171"/>
      <c r="BF66" s="68"/>
      <c r="BG66" s="68"/>
      <c r="BH66" s="68"/>
      <c r="BI66" s="167"/>
      <c r="BJ66" s="168"/>
      <c r="BK66" s="169"/>
      <c r="BL66" s="168"/>
      <c r="BM66" s="170"/>
      <c r="BN66" s="171"/>
      <c r="BO66" s="68"/>
      <c r="BP66" s="68"/>
      <c r="BQ66" s="68"/>
      <c r="BR66" s="167"/>
      <c r="BS66" s="168"/>
      <c r="BT66" s="169"/>
      <c r="BU66" s="168"/>
      <c r="BV66" s="170"/>
      <c r="BW66" s="171"/>
      <c r="BX66" s="68"/>
      <c r="BY66" s="68"/>
      <c r="BZ66" s="68"/>
      <c r="CA66" s="167"/>
      <c r="CB66" s="168"/>
      <c r="CC66" s="169"/>
      <c r="CD66" s="168"/>
      <c r="CE66" s="170"/>
      <c r="CF66" s="171"/>
      <c r="CG66" s="68"/>
      <c r="CH66" s="68"/>
      <c r="CI66" s="68"/>
      <c r="CJ66" s="167"/>
      <c r="CK66" s="168"/>
      <c r="CL66" s="169"/>
      <c r="CM66" s="168"/>
      <c r="CN66" s="170"/>
      <c r="CO66" s="171"/>
      <c r="CP66" s="68"/>
      <c r="CQ66" s="68"/>
      <c r="CR66" s="68"/>
      <c r="CS66" s="167"/>
      <c r="CT66" s="168"/>
      <c r="CU66" s="169"/>
      <c r="CV66" s="168"/>
      <c r="CW66" s="170"/>
      <c r="CX66" s="171"/>
      <c r="CY66" s="68"/>
      <c r="CZ66" s="68"/>
      <c r="DA66" s="68"/>
      <c r="DB66" s="167"/>
      <c r="DC66" s="168"/>
      <c r="DD66" s="169"/>
      <c r="DE66" s="168"/>
      <c r="DF66" s="170"/>
      <c r="DG66" s="171"/>
      <c r="DH66" s="68"/>
      <c r="DI66" s="68"/>
      <c r="DJ66" s="68"/>
      <c r="DK66" s="167"/>
      <c r="DL66" s="168"/>
      <c r="DM66" s="169"/>
      <c r="DN66" s="168"/>
      <c r="DO66" s="170"/>
      <c r="DP66" s="171"/>
      <c r="DQ66" s="68"/>
      <c r="DR66" s="68"/>
      <c r="DS66" s="68"/>
      <c r="DT66" s="167"/>
      <c r="DU66" s="168"/>
      <c r="DV66" s="169"/>
      <c r="DW66" s="168"/>
      <c r="DX66" s="170"/>
      <c r="DY66" s="171"/>
      <c r="DZ66" s="68"/>
      <c r="EA66" s="68"/>
      <c r="EB66" s="68"/>
      <c r="EC66" s="167"/>
      <c r="ED66" s="168"/>
      <c r="EE66" s="169"/>
      <c r="EF66" s="168"/>
      <c r="EG66" s="170"/>
      <c r="EH66" s="171"/>
      <c r="EI66" s="68"/>
      <c r="EJ66" s="68"/>
      <c r="EK66" s="68"/>
      <c r="EL66" s="167"/>
      <c r="EM66" s="168"/>
      <c r="EN66" s="169"/>
      <c r="EO66" s="168"/>
      <c r="EP66" s="170"/>
      <c r="EQ66" s="171"/>
      <c r="ER66" s="68"/>
      <c r="ES66" s="68"/>
      <c r="ET66" s="68"/>
      <c r="EU66" s="167"/>
      <c r="EV66" s="168"/>
      <c r="EW66" s="169"/>
      <c r="EX66" s="168"/>
      <c r="EY66" s="170"/>
      <c r="EZ66" s="171"/>
      <c r="FA66" s="68"/>
      <c r="FB66" s="68"/>
      <c r="FC66" s="68"/>
      <c r="FD66" s="167"/>
      <c r="FE66" s="168"/>
      <c r="FF66" s="169"/>
      <c r="FG66" s="168"/>
      <c r="FH66" s="170"/>
      <c r="FI66" s="171"/>
      <c r="FJ66" s="68"/>
      <c r="FK66" s="68"/>
      <c r="FL66" s="68"/>
      <c r="FM66" s="167"/>
      <c r="FN66" s="168"/>
      <c r="FO66" s="169"/>
      <c r="FP66" s="168"/>
      <c r="FQ66" s="170"/>
      <c r="FR66" s="171"/>
      <c r="FS66" s="68"/>
      <c r="FT66" s="68"/>
      <c r="FU66" s="68"/>
      <c r="FV66" s="167"/>
      <c r="FW66" s="168"/>
      <c r="FX66" s="169"/>
      <c r="FY66" s="168"/>
      <c r="FZ66" s="170"/>
      <c r="GA66" s="171"/>
      <c r="GB66" s="68"/>
      <c r="GC66" s="68"/>
      <c r="GD66" s="68"/>
      <c r="GE66" s="167"/>
      <c r="GF66" s="168"/>
      <c r="GG66" s="169"/>
      <c r="GH66" s="168"/>
      <c r="GI66" s="170"/>
      <c r="GJ66" s="171"/>
      <c r="GK66" s="68"/>
      <c r="GL66" s="68"/>
      <c r="GM66" s="68"/>
      <c r="GN66" s="167"/>
      <c r="GO66" s="168"/>
      <c r="GP66" s="169"/>
      <c r="GQ66" s="168"/>
      <c r="GR66" s="170"/>
      <c r="GS66" s="171"/>
      <c r="GT66" s="171"/>
      <c r="GU66" s="64"/>
      <c r="GV66" s="65"/>
      <c r="GW66" s="66"/>
      <c r="GX66" s="66"/>
      <c r="GY66" s="167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407"/>
      <c r="L67" s="70"/>
      <c r="M67" s="71"/>
      <c r="N67" s="56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38"/>
      <c r="V67" s="166"/>
      <c r="W67" s="86"/>
      <c r="X67" s="68"/>
      <c r="Y67" s="167"/>
      <c r="Z67" s="168"/>
      <c r="AA67" s="169"/>
      <c r="AB67" s="168"/>
      <c r="AC67" s="170"/>
      <c r="AD67" s="171"/>
      <c r="AE67" s="68"/>
      <c r="AF67" s="68"/>
      <c r="AG67" s="68"/>
      <c r="AH67" s="167"/>
      <c r="AI67" s="168"/>
      <c r="AJ67" s="169"/>
      <c r="AK67" s="168"/>
      <c r="AL67" s="170"/>
      <c r="AM67" s="171"/>
      <c r="AN67" s="68"/>
      <c r="AO67" s="68"/>
      <c r="AP67" s="68"/>
      <c r="AQ67" s="167"/>
      <c r="AR67" s="168"/>
      <c r="AS67" s="169"/>
      <c r="AT67" s="168"/>
      <c r="AU67" s="170"/>
      <c r="AV67" s="171"/>
      <c r="AW67" s="68"/>
      <c r="AX67" s="68"/>
      <c r="AY67" s="68"/>
      <c r="AZ67" s="167"/>
      <c r="BA67" s="168"/>
      <c r="BB67" s="169"/>
      <c r="BC67" s="168"/>
      <c r="BD67" s="170"/>
      <c r="BE67" s="171"/>
      <c r="BF67" s="68"/>
      <c r="BG67" s="68"/>
      <c r="BH67" s="68"/>
      <c r="BI67" s="167"/>
      <c r="BJ67" s="168"/>
      <c r="BK67" s="169"/>
      <c r="BL67" s="168"/>
      <c r="BM67" s="170"/>
      <c r="BN67" s="171"/>
      <c r="BO67" s="68"/>
      <c r="BP67" s="68"/>
      <c r="BQ67" s="68"/>
      <c r="BR67" s="167"/>
      <c r="BS67" s="168"/>
      <c r="BT67" s="169"/>
      <c r="BU67" s="168"/>
      <c r="BV67" s="170"/>
      <c r="BW67" s="171"/>
      <c r="BX67" s="68"/>
      <c r="BY67" s="68"/>
      <c r="BZ67" s="68"/>
      <c r="CA67" s="167"/>
      <c r="CB67" s="168"/>
      <c r="CC67" s="169"/>
      <c r="CD67" s="168"/>
      <c r="CE67" s="170"/>
      <c r="CF67" s="171"/>
      <c r="CG67" s="68"/>
      <c r="CH67" s="68"/>
      <c r="CI67" s="68"/>
      <c r="CJ67" s="167"/>
      <c r="CK67" s="168"/>
      <c r="CL67" s="169"/>
      <c r="CM67" s="168"/>
      <c r="CN67" s="170"/>
      <c r="CO67" s="171"/>
      <c r="CP67" s="68"/>
      <c r="CQ67" s="68"/>
      <c r="CR67" s="68"/>
      <c r="CS67" s="167"/>
      <c r="CT67" s="168"/>
      <c r="CU67" s="169"/>
      <c r="CV67" s="168"/>
      <c r="CW67" s="170"/>
      <c r="CX67" s="171"/>
      <c r="CY67" s="68"/>
      <c r="CZ67" s="68"/>
      <c r="DA67" s="68"/>
      <c r="DB67" s="167"/>
      <c r="DC67" s="168"/>
      <c r="DD67" s="169"/>
      <c r="DE67" s="168"/>
      <c r="DF67" s="170"/>
      <c r="DG67" s="171"/>
      <c r="DH67" s="68"/>
      <c r="DI67" s="68"/>
      <c r="DJ67" s="68"/>
      <c r="DK67" s="167"/>
      <c r="DL67" s="168"/>
      <c r="DM67" s="169"/>
      <c r="DN67" s="168"/>
      <c r="DO67" s="170"/>
      <c r="DP67" s="171"/>
      <c r="DQ67" s="68"/>
      <c r="DR67" s="68"/>
      <c r="DS67" s="68"/>
      <c r="DT67" s="167"/>
      <c r="DU67" s="168"/>
      <c r="DV67" s="169"/>
      <c r="DW67" s="168"/>
      <c r="DX67" s="170"/>
      <c r="DY67" s="171"/>
      <c r="DZ67" s="68"/>
      <c r="EA67" s="68"/>
      <c r="EB67" s="68"/>
      <c r="EC67" s="167"/>
      <c r="ED67" s="168"/>
      <c r="EE67" s="169"/>
      <c r="EF67" s="168"/>
      <c r="EG67" s="170"/>
      <c r="EH67" s="171"/>
      <c r="EI67" s="68"/>
      <c r="EJ67" s="68"/>
      <c r="EK67" s="68"/>
      <c r="EL67" s="167"/>
      <c r="EM67" s="168"/>
      <c r="EN67" s="169"/>
      <c r="EO67" s="168"/>
      <c r="EP67" s="170"/>
      <c r="EQ67" s="171"/>
      <c r="ER67" s="68"/>
      <c r="ES67" s="68"/>
      <c r="ET67" s="68"/>
      <c r="EU67" s="167"/>
      <c r="EV67" s="168"/>
      <c r="EW67" s="169"/>
      <c r="EX67" s="168"/>
      <c r="EY67" s="170"/>
      <c r="EZ67" s="171"/>
      <c r="FA67" s="68"/>
      <c r="FB67" s="68"/>
      <c r="FC67" s="68"/>
      <c r="FD67" s="167"/>
      <c r="FE67" s="168"/>
      <c r="FF67" s="169"/>
      <c r="FG67" s="168"/>
      <c r="FH67" s="170"/>
      <c r="FI67" s="171"/>
      <c r="FJ67" s="68"/>
      <c r="FK67" s="68"/>
      <c r="FL67" s="68"/>
      <c r="FM67" s="167"/>
      <c r="FN67" s="168"/>
      <c r="FO67" s="169"/>
      <c r="FP67" s="168"/>
      <c r="FQ67" s="170"/>
      <c r="FR67" s="171"/>
      <c r="FS67" s="68"/>
      <c r="FT67" s="68"/>
      <c r="FU67" s="68"/>
      <c r="FV67" s="167"/>
      <c r="FW67" s="168"/>
      <c r="FX67" s="169"/>
      <c r="FY67" s="168"/>
      <c r="FZ67" s="170"/>
      <c r="GA67" s="171"/>
      <c r="GB67" s="68"/>
      <c r="GC67" s="68"/>
      <c r="GD67" s="68"/>
      <c r="GE67" s="167"/>
      <c r="GF67" s="168"/>
      <c r="GG67" s="169"/>
      <c r="GH67" s="168"/>
      <c r="GI67" s="170"/>
      <c r="GJ67" s="171"/>
      <c r="GK67" s="68"/>
      <c r="GL67" s="68"/>
      <c r="GM67" s="68"/>
      <c r="GN67" s="167"/>
      <c r="GO67" s="168"/>
      <c r="GP67" s="169"/>
      <c r="GQ67" s="168"/>
      <c r="GR67" s="170"/>
      <c r="GS67" s="171"/>
      <c r="GT67" s="171"/>
      <c r="GU67" s="64"/>
      <c r="GV67" s="65"/>
      <c r="GW67" s="66"/>
      <c r="GX67" s="66"/>
      <c r="GY67" s="167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407"/>
      <c r="L68" s="70"/>
      <c r="M68" s="71"/>
      <c r="N68" s="56"/>
      <c r="O68" s="72"/>
      <c r="P68" s="113">
        <f t="shared" si="0"/>
        <v>0</v>
      </c>
      <c r="Q68" s="117"/>
      <c r="R68" s="117"/>
      <c r="S68" s="117"/>
      <c r="T68" s="39">
        <f t="shared" si="1"/>
        <v>0</v>
      </c>
      <c r="U68" s="138"/>
      <c r="V68" s="166"/>
      <c r="W68" s="86"/>
      <c r="X68" s="68"/>
      <c r="Y68" s="167"/>
      <c r="Z68" s="168"/>
      <c r="AA68" s="169"/>
      <c r="AB68" s="168"/>
      <c r="AC68" s="170"/>
      <c r="AD68" s="171"/>
      <c r="AE68" s="68"/>
      <c r="AF68" s="68"/>
      <c r="AG68" s="68"/>
      <c r="AH68" s="167"/>
      <c r="AI68" s="168"/>
      <c r="AJ68" s="169"/>
      <c r="AK68" s="168"/>
      <c r="AL68" s="170"/>
      <c r="AM68" s="171"/>
      <c r="AN68" s="68"/>
      <c r="AO68" s="68"/>
      <c r="AP68" s="68"/>
      <c r="AQ68" s="167"/>
      <c r="AR68" s="168"/>
      <c r="AS68" s="169"/>
      <c r="AT68" s="168"/>
      <c r="AU68" s="170"/>
      <c r="AV68" s="171"/>
      <c r="AW68" s="68"/>
      <c r="AX68" s="68"/>
      <c r="AY68" s="68"/>
      <c r="AZ68" s="167"/>
      <c r="BA68" s="168"/>
      <c r="BB68" s="169"/>
      <c r="BC68" s="168"/>
      <c r="BD68" s="170"/>
      <c r="BE68" s="171"/>
      <c r="BF68" s="68"/>
      <c r="BG68" s="68"/>
      <c r="BH68" s="68"/>
      <c r="BI68" s="167"/>
      <c r="BJ68" s="168"/>
      <c r="BK68" s="169"/>
      <c r="BL68" s="168"/>
      <c r="BM68" s="170"/>
      <c r="BN68" s="171"/>
      <c r="BO68" s="68"/>
      <c r="BP68" s="68"/>
      <c r="BQ68" s="68"/>
      <c r="BR68" s="167"/>
      <c r="BS68" s="168"/>
      <c r="BT68" s="169"/>
      <c r="BU68" s="168"/>
      <c r="BV68" s="170"/>
      <c r="BW68" s="171"/>
      <c r="BX68" s="68"/>
      <c r="BY68" s="68"/>
      <c r="BZ68" s="68"/>
      <c r="CA68" s="167"/>
      <c r="CB68" s="168"/>
      <c r="CC68" s="169"/>
      <c r="CD68" s="168"/>
      <c r="CE68" s="170"/>
      <c r="CF68" s="171"/>
      <c r="CG68" s="68"/>
      <c r="CH68" s="68"/>
      <c r="CI68" s="68"/>
      <c r="CJ68" s="167"/>
      <c r="CK68" s="168"/>
      <c r="CL68" s="169"/>
      <c r="CM68" s="168"/>
      <c r="CN68" s="170"/>
      <c r="CO68" s="171"/>
      <c r="CP68" s="68"/>
      <c r="CQ68" s="68"/>
      <c r="CR68" s="68"/>
      <c r="CS68" s="167"/>
      <c r="CT68" s="168"/>
      <c r="CU68" s="169"/>
      <c r="CV68" s="168"/>
      <c r="CW68" s="170"/>
      <c r="CX68" s="171"/>
      <c r="CY68" s="68"/>
      <c r="CZ68" s="68"/>
      <c r="DA68" s="68"/>
      <c r="DB68" s="167"/>
      <c r="DC68" s="168"/>
      <c r="DD68" s="169"/>
      <c r="DE68" s="168"/>
      <c r="DF68" s="170"/>
      <c r="DG68" s="171"/>
      <c r="DH68" s="68"/>
      <c r="DI68" s="68"/>
      <c r="DJ68" s="68"/>
      <c r="DK68" s="167"/>
      <c r="DL68" s="168"/>
      <c r="DM68" s="169"/>
      <c r="DN68" s="168"/>
      <c r="DO68" s="170"/>
      <c r="DP68" s="171"/>
      <c r="DQ68" s="68"/>
      <c r="DR68" s="68"/>
      <c r="DS68" s="68"/>
      <c r="DT68" s="167"/>
      <c r="DU68" s="168"/>
      <c r="DV68" s="169"/>
      <c r="DW68" s="168"/>
      <c r="DX68" s="170"/>
      <c r="DY68" s="171"/>
      <c r="DZ68" s="68"/>
      <c r="EA68" s="68"/>
      <c r="EB68" s="68"/>
      <c r="EC68" s="167"/>
      <c r="ED68" s="168"/>
      <c r="EE68" s="169"/>
      <c r="EF68" s="168"/>
      <c r="EG68" s="170"/>
      <c r="EH68" s="171"/>
      <c r="EI68" s="68"/>
      <c r="EJ68" s="68"/>
      <c r="EK68" s="68"/>
      <c r="EL68" s="167"/>
      <c r="EM68" s="168"/>
      <c r="EN68" s="169"/>
      <c r="EO68" s="168"/>
      <c r="EP68" s="170"/>
      <c r="EQ68" s="171"/>
      <c r="ER68" s="68"/>
      <c r="ES68" s="68"/>
      <c r="ET68" s="68"/>
      <c r="EU68" s="167"/>
      <c r="EV68" s="168"/>
      <c r="EW68" s="169"/>
      <c r="EX68" s="168"/>
      <c r="EY68" s="170"/>
      <c r="EZ68" s="171"/>
      <c r="FA68" s="68"/>
      <c r="FB68" s="68"/>
      <c r="FC68" s="68"/>
      <c r="FD68" s="167"/>
      <c r="FE68" s="168"/>
      <c r="FF68" s="169"/>
      <c r="FG68" s="168"/>
      <c r="FH68" s="170"/>
      <c r="FI68" s="171"/>
      <c r="FJ68" s="68"/>
      <c r="FK68" s="68"/>
      <c r="FL68" s="68"/>
      <c r="FM68" s="167"/>
      <c r="FN68" s="168"/>
      <c r="FO68" s="169"/>
      <c r="FP68" s="168"/>
      <c r="FQ68" s="170"/>
      <c r="FR68" s="171"/>
      <c r="FS68" s="68"/>
      <c r="FT68" s="68"/>
      <c r="FU68" s="68"/>
      <c r="FV68" s="167"/>
      <c r="FW68" s="168"/>
      <c r="FX68" s="169"/>
      <c r="FY68" s="168"/>
      <c r="FZ68" s="170"/>
      <c r="GA68" s="171"/>
      <c r="GB68" s="68"/>
      <c r="GC68" s="68"/>
      <c r="GD68" s="68"/>
      <c r="GE68" s="167"/>
      <c r="GF68" s="168"/>
      <c r="GG68" s="169"/>
      <c r="GH68" s="168"/>
      <c r="GI68" s="170"/>
      <c r="GJ68" s="171"/>
      <c r="GK68" s="68"/>
      <c r="GL68" s="68"/>
      <c r="GM68" s="68"/>
      <c r="GN68" s="167"/>
      <c r="GO68" s="168"/>
      <c r="GP68" s="169"/>
      <c r="GQ68" s="168"/>
      <c r="GR68" s="170"/>
      <c r="GS68" s="171"/>
      <c r="GT68" s="171"/>
      <c r="GU68" s="64"/>
      <c r="GV68" s="65"/>
      <c r="GW68" s="66"/>
      <c r="GX68" s="66"/>
      <c r="GY68" s="85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407"/>
      <c r="L69" s="70"/>
      <c r="M69" s="71"/>
      <c r="N69" s="56"/>
      <c r="O69" s="72"/>
      <c r="P69" s="113">
        <f t="shared" si="0"/>
        <v>0</v>
      </c>
      <c r="Q69" s="117"/>
      <c r="R69" s="117"/>
      <c r="S69" s="117"/>
      <c r="T69" s="39">
        <f t="shared" si="1"/>
        <v>0</v>
      </c>
      <c r="U69" s="138"/>
      <c r="V69" s="166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71"/>
      <c r="GU69" s="64"/>
      <c r="GV69" s="65"/>
      <c r="GW69" s="66"/>
      <c r="GX69" s="66"/>
      <c r="GY69" s="85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68"/>
      <c r="K70" s="407"/>
      <c r="L70" s="70"/>
      <c r="M70" s="71"/>
      <c r="N70" s="56"/>
      <c r="O70" s="72"/>
      <c r="P70" s="113">
        <f t="shared" ref="P70:P72" si="5">O70-L70</f>
        <v>0</v>
      </c>
      <c r="Q70" s="117"/>
      <c r="R70" s="117"/>
      <c r="S70" s="117"/>
      <c r="T70" s="39">
        <f t="shared" si="1"/>
        <v>0</v>
      </c>
      <c r="U70" s="138"/>
      <c r="V70" s="172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71"/>
      <c r="GU70" s="64"/>
      <c r="GV70" s="65"/>
      <c r="GW70" s="66"/>
      <c r="GX70" s="66"/>
      <c r="GY70" s="85"/>
      <c r="GZ70" s="86"/>
    </row>
    <row r="71" spans="1:208" x14ac:dyDescent="0.25">
      <c r="A71"/>
      <c r="D71" s="35"/>
      <c r="E71" s="36"/>
      <c r="F71" s="37"/>
      <c r="G71" s="38"/>
      <c r="H71" s="39"/>
      <c r="I71" s="40"/>
      <c r="J71" s="68"/>
      <c r="K71" s="407"/>
      <c r="L71" s="70"/>
      <c r="M71" s="71"/>
      <c r="N71" s="173"/>
      <c r="O71" s="72"/>
      <c r="P71" s="113">
        <f t="shared" si="5"/>
        <v>0</v>
      </c>
      <c r="Q71" s="117"/>
      <c r="R71" s="117"/>
      <c r="S71" s="117"/>
      <c r="T71" s="39">
        <f t="shared" si="1"/>
        <v>0</v>
      </c>
      <c r="U71" s="138"/>
      <c r="V71" s="172"/>
      <c r="W71" s="86"/>
      <c r="X71" s="68"/>
      <c r="Y71" s="167"/>
      <c r="Z71" s="168"/>
      <c r="AA71" s="169"/>
      <c r="AB71" s="168"/>
      <c r="AC71" s="170"/>
      <c r="AD71" s="171"/>
      <c r="AE71" s="68"/>
      <c r="AF71" s="68"/>
      <c r="AG71" s="68"/>
      <c r="AH71" s="167"/>
      <c r="AI71" s="168"/>
      <c r="AJ71" s="169"/>
      <c r="AK71" s="168"/>
      <c r="AL71" s="170"/>
      <c r="AM71" s="171"/>
      <c r="AN71" s="68"/>
      <c r="AO71" s="68"/>
      <c r="AP71" s="68"/>
      <c r="AQ71" s="167"/>
      <c r="AR71" s="168"/>
      <c r="AS71" s="169"/>
      <c r="AT71" s="168"/>
      <c r="AU71" s="170"/>
      <c r="AV71" s="171"/>
      <c r="AW71" s="68"/>
      <c r="AX71" s="68"/>
      <c r="AY71" s="68"/>
      <c r="AZ71" s="167"/>
      <c r="BA71" s="168"/>
      <c r="BB71" s="169"/>
      <c r="BC71" s="168"/>
      <c r="BD71" s="170"/>
      <c r="BE71" s="171"/>
      <c r="BF71" s="68"/>
      <c r="BG71" s="68"/>
      <c r="BH71" s="68"/>
      <c r="BI71" s="167"/>
      <c r="BJ71" s="168"/>
      <c r="BK71" s="169"/>
      <c r="BL71" s="168"/>
      <c r="BM71" s="170"/>
      <c r="BN71" s="171"/>
      <c r="BO71" s="68"/>
      <c r="BP71" s="68"/>
      <c r="BQ71" s="68"/>
      <c r="BR71" s="167"/>
      <c r="BS71" s="168"/>
      <c r="BT71" s="169"/>
      <c r="BU71" s="168"/>
      <c r="BV71" s="170"/>
      <c r="BW71" s="171"/>
      <c r="BX71" s="68"/>
      <c r="BY71" s="68"/>
      <c r="BZ71" s="68"/>
      <c r="CA71" s="167"/>
      <c r="CB71" s="168"/>
      <c r="CC71" s="169"/>
      <c r="CD71" s="168"/>
      <c r="CE71" s="170"/>
      <c r="CF71" s="171"/>
      <c r="CG71" s="68"/>
      <c r="CH71" s="68"/>
      <c r="CI71" s="68"/>
      <c r="CJ71" s="167"/>
      <c r="CK71" s="168"/>
      <c r="CL71" s="169"/>
      <c r="CM71" s="168"/>
      <c r="CN71" s="170"/>
      <c r="CO71" s="171"/>
      <c r="CP71" s="68"/>
      <c r="CQ71" s="68"/>
      <c r="CR71" s="68"/>
      <c r="CS71" s="167"/>
      <c r="CT71" s="168"/>
      <c r="CU71" s="169"/>
      <c r="CV71" s="168"/>
      <c r="CW71" s="170"/>
      <c r="CX71" s="171"/>
      <c r="CY71" s="68"/>
      <c r="CZ71" s="68"/>
      <c r="DA71" s="68"/>
      <c r="DB71" s="167"/>
      <c r="DC71" s="168"/>
      <c r="DD71" s="169"/>
      <c r="DE71" s="168"/>
      <c r="DF71" s="170"/>
      <c r="DG71" s="171"/>
      <c r="DH71" s="68"/>
      <c r="DI71" s="68"/>
      <c r="DJ71" s="68"/>
      <c r="DK71" s="167"/>
      <c r="DL71" s="168"/>
      <c r="DM71" s="169"/>
      <c r="DN71" s="168"/>
      <c r="DO71" s="170"/>
      <c r="DP71" s="171"/>
      <c r="DQ71" s="68"/>
      <c r="DR71" s="68"/>
      <c r="DS71" s="68"/>
      <c r="DT71" s="167"/>
      <c r="DU71" s="168"/>
      <c r="DV71" s="169"/>
      <c r="DW71" s="168"/>
      <c r="DX71" s="170"/>
      <c r="DY71" s="171"/>
      <c r="DZ71" s="68"/>
      <c r="EA71" s="68"/>
      <c r="EB71" s="68"/>
      <c r="EC71" s="167"/>
      <c r="ED71" s="168"/>
      <c r="EE71" s="169"/>
      <c r="EF71" s="168"/>
      <c r="EG71" s="170"/>
      <c r="EH71" s="171"/>
      <c r="EI71" s="68"/>
      <c r="EJ71" s="68"/>
      <c r="EK71" s="68"/>
      <c r="EL71" s="167"/>
      <c r="EM71" s="168"/>
      <c r="EN71" s="169"/>
      <c r="EO71" s="168"/>
      <c r="EP71" s="170"/>
      <c r="EQ71" s="171"/>
      <c r="ER71" s="68"/>
      <c r="ES71" s="68"/>
      <c r="ET71" s="68"/>
      <c r="EU71" s="167"/>
      <c r="EV71" s="168"/>
      <c r="EW71" s="169"/>
      <c r="EX71" s="168"/>
      <c r="EY71" s="170"/>
      <c r="EZ71" s="171"/>
      <c r="FA71" s="68"/>
      <c r="FB71" s="68"/>
      <c r="FC71" s="68"/>
      <c r="FD71" s="167"/>
      <c r="FE71" s="168"/>
      <c r="FF71" s="169"/>
      <c r="FG71" s="168"/>
      <c r="FH71" s="170"/>
      <c r="FI71" s="171"/>
      <c r="FJ71" s="68"/>
      <c r="FK71" s="68"/>
      <c r="FL71" s="68"/>
      <c r="FM71" s="167"/>
      <c r="FN71" s="168"/>
      <c r="FO71" s="169"/>
      <c r="FP71" s="168"/>
      <c r="FQ71" s="170"/>
      <c r="FR71" s="171"/>
      <c r="FS71" s="68"/>
      <c r="FT71" s="68"/>
      <c r="FU71" s="68"/>
      <c r="FV71" s="167"/>
      <c r="FW71" s="168"/>
      <c r="FX71" s="169"/>
      <c r="FY71" s="168"/>
      <c r="FZ71" s="170"/>
      <c r="GA71" s="171"/>
      <c r="GB71" s="68"/>
      <c r="GC71" s="68"/>
      <c r="GD71" s="68"/>
      <c r="GE71" s="167"/>
      <c r="GF71" s="168"/>
      <c r="GG71" s="169"/>
      <c r="GH71" s="168"/>
      <c r="GI71" s="170"/>
      <c r="GJ71" s="171"/>
      <c r="GK71" s="68"/>
      <c r="GL71" s="68"/>
      <c r="GM71" s="68"/>
      <c r="GN71" s="167"/>
      <c r="GO71" s="168"/>
      <c r="GP71" s="169"/>
      <c r="GQ71" s="168"/>
      <c r="GR71" s="170"/>
      <c r="GS71" s="171"/>
      <c r="GT71" s="171"/>
      <c r="GU71" s="64"/>
      <c r="GV71" s="65"/>
      <c r="GW71" s="66"/>
      <c r="GX71" s="66"/>
      <c r="GY71" s="85"/>
      <c r="GZ71" s="86"/>
    </row>
    <row r="72" spans="1:208" x14ac:dyDescent="0.25">
      <c r="A72"/>
      <c r="D72" s="35"/>
      <c r="E72" s="36"/>
      <c r="F72" s="37"/>
      <c r="G72" s="38"/>
      <c r="H72" s="39"/>
      <c r="I72" s="40"/>
      <c r="J72" s="174"/>
      <c r="K72" s="407"/>
      <c r="L72" s="70"/>
      <c r="M72" s="71"/>
      <c r="N72" s="175"/>
      <c r="O72" s="72"/>
      <c r="P72" s="113">
        <f t="shared" si="5"/>
        <v>0</v>
      </c>
      <c r="Q72" s="117"/>
      <c r="R72" s="117"/>
      <c r="S72" s="117"/>
      <c r="T72" s="39">
        <f t="shared" ref="T72:T79" si="6">Q72*O72</f>
        <v>0</v>
      </c>
      <c r="U72" s="138"/>
      <c r="V72" s="172"/>
      <c r="W72" s="86"/>
      <c r="X72" s="68"/>
      <c r="Y72" s="167"/>
      <c r="Z72" s="168"/>
      <c r="AA72" s="169"/>
      <c r="AB72" s="168"/>
      <c r="AC72" s="170"/>
      <c r="AD72" s="171"/>
      <c r="AE72" s="68"/>
      <c r="AF72" s="68"/>
      <c r="AG72" s="68"/>
      <c r="AH72" s="167"/>
      <c r="AI72" s="168"/>
      <c r="AJ72" s="169"/>
      <c r="AK72" s="168"/>
      <c r="AL72" s="170"/>
      <c r="AM72" s="171"/>
      <c r="AN72" s="68"/>
      <c r="AO72" s="68"/>
      <c r="AP72" s="68"/>
      <c r="AQ72" s="167"/>
      <c r="AR72" s="168"/>
      <c r="AS72" s="169"/>
      <c r="AT72" s="168"/>
      <c r="AU72" s="170"/>
      <c r="AV72" s="171"/>
      <c r="AW72" s="68"/>
      <c r="AX72" s="68"/>
      <c r="AY72" s="68"/>
      <c r="AZ72" s="167"/>
      <c r="BA72" s="168"/>
      <c r="BB72" s="169"/>
      <c r="BC72" s="168"/>
      <c r="BD72" s="170"/>
      <c r="BE72" s="171"/>
      <c r="BF72" s="68"/>
      <c r="BG72" s="68"/>
      <c r="BH72" s="68"/>
      <c r="BI72" s="167"/>
      <c r="BJ72" s="168"/>
      <c r="BK72" s="169"/>
      <c r="BL72" s="168"/>
      <c r="BM72" s="170"/>
      <c r="BN72" s="171"/>
      <c r="BO72" s="68"/>
      <c r="BP72" s="68"/>
      <c r="BQ72" s="68"/>
      <c r="BR72" s="167"/>
      <c r="BS72" s="168"/>
      <c r="BT72" s="169"/>
      <c r="BU72" s="168"/>
      <c r="BV72" s="170"/>
      <c r="BW72" s="171"/>
      <c r="BX72" s="68"/>
      <c r="BY72" s="68"/>
      <c r="BZ72" s="68"/>
      <c r="CA72" s="167"/>
      <c r="CB72" s="168"/>
      <c r="CC72" s="169"/>
      <c r="CD72" s="168"/>
      <c r="CE72" s="170"/>
      <c r="CF72" s="171"/>
      <c r="CG72" s="68"/>
      <c r="CH72" s="68"/>
      <c r="CI72" s="68"/>
      <c r="CJ72" s="167"/>
      <c r="CK72" s="168"/>
      <c r="CL72" s="169"/>
      <c r="CM72" s="168"/>
      <c r="CN72" s="170"/>
      <c r="CO72" s="171"/>
      <c r="CP72" s="68"/>
      <c r="CQ72" s="68"/>
      <c r="CR72" s="68"/>
      <c r="CS72" s="167"/>
      <c r="CT72" s="168"/>
      <c r="CU72" s="169"/>
      <c r="CV72" s="168"/>
      <c r="CW72" s="170"/>
      <c r="CX72" s="171"/>
      <c r="CY72" s="68"/>
      <c r="CZ72" s="68"/>
      <c r="DA72" s="68"/>
      <c r="DB72" s="167"/>
      <c r="DC72" s="168"/>
      <c r="DD72" s="169"/>
      <c r="DE72" s="168"/>
      <c r="DF72" s="170"/>
      <c r="DG72" s="171"/>
      <c r="DH72" s="68"/>
      <c r="DI72" s="68"/>
      <c r="DJ72" s="68"/>
      <c r="DK72" s="167"/>
      <c r="DL72" s="168"/>
      <c r="DM72" s="169"/>
      <c r="DN72" s="168"/>
      <c r="DO72" s="170"/>
      <c r="DP72" s="171"/>
      <c r="DQ72" s="68"/>
      <c r="DR72" s="68"/>
      <c r="DS72" s="68"/>
      <c r="DT72" s="167"/>
      <c r="DU72" s="168"/>
      <c r="DV72" s="169"/>
      <c r="DW72" s="168"/>
      <c r="DX72" s="170"/>
      <c r="DY72" s="171"/>
      <c r="DZ72" s="68"/>
      <c r="EA72" s="68"/>
      <c r="EB72" s="68"/>
      <c r="EC72" s="167"/>
      <c r="ED72" s="168"/>
      <c r="EE72" s="169"/>
      <c r="EF72" s="168"/>
      <c r="EG72" s="170"/>
      <c r="EH72" s="171"/>
      <c r="EI72" s="68"/>
      <c r="EJ72" s="68"/>
      <c r="EK72" s="68"/>
      <c r="EL72" s="167"/>
      <c r="EM72" s="168"/>
      <c r="EN72" s="169"/>
      <c r="EO72" s="168"/>
      <c r="EP72" s="170"/>
      <c r="EQ72" s="171"/>
      <c r="ER72" s="68"/>
      <c r="ES72" s="68"/>
      <c r="ET72" s="68"/>
      <c r="EU72" s="167"/>
      <c r="EV72" s="168"/>
      <c r="EW72" s="169"/>
      <c r="EX72" s="168"/>
      <c r="EY72" s="170"/>
      <c r="EZ72" s="171"/>
      <c r="FA72" s="68"/>
      <c r="FB72" s="68"/>
      <c r="FC72" s="68"/>
      <c r="FD72" s="167"/>
      <c r="FE72" s="168"/>
      <c r="FF72" s="169"/>
      <c r="FG72" s="168"/>
      <c r="FH72" s="170"/>
      <c r="FI72" s="171"/>
      <c r="FJ72" s="68"/>
      <c r="FK72" s="68"/>
      <c r="FL72" s="68"/>
      <c r="FM72" s="167"/>
      <c r="FN72" s="168"/>
      <c r="FO72" s="169"/>
      <c r="FP72" s="168"/>
      <c r="FQ72" s="170"/>
      <c r="FR72" s="171"/>
      <c r="FS72" s="68"/>
      <c r="FT72" s="68"/>
      <c r="FU72" s="68"/>
      <c r="FV72" s="167"/>
      <c r="FW72" s="168"/>
      <c r="FX72" s="169"/>
      <c r="FY72" s="168"/>
      <c r="FZ72" s="170"/>
      <c r="GA72" s="171"/>
      <c r="GB72" s="68"/>
      <c r="GC72" s="68"/>
      <c r="GD72" s="68"/>
      <c r="GE72" s="167"/>
      <c r="GF72" s="168"/>
      <c r="GG72" s="169"/>
      <c r="GH72" s="168"/>
      <c r="GI72" s="170"/>
      <c r="GJ72" s="171"/>
      <c r="GK72" s="68"/>
      <c r="GL72" s="68"/>
      <c r="GM72" s="68"/>
      <c r="GN72" s="167"/>
      <c r="GO72" s="168"/>
      <c r="GP72" s="169"/>
      <c r="GQ72" s="168"/>
      <c r="GR72" s="170"/>
      <c r="GS72" s="171"/>
      <c r="GT72" s="171"/>
      <c r="GU72" s="64"/>
      <c r="GV72" s="65"/>
      <c r="GW72" s="66"/>
      <c r="GX72" s="66"/>
      <c r="GY72" s="176"/>
      <c r="GZ72" s="67"/>
    </row>
    <row r="73" spans="1:208" x14ac:dyDescent="0.25">
      <c r="A73"/>
      <c r="D73" s="35"/>
      <c r="E73" s="36"/>
      <c r="F73" s="37"/>
      <c r="G73" s="38"/>
      <c r="H73" s="39"/>
      <c r="I73" s="40"/>
      <c r="J73" s="177"/>
      <c r="K73" s="452"/>
      <c r="N73" s="179"/>
      <c r="P73" s="27"/>
      <c r="Q73" s="180"/>
      <c r="R73" s="180"/>
      <c r="S73" s="180"/>
      <c r="T73" s="39">
        <f t="shared" si="6"/>
        <v>0</v>
      </c>
      <c r="U73" s="181"/>
      <c r="V73" s="182"/>
      <c r="W73" s="30"/>
      <c r="X73" s="8"/>
      <c r="Y73" s="183"/>
      <c r="Z73" s="184"/>
      <c r="AA73" s="185"/>
      <c r="AB73" s="184"/>
      <c r="AC73" s="186"/>
      <c r="AD73" s="187"/>
      <c r="AE73" s="8"/>
      <c r="AF73" s="8"/>
      <c r="AG73" s="188"/>
      <c r="AH73" s="183"/>
      <c r="AI73" s="184"/>
      <c r="AJ73" s="185"/>
      <c r="AK73" s="28"/>
      <c r="AL73" s="186"/>
      <c r="AM73" s="187"/>
      <c r="AN73" s="8"/>
      <c r="AO73" s="8"/>
      <c r="AP73" s="188"/>
      <c r="AQ73" s="183"/>
      <c r="AR73" s="184"/>
      <c r="AS73" s="185"/>
      <c r="AT73" s="184"/>
      <c r="AU73" s="186"/>
      <c r="AV73" s="187"/>
      <c r="AW73" s="8"/>
      <c r="AX73" s="8"/>
      <c r="AY73" s="188"/>
      <c r="AZ73" s="183"/>
      <c r="BA73" s="184"/>
      <c r="BB73" s="185"/>
      <c r="BC73" s="28"/>
      <c r="BD73" s="186"/>
      <c r="BE73" s="187"/>
      <c r="BF73" s="8"/>
      <c r="BG73" s="8"/>
      <c r="BH73" s="188"/>
      <c r="BI73" s="183"/>
      <c r="BJ73" s="184"/>
      <c r="BK73" s="185"/>
      <c r="BL73" s="28"/>
      <c r="BM73" s="186"/>
      <c r="BN73" s="187"/>
      <c r="BO73" s="8"/>
      <c r="BP73" s="8"/>
      <c r="BQ73" s="188"/>
      <c r="BR73" s="183"/>
      <c r="BS73" s="184"/>
      <c r="BT73" s="185"/>
      <c r="BU73" s="184"/>
      <c r="BV73" s="186"/>
      <c r="BW73" s="187"/>
      <c r="BX73" s="8"/>
      <c r="BY73" s="8"/>
      <c r="BZ73" s="188"/>
      <c r="CA73" s="183"/>
      <c r="CB73" s="184"/>
      <c r="CC73" s="185"/>
      <c r="CD73" s="184"/>
      <c r="CE73" s="186"/>
      <c r="CF73" s="187"/>
      <c r="CG73" s="8"/>
      <c r="CH73" s="8"/>
      <c r="CI73" s="188"/>
      <c r="CJ73" s="183"/>
      <c r="CK73" s="184"/>
      <c r="CL73" s="185"/>
      <c r="CM73" s="184"/>
      <c r="CN73" s="186"/>
      <c r="CO73" s="187"/>
      <c r="CP73" s="8"/>
      <c r="CQ73" s="8"/>
      <c r="CR73" s="188"/>
      <c r="CS73" s="183"/>
      <c r="CT73" s="184"/>
      <c r="CU73" s="189"/>
      <c r="CV73" s="28"/>
      <c r="CW73" s="190"/>
      <c r="CX73" s="187"/>
      <c r="CY73" s="8"/>
      <c r="CZ73" s="8"/>
      <c r="DA73" s="188"/>
      <c r="DB73" s="183"/>
      <c r="DC73" s="184"/>
      <c r="DD73" s="185"/>
      <c r="DE73" s="184"/>
      <c r="DF73" s="186"/>
      <c r="DG73" s="187"/>
      <c r="DH73" s="8"/>
      <c r="DI73" s="8"/>
      <c r="DJ73" s="188"/>
      <c r="DK73" s="183"/>
      <c r="DL73" s="184"/>
      <c r="DM73" s="189"/>
      <c r="DN73" s="28"/>
      <c r="DO73" s="190"/>
      <c r="DP73" s="187"/>
      <c r="DQ73" s="8"/>
      <c r="DR73" s="8"/>
      <c r="DS73" s="188"/>
      <c r="DT73" s="183"/>
      <c r="DU73" s="184"/>
      <c r="DV73" s="185"/>
      <c r="DW73" s="184"/>
      <c r="DX73" s="186"/>
      <c r="DY73" s="187"/>
      <c r="DZ73" s="8"/>
      <c r="EA73" s="8"/>
      <c r="EB73" s="188"/>
      <c r="EC73" s="183"/>
      <c r="ED73" s="184"/>
      <c r="EE73" s="189"/>
      <c r="EF73" s="28"/>
      <c r="EG73" s="190"/>
      <c r="EH73" s="187"/>
      <c r="EI73" s="8"/>
      <c r="EJ73" s="8"/>
      <c r="EK73" s="188"/>
      <c r="EL73" s="183"/>
      <c r="EM73" s="184"/>
      <c r="EN73" s="189"/>
      <c r="EO73" s="28"/>
      <c r="EP73" s="190"/>
      <c r="EQ73" s="187"/>
      <c r="ER73" s="8"/>
      <c r="ES73" s="8"/>
      <c r="ET73" s="188"/>
      <c r="EU73" s="183"/>
      <c r="EV73" s="184"/>
      <c r="EW73" s="185"/>
      <c r="EX73" s="184"/>
      <c r="EY73" s="186"/>
      <c r="EZ73" s="187"/>
      <c r="FA73" s="8"/>
      <c r="FB73" s="8"/>
      <c r="FC73" s="188"/>
      <c r="FD73" s="183"/>
      <c r="FE73" s="184"/>
      <c r="FF73" s="185"/>
      <c r="FG73" s="184"/>
      <c r="FH73" s="186"/>
      <c r="FI73" s="187"/>
      <c r="FJ73" s="8"/>
      <c r="FK73" s="8"/>
      <c r="FL73" s="188"/>
      <c r="FM73" s="183"/>
      <c r="FN73" s="184"/>
      <c r="FO73" s="185"/>
      <c r="FP73" s="184"/>
      <c r="FQ73" s="186"/>
      <c r="FR73" s="187"/>
      <c r="FS73" s="8"/>
      <c r="FT73" s="8"/>
      <c r="FU73" s="188"/>
      <c r="FV73" s="183"/>
      <c r="FW73" s="184"/>
      <c r="FX73" s="185"/>
      <c r="FY73" s="184"/>
      <c r="FZ73" s="186"/>
      <c r="GA73" s="187"/>
      <c r="GB73" s="8"/>
      <c r="GC73" s="8"/>
      <c r="GD73" s="188"/>
      <c r="GE73" s="183"/>
      <c r="GF73" s="184"/>
      <c r="GG73" s="185"/>
      <c r="GH73" s="184"/>
      <c r="GI73" s="186"/>
      <c r="GJ73" s="187"/>
      <c r="GK73" s="8"/>
      <c r="GL73" s="8"/>
      <c r="GM73" s="188"/>
      <c r="GN73" s="183"/>
      <c r="GO73" s="184"/>
      <c r="GP73" s="185"/>
      <c r="GQ73" s="184"/>
      <c r="GR73" s="186"/>
      <c r="GS73" s="187"/>
      <c r="GT73" s="187"/>
      <c r="GU73" s="29"/>
      <c r="GV73" s="191"/>
      <c r="GW73" s="31"/>
      <c r="GX73" s="31"/>
      <c r="GY73" s="32"/>
      <c r="GZ73" s="33"/>
    </row>
    <row r="74" spans="1:208" x14ac:dyDescent="0.25">
      <c r="A74"/>
      <c r="D74" s="35"/>
      <c r="E74" s="36"/>
      <c r="F74" s="37"/>
      <c r="G74" s="38"/>
      <c r="H74" s="39"/>
      <c r="I74" s="40"/>
      <c r="J74" s="177"/>
      <c r="K74" s="452"/>
      <c r="P74" s="27"/>
      <c r="Q74" s="180"/>
      <c r="R74" s="180"/>
      <c r="S74" s="180"/>
      <c r="T74" s="39">
        <f t="shared" si="6"/>
        <v>0</v>
      </c>
      <c r="U74" s="181"/>
      <c r="V74" s="182"/>
      <c r="W74" s="30"/>
      <c r="X74" s="8"/>
      <c r="Y74" s="183"/>
      <c r="Z74" s="184"/>
      <c r="AA74" s="185"/>
      <c r="AB74" s="184"/>
      <c r="AC74" s="186"/>
      <c r="AD74" s="187"/>
      <c r="AE74" s="8"/>
      <c r="AF74" s="8"/>
      <c r="AG74" s="188"/>
      <c r="AH74" s="183"/>
      <c r="AI74" s="184"/>
      <c r="AJ74" s="185"/>
      <c r="AK74" s="28"/>
      <c r="AL74" s="186"/>
      <c r="AM74" s="187"/>
      <c r="AN74" s="8"/>
      <c r="AO74" s="8"/>
      <c r="AP74" s="188"/>
      <c r="AQ74" s="183"/>
      <c r="AR74" s="184"/>
      <c r="AS74" s="185"/>
      <c r="AT74" s="184"/>
      <c r="AU74" s="186"/>
      <c r="AV74" s="187"/>
      <c r="AW74" s="8"/>
      <c r="AX74" s="8"/>
      <c r="AY74" s="188"/>
      <c r="AZ74" s="183"/>
      <c r="BA74" s="184"/>
      <c r="BB74" s="185"/>
      <c r="BC74" s="28"/>
      <c r="BD74" s="186"/>
      <c r="BE74" s="187"/>
      <c r="BF74" s="8"/>
      <c r="BG74" s="8"/>
      <c r="BH74" s="188"/>
      <c r="BI74" s="183"/>
      <c r="BJ74" s="184"/>
      <c r="BK74" s="185"/>
      <c r="BL74" s="28"/>
      <c r="BM74" s="186"/>
      <c r="BN74" s="187"/>
      <c r="BO74" s="8"/>
      <c r="BP74" s="8"/>
      <c r="BQ74" s="188"/>
      <c r="BR74" s="183"/>
      <c r="BS74" s="184"/>
      <c r="BT74" s="185"/>
      <c r="BU74" s="184"/>
      <c r="BV74" s="186"/>
      <c r="BW74" s="187"/>
      <c r="BX74" s="8"/>
      <c r="BY74" s="8"/>
      <c r="BZ74" s="188"/>
      <c r="CA74" s="183"/>
      <c r="CB74" s="184"/>
      <c r="CC74" s="185"/>
      <c r="CD74" s="184"/>
      <c r="CE74" s="186"/>
      <c r="CF74" s="187"/>
      <c r="CG74" s="8"/>
      <c r="CH74" s="8"/>
      <c r="CI74" s="188"/>
      <c r="CJ74" s="183"/>
      <c r="CK74" s="184"/>
      <c r="CL74" s="185"/>
      <c r="CM74" s="184"/>
      <c r="CN74" s="186"/>
      <c r="CO74" s="187"/>
      <c r="CP74" s="8"/>
      <c r="CQ74" s="8"/>
      <c r="CR74" s="188"/>
      <c r="CS74" s="183"/>
      <c r="CT74" s="184"/>
      <c r="CU74" s="189"/>
      <c r="CV74" s="28"/>
      <c r="CW74" s="190"/>
      <c r="CX74" s="187"/>
      <c r="CY74" s="8"/>
      <c r="CZ74" s="8"/>
      <c r="DA74" s="188"/>
      <c r="DB74" s="183"/>
      <c r="DC74" s="184"/>
      <c r="DD74" s="185"/>
      <c r="DE74" s="184"/>
      <c r="DF74" s="186"/>
      <c r="DG74" s="187"/>
      <c r="DH74" s="8"/>
      <c r="DI74" s="8"/>
      <c r="DJ74" s="188"/>
      <c r="DK74" s="183"/>
      <c r="DL74" s="184"/>
      <c r="DM74" s="189"/>
      <c r="DN74" s="28"/>
      <c r="DO74" s="190"/>
      <c r="DP74" s="187"/>
      <c r="DQ74" s="8"/>
      <c r="DR74" s="8"/>
      <c r="DS74" s="188"/>
      <c r="DT74" s="183"/>
      <c r="DU74" s="184"/>
      <c r="DV74" s="185"/>
      <c r="DW74" s="184"/>
      <c r="DX74" s="186"/>
      <c r="DY74" s="187"/>
      <c r="DZ74" s="8"/>
      <c r="EA74" s="8"/>
      <c r="EB74" s="188"/>
      <c r="EC74" s="183"/>
      <c r="ED74" s="184"/>
      <c r="EE74" s="189"/>
      <c r="EF74" s="28"/>
      <c r="EG74" s="190"/>
      <c r="EH74" s="187"/>
      <c r="EI74" s="8"/>
      <c r="EJ74" s="8"/>
      <c r="EK74" s="188"/>
      <c r="EL74" s="183"/>
      <c r="EM74" s="184"/>
      <c r="EN74" s="189"/>
      <c r="EO74" s="28"/>
      <c r="EP74" s="190"/>
      <c r="EQ74" s="187"/>
      <c r="ER74" s="8"/>
      <c r="ES74" s="8"/>
      <c r="ET74" s="188"/>
      <c r="EU74" s="183"/>
      <c r="EV74" s="184"/>
      <c r="EW74" s="185"/>
      <c r="EX74" s="184"/>
      <c r="EY74" s="186"/>
      <c r="EZ74" s="187"/>
      <c r="FA74" s="8"/>
      <c r="FB74" s="8"/>
      <c r="FC74" s="188"/>
      <c r="FD74" s="183"/>
      <c r="FE74" s="184"/>
      <c r="FF74" s="185"/>
      <c r="FG74" s="184"/>
      <c r="FH74" s="186"/>
      <c r="FI74" s="187"/>
      <c r="FJ74" s="8"/>
      <c r="FK74" s="8"/>
      <c r="FL74" s="188"/>
      <c r="FM74" s="183"/>
      <c r="FN74" s="184"/>
      <c r="FO74" s="185"/>
      <c r="FP74" s="184"/>
      <c r="FQ74" s="186"/>
      <c r="FR74" s="187"/>
      <c r="FS74" s="8"/>
      <c r="FT74" s="8"/>
      <c r="FU74" s="188"/>
      <c r="FV74" s="183"/>
      <c r="FW74" s="184"/>
      <c r="FX74" s="185"/>
      <c r="FY74" s="184"/>
      <c r="FZ74" s="186"/>
      <c r="GA74" s="187"/>
      <c r="GB74" s="8"/>
      <c r="GC74" s="8"/>
      <c r="GD74" s="188"/>
      <c r="GE74" s="183"/>
      <c r="GF74" s="184"/>
      <c r="GG74" s="185"/>
      <c r="GH74" s="184"/>
      <c r="GI74" s="186"/>
      <c r="GJ74" s="187"/>
      <c r="GK74" s="8"/>
      <c r="GL74" s="8"/>
      <c r="GM74" s="188"/>
      <c r="GN74" s="183"/>
      <c r="GO74" s="184"/>
      <c r="GP74" s="185"/>
      <c r="GQ74" s="184"/>
      <c r="GR74" s="186"/>
      <c r="GS74" s="187"/>
      <c r="GT74" s="187"/>
      <c r="GU74" s="29"/>
      <c r="GV74" s="191"/>
      <c r="GW74" s="31"/>
      <c r="GX74" s="31"/>
      <c r="GY74" s="32"/>
      <c r="GZ74" s="33"/>
    </row>
    <row r="75" spans="1:208" ht="16.5" thickBot="1" x14ac:dyDescent="0.3">
      <c r="A75"/>
      <c r="D75" s="35"/>
      <c r="E75" s="36"/>
      <c r="F75" s="37"/>
      <c r="G75" s="38"/>
      <c r="H75" s="39"/>
      <c r="I75" s="40"/>
      <c r="J75" s="177"/>
      <c r="K75" s="452"/>
      <c r="O75" s="192"/>
      <c r="P75" s="27"/>
      <c r="Q75" s="180"/>
      <c r="R75" s="180"/>
      <c r="S75" s="180"/>
      <c r="T75" s="39">
        <f t="shared" si="6"/>
        <v>0</v>
      </c>
      <c r="U75" s="181"/>
      <c r="V75" s="182"/>
      <c r="W75" s="30"/>
      <c r="X75" s="8"/>
      <c r="Y75" s="183"/>
      <c r="Z75" s="184"/>
      <c r="AA75" s="185"/>
      <c r="AB75" s="184"/>
      <c r="AC75" s="186"/>
      <c r="AD75" s="187"/>
      <c r="AE75" s="8"/>
      <c r="AF75" s="8"/>
      <c r="AG75" s="188"/>
      <c r="AH75" s="183"/>
      <c r="AI75" s="184"/>
      <c r="AJ75" s="185"/>
      <c r="AK75" s="28"/>
      <c r="AL75" s="186"/>
      <c r="AM75" s="187"/>
      <c r="AN75" s="8"/>
      <c r="AO75" s="8"/>
      <c r="AP75" s="188"/>
      <c r="AQ75" s="183"/>
      <c r="AR75" s="184"/>
      <c r="AS75" s="185"/>
      <c r="AT75" s="184"/>
      <c r="AU75" s="186"/>
      <c r="AV75" s="187"/>
      <c r="AW75" s="8"/>
      <c r="AX75" s="8"/>
      <c r="AY75" s="188"/>
      <c r="AZ75" s="183"/>
      <c r="BA75" s="184"/>
      <c r="BB75" s="185"/>
      <c r="BC75" s="28"/>
      <c r="BD75" s="186"/>
      <c r="BE75" s="187"/>
      <c r="BF75" s="8"/>
      <c r="BG75" s="8"/>
      <c r="BH75" s="188"/>
      <c r="BI75" s="183"/>
      <c r="BJ75" s="184"/>
      <c r="BK75" s="185"/>
      <c r="BL75" s="28"/>
      <c r="BM75" s="186"/>
      <c r="BN75" s="187"/>
      <c r="BO75" s="8"/>
      <c r="BP75" s="8"/>
      <c r="BQ75" s="188"/>
      <c r="BR75" s="183"/>
      <c r="BS75" s="184"/>
      <c r="BT75" s="185"/>
      <c r="BU75" s="184"/>
      <c r="BV75" s="186"/>
      <c r="BW75" s="187"/>
      <c r="BX75" s="8"/>
      <c r="BY75" s="8"/>
      <c r="BZ75" s="188"/>
      <c r="CA75" s="183"/>
      <c r="CB75" s="184"/>
      <c r="CC75" s="185"/>
      <c r="CD75" s="184"/>
      <c r="CE75" s="186"/>
      <c r="CF75" s="187"/>
      <c r="CG75" s="8"/>
      <c r="CH75" s="8"/>
      <c r="CI75" s="188"/>
      <c r="CJ75" s="183"/>
      <c r="CK75" s="184"/>
      <c r="CL75" s="185"/>
      <c r="CM75" s="184"/>
      <c r="CN75" s="186"/>
      <c r="CO75" s="187"/>
      <c r="CP75" s="8"/>
      <c r="CQ75" s="8"/>
      <c r="CR75" s="188"/>
      <c r="CS75" s="183"/>
      <c r="CT75" s="184"/>
      <c r="CU75" s="189"/>
      <c r="CV75" s="28"/>
      <c r="CW75" s="190"/>
      <c r="CX75" s="187"/>
      <c r="CY75" s="8"/>
      <c r="CZ75" s="8"/>
      <c r="DA75" s="188"/>
      <c r="DB75" s="183"/>
      <c r="DC75" s="184"/>
      <c r="DD75" s="185"/>
      <c r="DE75" s="184"/>
      <c r="DF75" s="186"/>
      <c r="DG75" s="187"/>
      <c r="DH75" s="8"/>
      <c r="DI75" s="8"/>
      <c r="DJ75" s="188"/>
      <c r="DK75" s="183"/>
      <c r="DL75" s="184"/>
      <c r="DM75" s="189"/>
      <c r="DN75" s="28"/>
      <c r="DO75" s="190"/>
      <c r="DP75" s="187"/>
      <c r="DQ75" s="8"/>
      <c r="DR75" s="8"/>
      <c r="DS75" s="188"/>
      <c r="DT75" s="183"/>
      <c r="DU75" s="184"/>
      <c r="DV75" s="185"/>
      <c r="DW75" s="184"/>
      <c r="DX75" s="186"/>
      <c r="DY75" s="187"/>
      <c r="DZ75" s="8"/>
      <c r="EA75" s="8"/>
      <c r="EB75" s="188"/>
      <c r="EC75" s="183"/>
      <c r="ED75" s="184"/>
      <c r="EE75" s="189"/>
      <c r="EF75" s="28"/>
      <c r="EG75" s="190"/>
      <c r="EH75" s="187"/>
      <c r="EI75" s="8"/>
      <c r="EJ75" s="8"/>
      <c r="EK75" s="188"/>
      <c r="EL75" s="183"/>
      <c r="EM75" s="184"/>
      <c r="EN75" s="189"/>
      <c r="EO75" s="28"/>
      <c r="EP75" s="190"/>
      <c r="EQ75" s="187"/>
      <c r="ER75" s="8"/>
      <c r="ES75" s="8"/>
      <c r="ET75" s="188"/>
      <c r="EU75" s="183"/>
      <c r="EV75" s="184"/>
      <c r="EW75" s="185"/>
      <c r="EX75" s="184"/>
      <c r="EY75" s="186"/>
      <c r="EZ75" s="187"/>
      <c r="FA75" s="8"/>
      <c r="FB75" s="8"/>
      <c r="FC75" s="188"/>
      <c r="FD75" s="183"/>
      <c r="FE75" s="184"/>
      <c r="FF75" s="185"/>
      <c r="FG75" s="184"/>
      <c r="FH75" s="186"/>
      <c r="FI75" s="187"/>
      <c r="FJ75" s="8"/>
      <c r="FK75" s="8"/>
      <c r="FL75" s="188"/>
      <c r="FM75" s="183"/>
      <c r="FN75" s="184"/>
      <c r="FO75" s="185"/>
      <c r="FP75" s="184"/>
      <c r="FQ75" s="186"/>
      <c r="FR75" s="187"/>
      <c r="FS75" s="8"/>
      <c r="FT75" s="8"/>
      <c r="FU75" s="188"/>
      <c r="FV75" s="183"/>
      <c r="FW75" s="184"/>
      <c r="FX75" s="185"/>
      <c r="FY75" s="184"/>
      <c r="FZ75" s="186"/>
      <c r="GA75" s="187"/>
      <c r="GB75" s="8"/>
      <c r="GC75" s="8"/>
      <c r="GD75" s="188"/>
      <c r="GE75" s="183"/>
      <c r="GF75" s="184"/>
      <c r="GG75" s="185"/>
      <c r="GH75" s="184"/>
      <c r="GI75" s="186"/>
      <c r="GJ75" s="187"/>
      <c r="GK75" s="8"/>
      <c r="GL75" s="8"/>
      <c r="GM75" s="188"/>
      <c r="GN75" s="183"/>
      <c r="GO75" s="184"/>
      <c r="GP75" s="185"/>
      <c r="GQ75" s="184"/>
      <c r="GR75" s="186"/>
      <c r="GS75" s="187"/>
      <c r="GT75" s="187"/>
      <c r="GU75" s="29"/>
      <c r="GV75" s="191"/>
      <c r="GW75" s="31"/>
      <c r="GX75" s="31"/>
      <c r="GY75" s="32"/>
      <c r="GZ75" s="33"/>
    </row>
    <row r="76" spans="1:208" ht="20.25" thickTop="1" thickBot="1" x14ac:dyDescent="0.35">
      <c r="A76"/>
      <c r="D76" s="35"/>
      <c r="E76" s="36"/>
      <c r="F76" s="37"/>
      <c r="G76" s="38"/>
      <c r="H76" s="39"/>
      <c r="I76" s="40"/>
      <c r="J76" s="177"/>
      <c r="K76" s="452"/>
      <c r="M76" s="870" t="s">
        <v>28</v>
      </c>
      <c r="N76" s="871"/>
      <c r="O76" s="872">
        <f>SUM(O9:O75)</f>
        <v>725568.11</v>
      </c>
      <c r="P76" s="193"/>
      <c r="Q76" s="180"/>
      <c r="R76" s="194"/>
      <c r="S76" s="180"/>
      <c r="T76" s="39">
        <f t="shared" si="6"/>
        <v>0</v>
      </c>
      <c r="U76" s="181"/>
      <c r="V76" s="182"/>
      <c r="W76" s="30"/>
      <c r="X76" s="195"/>
      <c r="Y76" s="196"/>
      <c r="Z76" s="197"/>
      <c r="AA76" s="198"/>
      <c r="AB76" s="197"/>
      <c r="AC76" s="199"/>
      <c r="AD76" s="200"/>
      <c r="AE76" s="195"/>
      <c r="AF76" s="195"/>
      <c r="AG76" s="201"/>
      <c r="AH76" s="196"/>
      <c r="AI76" s="197"/>
      <c r="AJ76" s="198"/>
      <c r="AK76" s="202"/>
      <c r="AL76" s="199"/>
      <c r="AM76" s="200"/>
      <c r="AN76" s="195"/>
      <c r="AO76" s="195"/>
      <c r="AP76" s="201"/>
      <c r="AQ76" s="196"/>
      <c r="AR76" s="197"/>
      <c r="AS76" s="198"/>
      <c r="AT76" s="197"/>
      <c r="AU76" s="199"/>
      <c r="AV76" s="200"/>
      <c r="AW76" s="195"/>
      <c r="AX76" s="195"/>
      <c r="AY76" s="201"/>
      <c r="AZ76" s="196"/>
      <c r="BA76" s="197"/>
      <c r="BB76" s="198"/>
      <c r="BC76" s="202"/>
      <c r="BD76" s="199"/>
      <c r="BE76" s="200"/>
      <c r="BF76" s="195"/>
      <c r="BG76" s="195"/>
      <c r="BH76" s="201"/>
      <c r="BI76" s="196"/>
      <c r="BJ76" s="197"/>
      <c r="BK76" s="198"/>
      <c r="BL76" s="202"/>
      <c r="BM76" s="199"/>
      <c r="BN76" s="200"/>
      <c r="BO76" s="195"/>
      <c r="BP76" s="195"/>
      <c r="BQ76" s="201"/>
      <c r="BR76" s="196"/>
      <c r="BS76" s="197"/>
      <c r="BT76" s="198"/>
      <c r="BU76" s="197"/>
      <c r="BV76" s="199"/>
      <c r="BW76" s="200"/>
      <c r="BX76" s="195"/>
      <c r="BY76" s="195"/>
      <c r="BZ76" s="201"/>
      <c r="CA76" s="196"/>
      <c r="CB76" s="197"/>
      <c r="CC76" s="198"/>
      <c r="CD76" s="197"/>
      <c r="CE76" s="199"/>
      <c r="CF76" s="200"/>
      <c r="CG76" s="195"/>
      <c r="CH76" s="195"/>
      <c r="CI76" s="201"/>
      <c r="CJ76" s="196"/>
      <c r="CK76" s="197"/>
      <c r="CL76" s="198"/>
      <c r="CM76" s="197"/>
      <c r="CN76" s="199"/>
      <c r="CO76" s="200"/>
      <c r="CP76" s="195"/>
      <c r="CQ76" s="195"/>
      <c r="CR76" s="201"/>
      <c r="CS76" s="196"/>
      <c r="CT76" s="197"/>
      <c r="CU76" s="203"/>
      <c r="CV76" s="202"/>
      <c r="CW76" s="204"/>
      <c r="CX76" s="200"/>
      <c r="CY76" s="195"/>
      <c r="CZ76" s="195"/>
      <c r="DA76" s="201"/>
      <c r="DB76" s="196"/>
      <c r="DC76" s="197"/>
      <c r="DD76" s="198"/>
      <c r="DE76" s="197"/>
      <c r="DF76" s="199"/>
      <c r="DG76" s="200"/>
      <c r="DH76" s="195"/>
      <c r="DI76" s="195"/>
      <c r="DJ76" s="201"/>
      <c r="DK76" s="196"/>
      <c r="DL76" s="197"/>
      <c r="DM76" s="203"/>
      <c r="DN76" s="202"/>
      <c r="DO76" s="204"/>
      <c r="DP76" s="200"/>
      <c r="DQ76" s="195"/>
      <c r="DR76" s="195"/>
      <c r="DS76" s="201"/>
      <c r="DT76" s="196"/>
      <c r="DU76" s="197"/>
      <c r="DV76" s="198"/>
      <c r="DW76" s="197"/>
      <c r="DX76" s="199"/>
      <c r="DY76" s="200"/>
      <c r="DZ76" s="195"/>
      <c r="EA76" s="195"/>
      <c r="EB76" s="201"/>
      <c r="EC76" s="196"/>
      <c r="ED76" s="197"/>
      <c r="EE76" s="203"/>
      <c r="EF76" s="202"/>
      <c r="EG76" s="204"/>
      <c r="EH76" s="200"/>
      <c r="EI76" s="195"/>
      <c r="EJ76" s="195"/>
      <c r="EK76" s="201"/>
      <c r="EL76" s="196"/>
      <c r="EM76" s="197"/>
      <c r="EN76" s="203"/>
      <c r="EO76" s="202"/>
      <c r="EP76" s="204"/>
      <c r="EQ76" s="200"/>
      <c r="ER76" s="195"/>
      <c r="ES76" s="195"/>
      <c r="ET76" s="201"/>
      <c r="EU76" s="196"/>
      <c r="EV76" s="197"/>
      <c r="EW76" s="198"/>
      <c r="EX76" s="197"/>
      <c r="EY76" s="199"/>
      <c r="EZ76" s="200"/>
      <c r="FA76" s="195"/>
      <c r="FB76" s="195"/>
      <c r="FC76" s="201"/>
      <c r="FD76" s="196"/>
      <c r="FE76" s="197"/>
      <c r="FF76" s="198"/>
      <c r="FG76" s="197"/>
      <c r="FH76" s="199"/>
      <c r="FI76" s="200"/>
      <c r="FJ76" s="195"/>
      <c r="FK76" s="195"/>
      <c r="FL76" s="201"/>
      <c r="FM76" s="196"/>
      <c r="FN76" s="197"/>
      <c r="FO76" s="198"/>
      <c r="FP76" s="197"/>
      <c r="FQ76" s="199"/>
      <c r="FR76" s="200"/>
      <c r="FS76" s="195"/>
      <c r="FT76" s="195"/>
      <c r="FU76" s="201"/>
      <c r="FV76" s="196"/>
      <c r="FW76" s="197"/>
      <c r="FX76" s="198"/>
      <c r="FY76" s="197"/>
      <c r="FZ76" s="199"/>
      <c r="GA76" s="200"/>
      <c r="GB76" s="195"/>
      <c r="GC76" s="195"/>
      <c r="GD76" s="201"/>
      <c r="GE76" s="196"/>
      <c r="GF76" s="197"/>
      <c r="GG76" s="198"/>
      <c r="GH76" s="197"/>
      <c r="GI76" s="199"/>
      <c r="GJ76" s="200"/>
      <c r="GK76" s="195"/>
      <c r="GL76" s="195"/>
      <c r="GM76" s="201"/>
      <c r="GN76" s="196"/>
      <c r="GO76" s="197"/>
      <c r="GP76" s="198"/>
      <c r="GQ76" s="197"/>
      <c r="GR76" s="199"/>
      <c r="GS76" s="200"/>
      <c r="GT76" s="187"/>
      <c r="GU76" s="29"/>
      <c r="GV76" s="205"/>
      <c r="GZ76" s="33"/>
    </row>
    <row r="77" spans="1:208" ht="19.5" thickBot="1" x14ac:dyDescent="0.3">
      <c r="A77"/>
      <c r="D77" s="35"/>
      <c r="E77" s="36"/>
      <c r="F77" s="37"/>
      <c r="G77" s="38"/>
      <c r="H77" s="39"/>
      <c r="I77" s="40"/>
      <c r="J77" s="208"/>
      <c r="K77" s="452"/>
      <c r="O77" s="873"/>
      <c r="P77" s="193"/>
      <c r="Q77" s="180"/>
      <c r="R77" s="194"/>
      <c r="S77" s="180"/>
      <c r="T77" s="39">
        <f t="shared" si="6"/>
        <v>0</v>
      </c>
      <c r="U77" s="181"/>
      <c r="V77" s="182"/>
      <c r="W77" s="30"/>
      <c r="X77" s="195"/>
      <c r="Y77" s="196"/>
      <c r="Z77" s="197"/>
      <c r="AA77" s="198"/>
      <c r="AB77" s="197"/>
      <c r="AC77" s="199"/>
      <c r="AD77" s="200"/>
      <c r="AE77" s="195"/>
      <c r="AF77" s="195"/>
      <c r="AG77" s="201"/>
      <c r="AH77" s="196"/>
      <c r="AI77" s="197"/>
      <c r="AJ77" s="198"/>
      <c r="AK77" s="202"/>
      <c r="AL77" s="199"/>
      <c r="AM77" s="200"/>
      <c r="AN77" s="195"/>
      <c r="AO77" s="195"/>
      <c r="AP77" s="201"/>
      <c r="AQ77" s="196"/>
      <c r="AR77" s="197"/>
      <c r="AS77" s="198"/>
      <c r="AT77" s="197"/>
      <c r="AU77" s="199"/>
      <c r="AV77" s="200"/>
      <c r="AW77" s="195"/>
      <c r="AX77" s="195"/>
      <c r="AY77" s="201"/>
      <c r="AZ77" s="196"/>
      <c r="BA77" s="197"/>
      <c r="BB77" s="198"/>
      <c r="BC77" s="202"/>
      <c r="BD77" s="199"/>
      <c r="BE77" s="200"/>
      <c r="BF77" s="195"/>
      <c r="BG77" s="195"/>
      <c r="BH77" s="201"/>
      <c r="BI77" s="196"/>
      <c r="BJ77" s="197"/>
      <c r="BK77" s="198"/>
      <c r="BL77" s="202"/>
      <c r="BM77" s="199"/>
      <c r="BN77" s="200"/>
      <c r="BO77" s="195"/>
      <c r="BP77" s="195"/>
      <c r="BQ77" s="201"/>
      <c r="BR77" s="196"/>
      <c r="BS77" s="197"/>
      <c r="BT77" s="198"/>
      <c r="BU77" s="197"/>
      <c r="BV77" s="199"/>
      <c r="BW77" s="200"/>
      <c r="BX77" s="195"/>
      <c r="BY77" s="195"/>
      <c r="BZ77" s="201"/>
      <c r="CA77" s="196"/>
      <c r="CB77" s="197"/>
      <c r="CC77" s="198"/>
      <c r="CD77" s="197"/>
      <c r="CE77" s="199"/>
      <c r="CF77" s="200"/>
      <c r="CG77" s="195"/>
      <c r="CH77" s="195"/>
      <c r="CI77" s="201"/>
      <c r="CJ77" s="196"/>
      <c r="CK77" s="197"/>
      <c r="CL77" s="198"/>
      <c r="CM77" s="197"/>
      <c r="CN77" s="199"/>
      <c r="CO77" s="200"/>
      <c r="CP77" s="195"/>
      <c r="CQ77" s="195"/>
      <c r="CR77" s="201"/>
      <c r="CS77" s="196"/>
      <c r="CT77" s="197"/>
      <c r="CU77" s="203"/>
      <c r="CV77" s="202"/>
      <c r="CW77" s="204"/>
      <c r="CX77" s="200"/>
      <c r="CY77" s="195"/>
      <c r="CZ77" s="195"/>
      <c r="DA77" s="201"/>
      <c r="DB77" s="196"/>
      <c r="DC77" s="197"/>
      <c r="DD77" s="198"/>
      <c r="DE77" s="197"/>
      <c r="DF77" s="199"/>
      <c r="DG77" s="200"/>
      <c r="DH77" s="195"/>
      <c r="DI77" s="195"/>
      <c r="DJ77" s="201"/>
      <c r="DK77" s="196"/>
      <c r="DL77" s="197"/>
      <c r="DM77" s="203"/>
      <c r="DN77" s="202"/>
      <c r="DO77" s="204"/>
      <c r="DP77" s="200"/>
      <c r="DQ77" s="195"/>
      <c r="DR77" s="195"/>
      <c r="DS77" s="201"/>
      <c r="DT77" s="196"/>
      <c r="DU77" s="197"/>
      <c r="DV77" s="198"/>
      <c r="DW77" s="197"/>
      <c r="DX77" s="199"/>
      <c r="DY77" s="200"/>
      <c r="DZ77" s="195"/>
      <c r="EA77" s="195"/>
      <c r="EB77" s="201"/>
      <c r="EC77" s="196"/>
      <c r="ED77" s="197"/>
      <c r="EE77" s="203"/>
      <c r="EF77" s="202"/>
      <c r="EG77" s="204"/>
      <c r="EH77" s="200"/>
      <c r="EI77" s="195"/>
      <c r="EJ77" s="195"/>
      <c r="EK77" s="201"/>
      <c r="EL77" s="196"/>
      <c r="EM77" s="197"/>
      <c r="EN77" s="203"/>
      <c r="EO77" s="202"/>
      <c r="EP77" s="204"/>
      <c r="EQ77" s="200"/>
      <c r="ER77" s="195"/>
      <c r="ES77" s="195"/>
      <c r="ET77" s="201"/>
      <c r="EU77" s="196"/>
      <c r="EV77" s="197"/>
      <c r="EW77" s="198"/>
      <c r="EX77" s="197"/>
      <c r="EY77" s="199"/>
      <c r="EZ77" s="200"/>
      <c r="FA77" s="195"/>
      <c r="FB77" s="195"/>
      <c r="FC77" s="201"/>
      <c r="FD77" s="196"/>
      <c r="FE77" s="197"/>
      <c r="FF77" s="198"/>
      <c r="FG77" s="197"/>
      <c r="FH77" s="199"/>
      <c r="FI77" s="200"/>
      <c r="FJ77" s="195"/>
      <c r="FK77" s="195"/>
      <c r="FL77" s="201"/>
      <c r="FM77" s="196"/>
      <c r="FN77" s="197"/>
      <c r="FO77" s="198"/>
      <c r="FP77" s="197"/>
      <c r="FQ77" s="199"/>
      <c r="FR77" s="200"/>
      <c r="FS77" s="195"/>
      <c r="FT77" s="195"/>
      <c r="FU77" s="201"/>
      <c r="FV77" s="196"/>
      <c r="FW77" s="197"/>
      <c r="FX77" s="198"/>
      <c r="FY77" s="197"/>
      <c r="FZ77" s="199"/>
      <c r="GA77" s="200"/>
      <c r="GB77" s="195"/>
      <c r="GC77" s="195"/>
      <c r="GD77" s="201"/>
      <c r="GE77" s="196"/>
      <c r="GF77" s="197"/>
      <c r="GG77" s="198"/>
      <c r="GH77" s="197"/>
      <c r="GI77" s="199"/>
      <c r="GJ77" s="200"/>
      <c r="GK77" s="195"/>
      <c r="GL77" s="195"/>
      <c r="GM77" s="201"/>
      <c r="GN77" s="196"/>
      <c r="GO77" s="197"/>
      <c r="GP77" s="198"/>
      <c r="GQ77" s="197"/>
      <c r="GR77" s="199"/>
      <c r="GS77" s="200"/>
      <c r="GT77" s="187"/>
      <c r="GU77" s="29"/>
      <c r="GV77" s="205"/>
      <c r="GZ77" s="33"/>
    </row>
    <row r="78" spans="1:208" ht="16.5" thickTop="1" x14ac:dyDescent="0.25">
      <c r="A78"/>
      <c r="D78" s="35"/>
      <c r="E78" s="36"/>
      <c r="F78" s="37"/>
      <c r="G78" s="38"/>
      <c r="H78" s="39"/>
      <c r="I78" s="40"/>
      <c r="J78" s="177"/>
      <c r="K78" s="452"/>
      <c r="P78" s="27"/>
      <c r="Q78" s="180"/>
      <c r="R78" s="180"/>
      <c r="S78" s="180"/>
      <c r="T78" s="39">
        <f t="shared" si="6"/>
        <v>0</v>
      </c>
      <c r="U78" s="181"/>
      <c r="V78" s="182"/>
      <c r="W78" s="30"/>
      <c r="X78" s="195"/>
      <c r="Y78" s="196"/>
      <c r="Z78" s="197"/>
      <c r="AA78" s="198"/>
      <c r="AB78" s="197"/>
      <c r="AC78" s="199"/>
      <c r="AD78" s="200"/>
      <c r="AE78" s="195"/>
      <c r="AF78" s="195"/>
      <c r="AG78" s="201"/>
      <c r="AH78" s="196"/>
      <c r="AI78" s="197"/>
      <c r="AJ78" s="198"/>
      <c r="AK78" s="202"/>
      <c r="AL78" s="199"/>
      <c r="AM78" s="200"/>
      <c r="AN78" s="195"/>
      <c r="AO78" s="195"/>
      <c r="AP78" s="201"/>
      <c r="AQ78" s="196"/>
      <c r="AR78" s="197"/>
      <c r="AS78" s="198"/>
      <c r="AT78" s="197"/>
      <c r="AU78" s="199"/>
      <c r="AV78" s="200"/>
      <c r="AW78" s="195"/>
      <c r="AX78" s="195"/>
      <c r="AY78" s="201"/>
      <c r="AZ78" s="196"/>
      <c r="BA78" s="197"/>
      <c r="BB78" s="198"/>
      <c r="BC78" s="202"/>
      <c r="BD78" s="199"/>
      <c r="BE78" s="200"/>
      <c r="BF78" s="195"/>
      <c r="BG78" s="195"/>
      <c r="BH78" s="201"/>
      <c r="BI78" s="196"/>
      <c r="BJ78" s="197"/>
      <c r="BK78" s="198"/>
      <c r="BL78" s="202"/>
      <c r="BM78" s="199"/>
      <c r="BN78" s="200"/>
      <c r="BO78" s="195"/>
      <c r="BP78" s="195"/>
      <c r="BQ78" s="201"/>
      <c r="BR78" s="196"/>
      <c r="BS78" s="197"/>
      <c r="BT78" s="198"/>
      <c r="BU78" s="197"/>
      <c r="BV78" s="199"/>
      <c r="BW78" s="200"/>
      <c r="BX78" s="195"/>
      <c r="BY78" s="195"/>
      <c r="BZ78" s="201"/>
      <c r="CA78" s="196"/>
      <c r="CB78" s="197"/>
      <c r="CC78" s="198"/>
      <c r="CD78" s="197"/>
      <c r="CE78" s="199"/>
      <c r="CF78" s="200"/>
      <c r="CG78" s="195"/>
      <c r="CH78" s="195"/>
      <c r="CI78" s="201"/>
      <c r="CJ78" s="196"/>
      <c r="CK78" s="197"/>
      <c r="CL78" s="198"/>
      <c r="CM78" s="197"/>
      <c r="CN78" s="199"/>
      <c r="CO78" s="200"/>
      <c r="CP78" s="195"/>
      <c r="CQ78" s="195"/>
      <c r="CR78" s="201"/>
      <c r="CS78" s="196"/>
      <c r="CT78" s="197"/>
      <c r="CU78" s="203"/>
      <c r="CV78" s="202"/>
      <c r="CW78" s="204"/>
      <c r="CX78" s="200"/>
      <c r="CY78" s="195"/>
      <c r="CZ78" s="195"/>
      <c r="DA78" s="201"/>
      <c r="DB78" s="196"/>
      <c r="DC78" s="197"/>
      <c r="DD78" s="198"/>
      <c r="DE78" s="197"/>
      <c r="DF78" s="199"/>
      <c r="DG78" s="200"/>
      <c r="DH78" s="195"/>
      <c r="DI78" s="195"/>
      <c r="DJ78" s="201"/>
      <c r="DK78" s="196"/>
      <c r="DL78" s="197"/>
      <c r="DM78" s="203"/>
      <c r="DN78" s="202"/>
      <c r="DO78" s="204"/>
      <c r="DP78" s="200"/>
      <c r="DQ78" s="195"/>
      <c r="DR78" s="195"/>
      <c r="DS78" s="201"/>
      <c r="DT78" s="196"/>
      <c r="DU78" s="197"/>
      <c r="DV78" s="198"/>
      <c r="DW78" s="197"/>
      <c r="DX78" s="199"/>
      <c r="DY78" s="200"/>
      <c r="DZ78" s="195"/>
      <c r="EA78" s="195"/>
      <c r="EB78" s="201"/>
      <c r="EC78" s="196"/>
      <c r="ED78" s="197"/>
      <c r="EE78" s="203"/>
      <c r="EF78" s="202"/>
      <c r="EG78" s="204"/>
      <c r="EH78" s="200"/>
      <c r="EI78" s="195"/>
      <c r="EJ78" s="195"/>
      <c r="EK78" s="201"/>
      <c r="EL78" s="196"/>
      <c r="EM78" s="197"/>
      <c r="EN78" s="203"/>
      <c r="EO78" s="202"/>
      <c r="EP78" s="204"/>
      <c r="EQ78" s="200"/>
      <c r="ER78" s="195"/>
      <c r="ES78" s="195"/>
      <c r="ET78" s="201"/>
      <c r="EU78" s="196"/>
      <c r="EV78" s="197"/>
      <c r="EW78" s="198"/>
      <c r="EX78" s="197"/>
      <c r="EY78" s="199"/>
      <c r="EZ78" s="200"/>
      <c r="FA78" s="195"/>
      <c r="FB78" s="195"/>
      <c r="FC78" s="201"/>
      <c r="FD78" s="196"/>
      <c r="FE78" s="197"/>
      <c r="FF78" s="198"/>
      <c r="FG78" s="197"/>
      <c r="FH78" s="199"/>
      <c r="FI78" s="200"/>
      <c r="FJ78" s="195"/>
      <c r="FK78" s="195"/>
      <c r="FL78" s="201"/>
      <c r="FM78" s="196"/>
      <c r="FN78" s="197"/>
      <c r="FO78" s="198"/>
      <c r="FP78" s="197"/>
      <c r="FQ78" s="199"/>
      <c r="FR78" s="200"/>
      <c r="FS78" s="195"/>
      <c r="FT78" s="195"/>
      <c r="FU78" s="201"/>
      <c r="FV78" s="196"/>
      <c r="FW78" s="197"/>
      <c r="FX78" s="198"/>
      <c r="FY78" s="197"/>
      <c r="FZ78" s="199"/>
      <c r="GA78" s="200"/>
      <c r="GB78" s="195"/>
      <c r="GC78" s="195"/>
      <c r="GD78" s="201"/>
      <c r="GE78" s="196"/>
      <c r="GF78" s="197"/>
      <c r="GG78" s="198"/>
      <c r="GH78" s="197"/>
      <c r="GI78" s="199"/>
      <c r="GJ78" s="200"/>
      <c r="GK78" s="195"/>
      <c r="GL78" s="195"/>
      <c r="GM78" s="201"/>
      <c r="GN78" s="196"/>
      <c r="GO78" s="197"/>
      <c r="GP78" s="198"/>
      <c r="GQ78" s="197"/>
      <c r="GR78" s="199"/>
      <c r="GS78" s="200"/>
      <c r="GT78" s="187"/>
      <c r="GU78" s="29"/>
      <c r="GV78" s="205"/>
      <c r="GZ78" s="33"/>
    </row>
    <row r="79" spans="1:208" ht="16.5" thickBot="1" x14ac:dyDescent="0.3">
      <c r="A79"/>
      <c r="D79" s="35"/>
      <c r="E79" s="36"/>
      <c r="F79" s="37"/>
      <c r="G79" s="38"/>
      <c r="H79" s="39"/>
      <c r="I79" s="40"/>
      <c r="J79" s="177"/>
      <c r="K79" s="452"/>
      <c r="P79" s="27"/>
      <c r="Q79" s="209"/>
      <c r="T79" s="39">
        <f t="shared" si="6"/>
        <v>0</v>
      </c>
      <c r="U79" s="210"/>
      <c r="W79" s="30"/>
      <c r="X79" s="195"/>
      <c r="Y79" s="183"/>
      <c r="Z79" s="197"/>
      <c r="AA79" s="198"/>
      <c r="AB79" s="197"/>
      <c r="AC79" s="199"/>
      <c r="AD79" s="200"/>
      <c r="AE79" s="195"/>
      <c r="AF79" s="195"/>
      <c r="AG79" s="201"/>
      <c r="AH79" s="183"/>
      <c r="AI79" s="197"/>
      <c r="AJ79" s="198"/>
      <c r="AK79" s="202"/>
      <c r="AL79" s="199"/>
      <c r="AM79" s="200"/>
      <c r="AN79" s="195"/>
      <c r="AO79" s="195"/>
      <c r="AP79" s="201"/>
      <c r="AQ79" s="183"/>
      <c r="AR79" s="197"/>
      <c r="AS79" s="198"/>
      <c r="AT79" s="197"/>
      <c r="AU79" s="199"/>
      <c r="AV79" s="200"/>
      <c r="AW79" s="195"/>
      <c r="AX79" s="195"/>
      <c r="AY79" s="201"/>
      <c r="AZ79" s="183"/>
      <c r="BA79" s="197"/>
      <c r="BB79" s="198"/>
      <c r="BC79" s="202"/>
      <c r="BD79" s="199"/>
      <c r="BE79" s="200"/>
      <c r="BF79" s="195"/>
      <c r="BG79" s="195"/>
      <c r="BH79" s="201"/>
      <c r="BI79" s="183"/>
      <c r="BJ79" s="197"/>
      <c r="BK79" s="198"/>
      <c r="BL79" s="202"/>
      <c r="BM79" s="199"/>
      <c r="BN79" s="200"/>
      <c r="BO79" s="195"/>
      <c r="BP79" s="195"/>
      <c r="BQ79" s="201"/>
      <c r="BR79" s="183"/>
      <c r="BS79" s="197"/>
      <c r="BT79" s="198"/>
      <c r="BU79" s="197"/>
      <c r="BV79" s="199"/>
      <c r="BW79" s="200"/>
      <c r="BX79" s="195"/>
      <c r="BY79" s="195"/>
      <c r="BZ79" s="201"/>
      <c r="CA79" s="183"/>
      <c r="CB79" s="197"/>
      <c r="CC79" s="198"/>
      <c r="CD79" s="197"/>
      <c r="CE79" s="199"/>
      <c r="CF79" s="200"/>
      <c r="CG79" s="195"/>
      <c r="CH79" s="195"/>
      <c r="CI79" s="201"/>
      <c r="CJ79" s="183"/>
      <c r="CK79" s="197"/>
      <c r="CL79" s="198"/>
      <c r="CM79" s="197"/>
      <c r="CN79" s="199"/>
      <c r="CO79" s="200"/>
      <c r="CP79" s="195"/>
      <c r="CQ79" s="195"/>
      <c r="CR79" s="201"/>
      <c r="CS79" s="183"/>
      <c r="CT79" s="197"/>
      <c r="CU79" s="203"/>
      <c r="CV79" s="202"/>
      <c r="CW79" s="204"/>
      <c r="CX79" s="200"/>
      <c r="CY79" s="195"/>
      <c r="CZ79" s="195"/>
      <c r="DA79" s="201"/>
      <c r="DB79" s="183"/>
      <c r="DC79" s="197"/>
      <c r="DD79" s="198"/>
      <c r="DE79" s="197"/>
      <c r="DF79" s="199"/>
      <c r="DG79" s="200"/>
      <c r="DH79" s="195"/>
      <c r="DI79" s="195"/>
      <c r="DJ79" s="201"/>
      <c r="DK79" s="183"/>
      <c r="DL79" s="197"/>
      <c r="DM79" s="203"/>
      <c r="DN79" s="202"/>
      <c r="DO79" s="204"/>
      <c r="DP79" s="200"/>
      <c r="DQ79" s="195"/>
      <c r="DR79" s="195"/>
      <c r="DS79" s="201"/>
      <c r="DT79" s="183"/>
      <c r="DU79" s="197"/>
      <c r="DV79" s="198"/>
      <c r="DW79" s="197"/>
      <c r="DX79" s="199"/>
      <c r="DY79" s="200"/>
      <c r="DZ79" s="195"/>
      <c r="EA79" s="195"/>
      <c r="EB79" s="201"/>
      <c r="EC79" s="183"/>
      <c r="ED79" s="197"/>
      <c r="EE79" s="203"/>
      <c r="EF79" s="202"/>
      <c r="EG79" s="204"/>
      <c r="EH79" s="200"/>
      <c r="EI79" s="195"/>
      <c r="EJ79" s="195"/>
      <c r="EK79" s="201"/>
      <c r="EL79" s="183"/>
      <c r="EM79" s="197"/>
      <c r="EN79" s="203"/>
      <c r="EO79" s="202"/>
      <c r="EP79" s="204"/>
      <c r="EQ79" s="200"/>
      <c r="ER79" s="195"/>
      <c r="ES79" s="195"/>
      <c r="ET79" s="201"/>
      <c r="EU79" s="183"/>
      <c r="EV79" s="197"/>
      <c r="EW79" s="198"/>
      <c r="EX79" s="197"/>
      <c r="EY79" s="199"/>
      <c r="EZ79" s="200"/>
      <c r="FA79" s="195"/>
      <c r="FB79" s="195"/>
      <c r="FC79" s="201"/>
      <c r="FD79" s="183"/>
      <c r="FE79" s="197"/>
      <c r="FF79" s="198"/>
      <c r="FG79" s="197"/>
      <c r="FH79" s="199"/>
      <c r="FI79" s="200"/>
      <c r="FJ79" s="195"/>
      <c r="FK79" s="195"/>
      <c r="FL79" s="201"/>
      <c r="FM79" s="183"/>
      <c r="FN79" s="197"/>
      <c r="FO79" s="198"/>
      <c r="FP79" s="197"/>
      <c r="FQ79" s="199"/>
      <c r="FR79" s="200"/>
      <c r="FS79" s="195"/>
      <c r="FT79" s="195"/>
      <c r="FU79" s="201"/>
      <c r="FV79" s="183"/>
      <c r="FW79" s="197"/>
      <c r="FX79" s="198"/>
      <c r="FY79" s="197"/>
      <c r="FZ79" s="199"/>
      <c r="GA79" s="200"/>
      <c r="GB79" s="195"/>
      <c r="GC79" s="195"/>
      <c r="GD79" s="201"/>
      <c r="GE79" s="183"/>
      <c r="GF79" s="197"/>
      <c r="GG79" s="198"/>
      <c r="GH79" s="197"/>
      <c r="GI79" s="199"/>
      <c r="GJ79" s="200"/>
      <c r="GK79" s="195"/>
      <c r="GL79" s="195"/>
      <c r="GM79" s="201"/>
      <c r="GN79" s="183"/>
      <c r="GO79" s="197"/>
      <c r="GP79" s="198"/>
      <c r="GQ79" s="197"/>
      <c r="GR79" s="199"/>
      <c r="GS79" s="200"/>
      <c r="GT79" s="187"/>
      <c r="GU79" s="29"/>
      <c r="GV79" s="211"/>
      <c r="GZ79" s="33"/>
    </row>
    <row r="80" spans="1:208" ht="17.25" thickTop="1" thickBot="1" x14ac:dyDescent="0.3">
      <c r="A80"/>
      <c r="D80" s="35"/>
      <c r="E80" s="36"/>
      <c r="F80" s="37"/>
      <c r="G80" s="38"/>
      <c r="H80" s="39"/>
      <c r="I80" s="40"/>
      <c r="J80" s="177"/>
      <c r="M80" s="212"/>
      <c r="N80" s="213"/>
      <c r="O80" s="874" t="s">
        <v>29</v>
      </c>
      <c r="P80" s="875"/>
      <c r="Q80" s="875"/>
      <c r="R80" s="214">
        <f>SUM(R9:R79)</f>
        <v>0</v>
      </c>
      <c r="S80" s="215"/>
      <c r="T80" s="216">
        <f>SUM(T9:T79)</f>
        <v>20891029.045000002</v>
      </c>
      <c r="U80" s="217"/>
      <c r="W80" s="218">
        <f t="shared" ref="W80:CH80" si="7">SUM(W9:W79)</f>
        <v>548686.80000000005</v>
      </c>
      <c r="X80" s="219">
        <f t="shared" si="7"/>
        <v>0</v>
      </c>
      <c r="Y80" s="219">
        <f t="shared" si="7"/>
        <v>0</v>
      </c>
      <c r="Z80" s="219">
        <f t="shared" si="7"/>
        <v>0</v>
      </c>
      <c r="AA80" s="219">
        <f t="shared" si="7"/>
        <v>0</v>
      </c>
      <c r="AB80" s="219">
        <f t="shared" si="7"/>
        <v>0</v>
      </c>
      <c r="AC80" s="219">
        <f t="shared" si="7"/>
        <v>0</v>
      </c>
      <c r="AD80" s="219">
        <f t="shared" si="7"/>
        <v>0</v>
      </c>
      <c r="AE80" s="219">
        <f t="shared" si="7"/>
        <v>0</v>
      </c>
      <c r="AF80" s="219">
        <f t="shared" si="7"/>
        <v>0</v>
      </c>
      <c r="AG80" s="219">
        <f t="shared" si="7"/>
        <v>0</v>
      </c>
      <c r="AH80" s="219">
        <f t="shared" si="7"/>
        <v>0</v>
      </c>
      <c r="AI80" s="219">
        <f t="shared" si="7"/>
        <v>0</v>
      </c>
      <c r="AJ80" s="219">
        <f t="shared" si="7"/>
        <v>0</v>
      </c>
      <c r="AK80" s="219">
        <f t="shared" si="7"/>
        <v>0</v>
      </c>
      <c r="AL80" s="219">
        <f t="shared" si="7"/>
        <v>0</v>
      </c>
      <c r="AM80" s="219">
        <f t="shared" si="7"/>
        <v>0</v>
      </c>
      <c r="AN80" s="219">
        <f t="shared" si="7"/>
        <v>0</v>
      </c>
      <c r="AO80" s="219">
        <f t="shared" si="7"/>
        <v>0</v>
      </c>
      <c r="AP80" s="219">
        <f t="shared" si="7"/>
        <v>0</v>
      </c>
      <c r="AQ80" s="219">
        <f t="shared" si="7"/>
        <v>0</v>
      </c>
      <c r="AR80" s="219">
        <f t="shared" si="7"/>
        <v>0</v>
      </c>
      <c r="AS80" s="219">
        <f t="shared" si="7"/>
        <v>0</v>
      </c>
      <c r="AT80" s="219">
        <f t="shared" si="7"/>
        <v>0</v>
      </c>
      <c r="AU80" s="219">
        <f t="shared" si="7"/>
        <v>0</v>
      </c>
      <c r="AV80" s="219">
        <f t="shared" si="7"/>
        <v>0</v>
      </c>
      <c r="AW80" s="219">
        <f t="shared" si="7"/>
        <v>0</v>
      </c>
      <c r="AX80" s="219">
        <f t="shared" si="7"/>
        <v>0</v>
      </c>
      <c r="AY80" s="219">
        <f t="shared" si="7"/>
        <v>0</v>
      </c>
      <c r="AZ80" s="219">
        <f t="shared" si="7"/>
        <v>0</v>
      </c>
      <c r="BA80" s="219">
        <f t="shared" si="7"/>
        <v>0</v>
      </c>
      <c r="BB80" s="219">
        <f t="shared" si="7"/>
        <v>0</v>
      </c>
      <c r="BC80" s="219">
        <f t="shared" si="7"/>
        <v>0</v>
      </c>
      <c r="BD80" s="219">
        <f t="shared" si="7"/>
        <v>0</v>
      </c>
      <c r="BE80" s="219">
        <f t="shared" si="7"/>
        <v>0</v>
      </c>
      <c r="BF80" s="219">
        <f t="shared" si="7"/>
        <v>0</v>
      </c>
      <c r="BG80" s="219">
        <f t="shared" si="7"/>
        <v>0</v>
      </c>
      <c r="BH80" s="219">
        <f t="shared" si="7"/>
        <v>0</v>
      </c>
      <c r="BI80" s="219">
        <f t="shared" si="7"/>
        <v>0</v>
      </c>
      <c r="BJ80" s="219">
        <f t="shared" si="7"/>
        <v>0</v>
      </c>
      <c r="BK80" s="219">
        <f t="shared" si="7"/>
        <v>0</v>
      </c>
      <c r="BL80" s="219">
        <f t="shared" si="7"/>
        <v>0</v>
      </c>
      <c r="BM80" s="219">
        <f t="shared" si="7"/>
        <v>0</v>
      </c>
      <c r="BN80" s="219">
        <f t="shared" si="7"/>
        <v>0</v>
      </c>
      <c r="BO80" s="219">
        <f t="shared" si="7"/>
        <v>0</v>
      </c>
      <c r="BP80" s="219">
        <f t="shared" si="7"/>
        <v>0</v>
      </c>
      <c r="BQ80" s="219">
        <f t="shared" si="7"/>
        <v>0</v>
      </c>
      <c r="BR80" s="219">
        <f t="shared" si="7"/>
        <v>0</v>
      </c>
      <c r="BS80" s="219">
        <f t="shared" si="7"/>
        <v>0</v>
      </c>
      <c r="BT80" s="219">
        <f t="shared" si="7"/>
        <v>0</v>
      </c>
      <c r="BU80" s="219">
        <f t="shared" si="7"/>
        <v>0</v>
      </c>
      <c r="BV80" s="219">
        <f t="shared" si="7"/>
        <v>0</v>
      </c>
      <c r="BW80" s="219">
        <f t="shared" si="7"/>
        <v>0</v>
      </c>
      <c r="BX80" s="219">
        <f t="shared" si="7"/>
        <v>0</v>
      </c>
      <c r="BY80" s="219">
        <f t="shared" si="7"/>
        <v>0</v>
      </c>
      <c r="BZ80" s="219">
        <f t="shared" si="7"/>
        <v>0</v>
      </c>
      <c r="CA80" s="219">
        <f t="shared" si="7"/>
        <v>0</v>
      </c>
      <c r="CB80" s="219">
        <f t="shared" si="7"/>
        <v>0</v>
      </c>
      <c r="CC80" s="219">
        <f t="shared" si="7"/>
        <v>0</v>
      </c>
      <c r="CD80" s="219">
        <f t="shared" si="7"/>
        <v>0</v>
      </c>
      <c r="CE80" s="219">
        <f t="shared" si="7"/>
        <v>0</v>
      </c>
      <c r="CF80" s="219">
        <f t="shared" si="7"/>
        <v>0</v>
      </c>
      <c r="CG80" s="219">
        <f t="shared" si="7"/>
        <v>0</v>
      </c>
      <c r="CH80" s="219">
        <f t="shared" si="7"/>
        <v>0</v>
      </c>
      <c r="CI80" s="219">
        <f t="shared" ref="CI80:ET80" si="8">SUM(CI9:CI79)</f>
        <v>0</v>
      </c>
      <c r="CJ80" s="219">
        <f t="shared" si="8"/>
        <v>0</v>
      </c>
      <c r="CK80" s="219">
        <f t="shared" si="8"/>
        <v>0</v>
      </c>
      <c r="CL80" s="219">
        <f t="shared" si="8"/>
        <v>0</v>
      </c>
      <c r="CM80" s="219">
        <f t="shared" si="8"/>
        <v>0</v>
      </c>
      <c r="CN80" s="219">
        <f t="shared" si="8"/>
        <v>0</v>
      </c>
      <c r="CO80" s="219">
        <f t="shared" si="8"/>
        <v>0</v>
      </c>
      <c r="CP80" s="219">
        <f t="shared" si="8"/>
        <v>0</v>
      </c>
      <c r="CQ80" s="219">
        <f t="shared" si="8"/>
        <v>0</v>
      </c>
      <c r="CR80" s="219">
        <f t="shared" si="8"/>
        <v>0</v>
      </c>
      <c r="CS80" s="219">
        <f t="shared" si="8"/>
        <v>0</v>
      </c>
      <c r="CT80" s="219">
        <f t="shared" si="8"/>
        <v>0</v>
      </c>
      <c r="CU80" s="219">
        <f t="shared" si="8"/>
        <v>0</v>
      </c>
      <c r="CV80" s="219">
        <f t="shared" si="8"/>
        <v>0</v>
      </c>
      <c r="CW80" s="219">
        <f t="shared" si="8"/>
        <v>0</v>
      </c>
      <c r="CX80" s="219">
        <f t="shared" si="8"/>
        <v>0</v>
      </c>
      <c r="CY80" s="219">
        <f t="shared" si="8"/>
        <v>0</v>
      </c>
      <c r="CZ80" s="219">
        <f t="shared" si="8"/>
        <v>0</v>
      </c>
      <c r="DA80" s="219">
        <f t="shared" si="8"/>
        <v>0</v>
      </c>
      <c r="DB80" s="219">
        <f t="shared" si="8"/>
        <v>0</v>
      </c>
      <c r="DC80" s="219">
        <f t="shared" si="8"/>
        <v>0</v>
      </c>
      <c r="DD80" s="219">
        <f t="shared" si="8"/>
        <v>0</v>
      </c>
      <c r="DE80" s="219">
        <f t="shared" si="8"/>
        <v>0</v>
      </c>
      <c r="DF80" s="219">
        <f t="shared" si="8"/>
        <v>0</v>
      </c>
      <c r="DG80" s="219">
        <f t="shared" si="8"/>
        <v>0</v>
      </c>
      <c r="DH80" s="219">
        <f t="shared" si="8"/>
        <v>0</v>
      </c>
      <c r="DI80" s="219">
        <f t="shared" si="8"/>
        <v>0</v>
      </c>
      <c r="DJ80" s="219">
        <f t="shared" si="8"/>
        <v>0</v>
      </c>
      <c r="DK80" s="219">
        <f t="shared" si="8"/>
        <v>0</v>
      </c>
      <c r="DL80" s="219">
        <f t="shared" si="8"/>
        <v>0</v>
      </c>
      <c r="DM80" s="219">
        <f t="shared" si="8"/>
        <v>0</v>
      </c>
      <c r="DN80" s="219">
        <f t="shared" si="8"/>
        <v>0</v>
      </c>
      <c r="DO80" s="219">
        <f t="shared" si="8"/>
        <v>0</v>
      </c>
      <c r="DP80" s="219">
        <f t="shared" si="8"/>
        <v>0</v>
      </c>
      <c r="DQ80" s="219">
        <f t="shared" si="8"/>
        <v>0</v>
      </c>
      <c r="DR80" s="219">
        <f t="shared" si="8"/>
        <v>0</v>
      </c>
      <c r="DS80" s="219">
        <f t="shared" si="8"/>
        <v>0</v>
      </c>
      <c r="DT80" s="219">
        <f t="shared" si="8"/>
        <v>0</v>
      </c>
      <c r="DU80" s="219">
        <f t="shared" si="8"/>
        <v>0</v>
      </c>
      <c r="DV80" s="219">
        <f t="shared" si="8"/>
        <v>0</v>
      </c>
      <c r="DW80" s="219">
        <f t="shared" si="8"/>
        <v>0</v>
      </c>
      <c r="DX80" s="219">
        <f t="shared" si="8"/>
        <v>0</v>
      </c>
      <c r="DY80" s="219">
        <f t="shared" si="8"/>
        <v>0</v>
      </c>
      <c r="DZ80" s="219">
        <f t="shared" si="8"/>
        <v>0</v>
      </c>
      <c r="EA80" s="219">
        <f t="shared" si="8"/>
        <v>0</v>
      </c>
      <c r="EB80" s="219">
        <f t="shared" si="8"/>
        <v>0</v>
      </c>
      <c r="EC80" s="219">
        <f t="shared" si="8"/>
        <v>0</v>
      </c>
      <c r="ED80" s="219">
        <f t="shared" si="8"/>
        <v>0</v>
      </c>
      <c r="EE80" s="219">
        <f t="shared" si="8"/>
        <v>0</v>
      </c>
      <c r="EF80" s="219">
        <f t="shared" si="8"/>
        <v>0</v>
      </c>
      <c r="EG80" s="219">
        <f t="shared" si="8"/>
        <v>0</v>
      </c>
      <c r="EH80" s="219">
        <f t="shared" si="8"/>
        <v>0</v>
      </c>
      <c r="EI80" s="219">
        <f t="shared" si="8"/>
        <v>0</v>
      </c>
      <c r="EJ80" s="219">
        <f t="shared" si="8"/>
        <v>0</v>
      </c>
      <c r="EK80" s="219">
        <f t="shared" si="8"/>
        <v>0</v>
      </c>
      <c r="EL80" s="219">
        <f t="shared" si="8"/>
        <v>0</v>
      </c>
      <c r="EM80" s="219">
        <f t="shared" si="8"/>
        <v>0</v>
      </c>
      <c r="EN80" s="219">
        <f t="shared" si="8"/>
        <v>0</v>
      </c>
      <c r="EO80" s="219">
        <f t="shared" si="8"/>
        <v>0</v>
      </c>
      <c r="EP80" s="219">
        <f t="shared" si="8"/>
        <v>0</v>
      </c>
      <c r="EQ80" s="219">
        <f t="shared" si="8"/>
        <v>0</v>
      </c>
      <c r="ER80" s="219">
        <f t="shared" si="8"/>
        <v>0</v>
      </c>
      <c r="ES80" s="219">
        <f t="shared" si="8"/>
        <v>0</v>
      </c>
      <c r="ET80" s="219">
        <f t="shared" si="8"/>
        <v>0</v>
      </c>
      <c r="EU80" s="219">
        <f t="shared" ref="EU80:GS80" si="9">SUM(EU9:EU79)</f>
        <v>0</v>
      </c>
      <c r="EV80" s="219">
        <f t="shared" si="9"/>
        <v>0</v>
      </c>
      <c r="EW80" s="219">
        <f t="shared" si="9"/>
        <v>0</v>
      </c>
      <c r="EX80" s="219">
        <f t="shared" si="9"/>
        <v>0</v>
      </c>
      <c r="EY80" s="219">
        <f t="shared" si="9"/>
        <v>0</v>
      </c>
      <c r="EZ80" s="219">
        <f t="shared" si="9"/>
        <v>0</v>
      </c>
      <c r="FA80" s="219">
        <f t="shared" si="9"/>
        <v>0</v>
      </c>
      <c r="FB80" s="219">
        <f t="shared" si="9"/>
        <v>0</v>
      </c>
      <c r="FC80" s="219">
        <f t="shared" si="9"/>
        <v>0</v>
      </c>
      <c r="FD80" s="219">
        <f t="shared" si="9"/>
        <v>0</v>
      </c>
      <c r="FE80" s="219">
        <f t="shared" si="9"/>
        <v>0</v>
      </c>
      <c r="FF80" s="219">
        <f t="shared" si="9"/>
        <v>0</v>
      </c>
      <c r="FG80" s="219">
        <f t="shared" si="9"/>
        <v>0</v>
      </c>
      <c r="FH80" s="219">
        <f t="shared" si="9"/>
        <v>0</v>
      </c>
      <c r="FI80" s="219">
        <f t="shared" si="9"/>
        <v>0</v>
      </c>
      <c r="FJ80" s="219">
        <f t="shared" si="9"/>
        <v>0</v>
      </c>
      <c r="FK80" s="219">
        <f t="shared" si="9"/>
        <v>0</v>
      </c>
      <c r="FL80" s="219">
        <f t="shared" si="9"/>
        <v>0</v>
      </c>
      <c r="FM80" s="219">
        <f t="shared" si="9"/>
        <v>0</v>
      </c>
      <c r="FN80" s="219">
        <f t="shared" si="9"/>
        <v>0</v>
      </c>
      <c r="FO80" s="219">
        <f t="shared" si="9"/>
        <v>0</v>
      </c>
      <c r="FP80" s="219">
        <f t="shared" si="9"/>
        <v>0</v>
      </c>
      <c r="FQ80" s="219">
        <f t="shared" si="9"/>
        <v>0</v>
      </c>
      <c r="FR80" s="219">
        <f t="shared" si="9"/>
        <v>0</v>
      </c>
      <c r="FS80" s="219">
        <f t="shared" si="9"/>
        <v>0</v>
      </c>
      <c r="FT80" s="219">
        <f t="shared" si="9"/>
        <v>0</v>
      </c>
      <c r="FU80" s="219">
        <f t="shared" si="9"/>
        <v>0</v>
      </c>
      <c r="FV80" s="219">
        <f t="shared" si="9"/>
        <v>0</v>
      </c>
      <c r="FW80" s="219">
        <f t="shared" si="9"/>
        <v>0</v>
      </c>
      <c r="FX80" s="219">
        <f t="shared" si="9"/>
        <v>0</v>
      </c>
      <c r="FY80" s="219">
        <f t="shared" si="9"/>
        <v>0</v>
      </c>
      <c r="FZ80" s="219">
        <f t="shared" si="9"/>
        <v>0</v>
      </c>
      <c r="GA80" s="219">
        <f t="shared" si="9"/>
        <v>0</v>
      </c>
      <c r="GB80" s="219">
        <f t="shared" si="9"/>
        <v>0</v>
      </c>
      <c r="GC80" s="219">
        <f t="shared" si="9"/>
        <v>0</v>
      </c>
      <c r="GD80" s="219">
        <f t="shared" si="9"/>
        <v>0</v>
      </c>
      <c r="GE80" s="219">
        <f t="shared" si="9"/>
        <v>0</v>
      </c>
      <c r="GF80" s="219">
        <f t="shared" si="9"/>
        <v>0</v>
      </c>
      <c r="GG80" s="219">
        <f t="shared" si="9"/>
        <v>0</v>
      </c>
      <c r="GH80" s="219">
        <f t="shared" si="9"/>
        <v>0</v>
      </c>
      <c r="GI80" s="219">
        <f t="shared" si="9"/>
        <v>0</v>
      </c>
      <c r="GJ80" s="219">
        <f t="shared" si="9"/>
        <v>0</v>
      </c>
      <c r="GK80" s="219">
        <f t="shared" si="9"/>
        <v>0</v>
      </c>
      <c r="GL80" s="219">
        <f t="shared" si="9"/>
        <v>0</v>
      </c>
      <c r="GM80" s="219">
        <f t="shared" si="9"/>
        <v>0</v>
      </c>
      <c r="GN80" s="219">
        <f t="shared" si="9"/>
        <v>0</v>
      </c>
      <c r="GO80" s="219">
        <f t="shared" si="9"/>
        <v>0</v>
      </c>
      <c r="GP80" s="219">
        <f t="shared" si="9"/>
        <v>0</v>
      </c>
      <c r="GQ80" s="219">
        <f t="shared" si="9"/>
        <v>0</v>
      </c>
      <c r="GR80" s="219">
        <f t="shared" si="9"/>
        <v>0</v>
      </c>
      <c r="GS80" s="219">
        <f t="shared" si="9"/>
        <v>0</v>
      </c>
      <c r="GT80" s="219"/>
      <c r="GU80" s="220">
        <f>SUM(GU9:GU79)</f>
        <v>411376</v>
      </c>
      <c r="GV80" s="221"/>
      <c r="GW80" s="62"/>
      <c r="GX80" s="62"/>
      <c r="GY80" s="222"/>
      <c r="GZ80" s="223">
        <f>SUM(GZ9:GZ79)</f>
        <v>106488</v>
      </c>
    </row>
    <row r="81" spans="1:208" x14ac:dyDescent="0.25">
      <c r="D81" s="35"/>
      <c r="E81" s="36"/>
      <c r="F81" s="37"/>
      <c r="G81" s="38"/>
      <c r="H81" s="39"/>
      <c r="I81" s="40"/>
      <c r="J81" s="177"/>
      <c r="M81" s="212"/>
      <c r="N81" s="213"/>
      <c r="O81" s="224"/>
      <c r="P81" s="225"/>
      <c r="Q81" s="226"/>
      <c r="R81" s="226"/>
      <c r="S81" s="226"/>
      <c r="T81" s="39"/>
      <c r="U81" s="217"/>
      <c r="X81" s="227"/>
      <c r="Y81" s="228"/>
      <c r="Z81" s="229"/>
      <c r="AA81" s="36"/>
      <c r="AB81" s="229"/>
      <c r="AC81" s="230"/>
      <c r="AD81" s="87"/>
      <c r="AG81" s="227"/>
      <c r="AH81" s="228"/>
      <c r="AI81" s="229"/>
      <c r="AJ81" s="36"/>
      <c r="AK81" s="231"/>
      <c r="AL81" s="230"/>
      <c r="AM81" s="87"/>
      <c r="AP81" s="227"/>
      <c r="AQ81" s="228"/>
      <c r="AR81" s="229"/>
      <c r="AS81" s="36"/>
      <c r="AT81" s="229"/>
      <c r="AU81" s="230"/>
      <c r="AV81" s="87"/>
      <c r="AY81" s="227"/>
      <c r="AZ81" s="228"/>
      <c r="BA81" s="229"/>
      <c r="BB81" s="36"/>
      <c r="BC81" s="231"/>
      <c r="BD81" s="230"/>
      <c r="BE81" s="87"/>
      <c r="BH81" s="227"/>
      <c r="BI81" s="228"/>
      <c r="BJ81" s="229"/>
      <c r="BK81" s="36"/>
      <c r="BL81" s="231"/>
      <c r="BM81" s="230"/>
      <c r="BN81" s="87"/>
      <c r="BQ81" s="227"/>
      <c r="BR81" s="228"/>
      <c r="BS81" s="229"/>
      <c r="BT81" s="36"/>
      <c r="BU81" s="229"/>
      <c r="BV81" s="230"/>
      <c r="BW81" s="87"/>
      <c r="BZ81" s="227"/>
      <c r="CA81" s="228"/>
      <c r="CB81" s="229"/>
      <c r="CC81" s="36"/>
      <c r="CD81" s="229"/>
      <c r="CE81" s="230"/>
      <c r="CF81" s="87"/>
      <c r="CI81" s="227"/>
      <c r="CJ81" s="228"/>
      <c r="CK81" s="229"/>
      <c r="CL81" s="36"/>
      <c r="CM81" s="229"/>
      <c r="CN81" s="230"/>
      <c r="CO81" s="87"/>
      <c r="CR81" s="227"/>
      <c r="CS81" s="228"/>
      <c r="CT81" s="229"/>
      <c r="CU81" s="232"/>
      <c r="CV81" s="231"/>
      <c r="CW81" s="233"/>
      <c r="CX81" s="87"/>
      <c r="DA81" s="227"/>
      <c r="DB81" s="228"/>
      <c r="DC81" s="229"/>
      <c r="DD81" s="36"/>
      <c r="DE81" s="229"/>
      <c r="DF81" s="230"/>
      <c r="DG81" s="87"/>
      <c r="DJ81" s="227"/>
      <c r="DK81" s="228"/>
      <c r="DL81" s="229"/>
      <c r="DM81" s="232"/>
      <c r="DN81" s="231"/>
      <c r="DO81" s="233"/>
      <c r="DP81" s="87"/>
      <c r="DS81" s="227"/>
      <c r="DT81" s="228"/>
      <c r="DU81" s="229"/>
      <c r="DV81" s="36"/>
      <c r="DW81" s="229"/>
      <c r="DX81" s="230"/>
      <c r="DY81" s="87"/>
      <c r="EB81" s="227"/>
      <c r="EC81" s="228"/>
      <c r="ED81" s="229"/>
      <c r="EE81" s="232"/>
      <c r="EF81" s="231"/>
      <c r="EG81" s="233"/>
      <c r="EH81" s="87"/>
      <c r="EK81" s="227"/>
      <c r="EL81" s="228"/>
      <c r="EM81" s="229"/>
      <c r="EN81" s="232"/>
      <c r="EO81" s="231"/>
      <c r="EP81" s="233"/>
      <c r="EQ81" s="87"/>
      <c r="ET81" s="227"/>
      <c r="EU81" s="228"/>
      <c r="EV81" s="229"/>
      <c r="EW81" s="36"/>
      <c r="EX81" s="229"/>
      <c r="EY81" s="230"/>
      <c r="EZ81" s="87"/>
      <c r="FC81" s="227"/>
      <c r="FD81" s="228"/>
      <c r="FE81" s="229"/>
      <c r="FF81" s="36"/>
      <c r="FG81" s="229"/>
      <c r="FH81" s="230"/>
      <c r="FI81" s="87"/>
      <c r="FL81" s="227"/>
      <c r="FM81" s="228"/>
      <c r="FN81" s="229"/>
      <c r="FO81" s="36"/>
      <c r="FP81" s="229"/>
      <c r="FQ81" s="230"/>
      <c r="FR81" s="87"/>
      <c r="FU81" s="227"/>
      <c r="FV81" s="228"/>
      <c r="FW81" s="229"/>
      <c r="FX81" s="36"/>
      <c r="FY81" s="229"/>
      <c r="FZ81" s="230"/>
      <c r="GA81" s="87"/>
      <c r="GD81" s="227"/>
      <c r="GE81" s="228"/>
      <c r="GF81" s="229"/>
      <c r="GG81" s="36"/>
      <c r="GH81" s="229"/>
      <c r="GI81" s="230"/>
      <c r="GJ81" s="87"/>
      <c r="GM81" s="227"/>
      <c r="GN81" s="228"/>
      <c r="GO81" s="229"/>
      <c r="GP81" s="36"/>
      <c r="GQ81" s="229"/>
      <c r="GR81" s="230"/>
      <c r="GS81" s="87"/>
      <c r="GT81" s="187"/>
      <c r="GU81"/>
      <c r="GW81" s="235"/>
      <c r="GX81" s="235"/>
      <c r="GY81" s="236"/>
      <c r="GZ81"/>
    </row>
    <row r="82" spans="1:208" ht="16.5" thickBot="1" x14ac:dyDescent="0.3">
      <c r="D82" s="35"/>
      <c r="E82" s="36"/>
      <c r="F82" s="37"/>
      <c r="G82" s="38"/>
      <c r="H82" s="39"/>
      <c r="I82" s="40"/>
      <c r="J82" s="177"/>
      <c r="M82" s="212"/>
      <c r="N82" s="213"/>
      <c r="O82" s="224"/>
      <c r="P82" s="225"/>
      <c r="Q82" s="226"/>
      <c r="R82" s="226"/>
      <c r="S82" s="226"/>
      <c r="T82" s="39"/>
      <c r="U82" s="217"/>
      <c r="X82" s="227"/>
      <c r="Y82" s="228"/>
      <c r="Z82" s="229"/>
      <c r="AA82" s="36"/>
      <c r="AB82" s="229"/>
      <c r="AC82" s="230"/>
      <c r="AD82" s="87"/>
      <c r="AG82" s="227"/>
      <c r="AH82" s="228"/>
      <c r="AI82" s="229"/>
      <c r="AJ82" s="36"/>
      <c r="AK82" s="231"/>
      <c r="AL82" s="230"/>
      <c r="AM82" s="87"/>
      <c r="AP82" s="227"/>
      <c r="AQ82" s="228"/>
      <c r="AR82" s="229"/>
      <c r="AS82" s="36"/>
      <c r="AT82" s="229"/>
      <c r="AU82" s="230"/>
      <c r="AV82" s="87"/>
      <c r="AY82" s="227"/>
      <c r="AZ82" s="228"/>
      <c r="BA82" s="229"/>
      <c r="BB82" s="36"/>
      <c r="BC82" s="231"/>
      <c r="BD82" s="230"/>
      <c r="BE82" s="87"/>
      <c r="BH82" s="227"/>
      <c r="BI82" s="228"/>
      <c r="BJ82" s="229"/>
      <c r="BK82" s="36"/>
      <c r="BL82" s="231"/>
      <c r="BM82" s="230"/>
      <c r="BN82" s="87"/>
      <c r="BQ82" s="227"/>
      <c r="BR82" s="228"/>
      <c r="BS82" s="229"/>
      <c r="BT82" s="36"/>
      <c r="BU82" s="229"/>
      <c r="BV82" s="230"/>
      <c r="BW82" s="87"/>
      <c r="BZ82" s="227"/>
      <c r="CA82" s="228"/>
      <c r="CB82" s="229"/>
      <c r="CC82" s="36"/>
      <c r="CD82" s="229"/>
      <c r="CE82" s="230"/>
      <c r="CF82" s="87"/>
      <c r="CI82" s="227"/>
      <c r="CJ82" s="228"/>
      <c r="CK82" s="229"/>
      <c r="CL82" s="36"/>
      <c r="CM82" s="229"/>
      <c r="CN82" s="230"/>
      <c r="CO82" s="87"/>
      <c r="CR82" s="227"/>
      <c r="CS82" s="228"/>
      <c r="CT82" s="229"/>
      <c r="CU82" s="232"/>
      <c r="CV82" s="231"/>
      <c r="CW82" s="233"/>
      <c r="CX82" s="87"/>
      <c r="DA82" s="227"/>
      <c r="DB82" s="228"/>
      <c r="DC82" s="229"/>
      <c r="DD82" s="36"/>
      <c r="DE82" s="229"/>
      <c r="DF82" s="230"/>
      <c r="DG82" s="87"/>
      <c r="DJ82" s="227"/>
      <c r="DK82" s="228"/>
      <c r="DL82" s="229"/>
      <c r="DM82" s="232"/>
      <c r="DN82" s="231"/>
      <c r="DO82" s="233"/>
      <c r="DP82" s="87"/>
      <c r="DS82" s="227"/>
      <c r="DT82" s="228"/>
      <c r="DU82" s="229"/>
      <c r="DV82" s="36"/>
      <c r="DW82" s="229"/>
      <c r="DX82" s="230"/>
      <c r="DY82" s="87"/>
      <c r="EB82" s="227"/>
      <c r="EC82" s="228"/>
      <c r="ED82" s="229"/>
      <c r="EE82" s="232"/>
      <c r="EF82" s="231"/>
      <c r="EG82" s="233"/>
      <c r="EH82" s="87"/>
      <c r="EK82" s="227"/>
      <c r="EL82" s="228"/>
      <c r="EM82" s="229"/>
      <c r="EN82" s="232"/>
      <c r="EO82" s="231"/>
      <c r="EP82" s="233"/>
      <c r="EQ82" s="87"/>
      <c r="ET82" s="227"/>
      <c r="EU82" s="228"/>
      <c r="EV82" s="229"/>
      <c r="EW82" s="36"/>
      <c r="EX82" s="229"/>
      <c r="EY82" s="230"/>
      <c r="EZ82" s="87"/>
      <c r="FC82" s="227"/>
      <c r="FD82" s="228"/>
      <c r="FE82" s="229"/>
      <c r="FF82" s="36"/>
      <c r="FG82" s="229"/>
      <c r="FH82" s="230"/>
      <c r="FI82" s="87"/>
      <c r="FL82" s="227"/>
      <c r="FM82" s="228"/>
      <c r="FN82" s="229"/>
      <c r="FO82" s="36"/>
      <c r="FP82" s="229"/>
      <c r="FQ82" s="230"/>
      <c r="FR82" s="87"/>
      <c r="FU82" s="227"/>
      <c r="FV82" s="228"/>
      <c r="FW82" s="229"/>
      <c r="FX82" s="36"/>
      <c r="FY82" s="229"/>
      <c r="FZ82" s="230"/>
      <c r="GA82" s="87"/>
      <c r="GD82" s="227"/>
      <c r="GE82" s="228"/>
      <c r="GF82" s="229"/>
      <c r="GG82" s="36"/>
      <c r="GH82" s="229"/>
      <c r="GI82" s="230"/>
      <c r="GJ82" s="87"/>
      <c r="GM82" s="227"/>
      <c r="GN82" s="228"/>
      <c r="GO82" s="229"/>
      <c r="GP82" s="36"/>
      <c r="GQ82" s="229"/>
      <c r="GR82" s="230"/>
      <c r="GS82" s="87"/>
      <c r="GT82" s="187"/>
      <c r="GU82"/>
      <c r="GW82" s="235"/>
      <c r="GX82" s="235"/>
      <c r="GY82" s="236"/>
      <c r="GZ82"/>
    </row>
    <row r="83" spans="1:208" ht="16.5" thickTop="1" x14ac:dyDescent="0.25">
      <c r="D83" s="35"/>
      <c r="E83" s="36"/>
      <c r="F83" s="37"/>
      <c r="G83" s="38"/>
      <c r="H83" s="39"/>
      <c r="I83" s="40"/>
      <c r="J83" s="177"/>
      <c r="M83" s="212"/>
      <c r="O83" s="876" t="s">
        <v>30</v>
      </c>
      <c r="P83" s="877"/>
      <c r="Q83" s="877"/>
      <c r="R83" s="237"/>
      <c r="S83" s="237"/>
      <c r="T83" s="880">
        <f>GZ80+GU80+W80+T80+R80</f>
        <v>21957579.845000003</v>
      </c>
      <c r="U83" s="881"/>
      <c r="X83" s="227"/>
      <c r="Y83" s="228"/>
      <c r="Z83" s="229"/>
      <c r="AA83" s="36"/>
      <c r="AB83" s="229"/>
      <c r="AC83" s="230"/>
      <c r="AD83" s="87"/>
      <c r="AG83" s="227"/>
      <c r="AH83" s="228"/>
      <c r="AI83" s="229"/>
      <c r="AJ83" s="36"/>
      <c r="AK83" s="231"/>
      <c r="AL83" s="230"/>
      <c r="AM83" s="87"/>
      <c r="AP83" s="227"/>
      <c r="AQ83" s="228"/>
      <c r="AR83" s="229"/>
      <c r="AS83" s="36"/>
      <c r="AT83" s="229"/>
      <c r="AU83" s="230"/>
      <c r="AV83" s="87"/>
      <c r="AY83" s="227"/>
      <c r="AZ83" s="228"/>
      <c r="BA83" s="229"/>
      <c r="BB83" s="36"/>
      <c r="BC83" s="231"/>
      <c r="BD83" s="230"/>
      <c r="BE83" s="87"/>
      <c r="BH83" s="227"/>
      <c r="BI83" s="228"/>
      <c r="BJ83" s="229"/>
      <c r="BK83" s="36"/>
      <c r="BL83" s="231"/>
      <c r="BM83" s="230"/>
      <c r="BN83" s="87"/>
      <c r="BQ83" s="227"/>
      <c r="BR83" s="228"/>
      <c r="BS83" s="229"/>
      <c r="BT83" s="36"/>
      <c r="BU83" s="229"/>
      <c r="BV83" s="230"/>
      <c r="BW83" s="87"/>
      <c r="BZ83" s="227"/>
      <c r="CA83" s="228"/>
      <c r="CB83" s="229"/>
      <c r="CC83" s="36"/>
      <c r="CD83" s="229"/>
      <c r="CE83" s="230"/>
      <c r="CF83" s="87"/>
      <c r="CI83" s="227"/>
      <c r="CJ83" s="228"/>
      <c r="CK83" s="229"/>
      <c r="CL83" s="36"/>
      <c r="CM83" s="229"/>
      <c r="CN83" s="230"/>
      <c r="CO83" s="87"/>
      <c r="CR83" s="227"/>
      <c r="CS83" s="228"/>
      <c r="CT83" s="229"/>
      <c r="CU83" s="232"/>
      <c r="CV83" s="231"/>
      <c r="CW83" s="233"/>
      <c r="CX83" s="87"/>
      <c r="DA83" s="227"/>
      <c r="DB83" s="228"/>
      <c r="DC83" s="229"/>
      <c r="DD83" s="36"/>
      <c r="DE83" s="229"/>
      <c r="DF83" s="230"/>
      <c r="DG83" s="87"/>
      <c r="DJ83" s="227"/>
      <c r="DK83" s="228"/>
      <c r="DL83" s="229"/>
      <c r="DM83" s="232"/>
      <c r="DN83" s="231"/>
      <c r="DO83" s="233"/>
      <c r="DP83" s="87"/>
      <c r="DS83" s="227"/>
      <c r="DT83" s="228"/>
      <c r="DU83" s="229"/>
      <c r="DV83" s="36"/>
      <c r="DW83" s="229"/>
      <c r="DX83" s="230"/>
      <c r="DY83" s="87"/>
      <c r="EB83" s="227"/>
      <c r="EC83" s="228"/>
      <c r="ED83" s="229"/>
      <c r="EE83" s="232"/>
      <c r="EF83" s="231"/>
      <c r="EG83" s="233"/>
      <c r="EH83" s="87"/>
      <c r="EK83" s="227"/>
      <c r="EL83" s="228"/>
      <c r="EM83" s="229"/>
      <c r="EN83" s="232"/>
      <c r="EO83" s="231"/>
      <c r="EP83" s="233"/>
      <c r="EQ83" s="87"/>
      <c r="ET83" s="227"/>
      <c r="EU83" s="228"/>
      <c r="EV83" s="229"/>
      <c r="EW83" s="36"/>
      <c r="EX83" s="229"/>
      <c r="EY83" s="230"/>
      <c r="EZ83" s="87"/>
      <c r="FC83" s="227"/>
      <c r="FD83" s="228"/>
      <c r="FE83" s="229"/>
      <c r="FF83" s="36"/>
      <c r="FG83" s="229"/>
      <c r="FH83" s="230"/>
      <c r="FI83" s="87"/>
      <c r="FL83" s="227"/>
      <c r="FM83" s="228"/>
      <c r="FN83" s="229"/>
      <c r="FO83" s="36"/>
      <c r="FP83" s="229"/>
      <c r="FQ83" s="230"/>
      <c r="FR83" s="87"/>
      <c r="FU83" s="227"/>
      <c r="FV83" s="228"/>
      <c r="FW83" s="229"/>
      <c r="FX83" s="36"/>
      <c r="FY83" s="229"/>
      <c r="FZ83" s="230"/>
      <c r="GA83" s="87"/>
      <c r="GD83" s="227"/>
      <c r="GE83" s="228"/>
      <c r="GF83" s="229"/>
      <c r="GG83" s="36"/>
      <c r="GH83" s="229"/>
      <c r="GI83" s="230"/>
      <c r="GJ83" s="87"/>
      <c r="GM83" s="227"/>
      <c r="GN83" s="228"/>
      <c r="GO83" s="229"/>
      <c r="GP83" s="36"/>
      <c r="GQ83" s="229"/>
      <c r="GR83" s="230"/>
      <c r="GS83" s="87"/>
      <c r="GT83" s="187"/>
      <c r="GU83"/>
      <c r="GW83" s="235"/>
      <c r="GX83" s="235"/>
      <c r="GY83" s="236"/>
      <c r="GZ83"/>
    </row>
    <row r="84" spans="1:208" ht="16.5" thickBot="1" x14ac:dyDescent="0.3">
      <c r="D84" s="35"/>
      <c r="E84" s="36"/>
      <c r="F84" s="37"/>
      <c r="G84" s="38"/>
      <c r="H84" s="39"/>
      <c r="I84" s="40"/>
      <c r="J84" s="238"/>
      <c r="M84" s="212"/>
      <c r="O84" s="878"/>
      <c r="P84" s="879"/>
      <c r="Q84" s="879"/>
      <c r="R84" s="239"/>
      <c r="S84" s="239"/>
      <c r="T84" s="882"/>
      <c r="U84" s="883"/>
      <c r="X84" s="227"/>
      <c r="Y84" s="228"/>
      <c r="Z84" s="229"/>
      <c r="AA84" s="36"/>
      <c r="AB84" s="229"/>
      <c r="AC84" s="230"/>
      <c r="AD84" s="87"/>
      <c r="AG84" s="227"/>
      <c r="AH84" s="228"/>
      <c r="AI84" s="229"/>
      <c r="AJ84" s="36"/>
      <c r="AK84" s="231"/>
      <c r="AL84" s="230"/>
      <c r="AM84" s="87"/>
      <c r="AP84" s="227"/>
      <c r="AQ84" s="228"/>
      <c r="AR84" s="229"/>
      <c r="AS84" s="36"/>
      <c r="AT84" s="229"/>
      <c r="AU84" s="230"/>
      <c r="AV84" s="87"/>
      <c r="AY84" s="227"/>
      <c r="AZ84" s="228"/>
      <c r="BA84" s="229"/>
      <c r="BB84" s="36"/>
      <c r="BC84" s="231"/>
      <c r="BD84" s="230"/>
      <c r="BE84" s="87"/>
      <c r="BH84" s="227"/>
      <c r="BI84" s="228"/>
      <c r="BJ84" s="229"/>
      <c r="BK84" s="36"/>
      <c r="BL84" s="231"/>
      <c r="BM84" s="230"/>
      <c r="BN84" s="87"/>
      <c r="BQ84" s="227"/>
      <c r="BR84" s="228"/>
      <c r="BS84" s="229"/>
      <c r="BT84" s="36"/>
      <c r="BU84" s="229"/>
      <c r="BV84" s="230"/>
      <c r="BW84" s="87"/>
      <c r="BZ84" s="227"/>
      <c r="CA84" s="228"/>
      <c r="CB84" s="229"/>
      <c r="CC84" s="36"/>
      <c r="CD84" s="229"/>
      <c r="CE84" s="230"/>
      <c r="CF84" s="87"/>
      <c r="CI84" s="227"/>
      <c r="CJ84" s="228"/>
      <c r="CK84" s="229"/>
      <c r="CL84" s="36"/>
      <c r="CM84" s="229"/>
      <c r="CN84" s="230"/>
      <c r="CO84" s="87"/>
      <c r="CR84" s="227"/>
      <c r="CS84" s="228"/>
      <c r="CT84" s="229"/>
      <c r="CU84" s="232"/>
      <c r="CV84" s="231"/>
      <c r="CW84" s="233"/>
      <c r="CX84" s="87"/>
      <c r="DA84" s="227"/>
      <c r="DB84" s="228"/>
      <c r="DC84" s="229"/>
      <c r="DD84" s="36"/>
      <c r="DE84" s="229"/>
      <c r="DF84" s="230"/>
      <c r="DG84" s="87"/>
      <c r="DJ84" s="227"/>
      <c r="DK84" s="228"/>
      <c r="DL84" s="229"/>
      <c r="DM84" s="232"/>
      <c r="DN84" s="231"/>
      <c r="DO84" s="233"/>
      <c r="DP84" s="87"/>
      <c r="DS84" s="227"/>
      <c r="DT84" s="228"/>
      <c r="DU84" s="229"/>
      <c r="DV84" s="36"/>
      <c r="DW84" s="229"/>
      <c r="DX84" s="230"/>
      <c r="DY84" s="87"/>
      <c r="EB84" s="227"/>
      <c r="EC84" s="228"/>
      <c r="ED84" s="229"/>
      <c r="EE84" s="232"/>
      <c r="EF84" s="231"/>
      <c r="EG84" s="233"/>
      <c r="EH84" s="87"/>
      <c r="EK84" s="227"/>
      <c r="EL84" s="228"/>
      <c r="EM84" s="229"/>
      <c r="EN84" s="232"/>
      <c r="EO84" s="231"/>
      <c r="EP84" s="233"/>
      <c r="EQ84" s="87"/>
      <c r="ET84" s="227"/>
      <c r="EU84" s="228"/>
      <c r="EV84" s="229"/>
      <c r="EW84" s="36"/>
      <c r="EX84" s="229"/>
      <c r="EY84" s="230"/>
      <c r="EZ84" s="87"/>
      <c r="FC84" s="227"/>
      <c r="FD84" s="228"/>
      <c r="FE84" s="229"/>
      <c r="FF84" s="36"/>
      <c r="FG84" s="229"/>
      <c r="FH84" s="230"/>
      <c r="FI84" s="87"/>
      <c r="FL84" s="227"/>
      <c r="FM84" s="228"/>
      <c r="FN84" s="229"/>
      <c r="FO84" s="36"/>
      <c r="FP84" s="229"/>
      <c r="FQ84" s="230"/>
      <c r="FR84" s="87"/>
      <c r="FU84" s="227"/>
      <c r="FV84" s="228"/>
      <c r="FW84" s="229"/>
      <c r="FX84" s="36"/>
      <c r="FY84" s="229"/>
      <c r="FZ84" s="230"/>
      <c r="GA84" s="87"/>
      <c r="GD84" s="227"/>
      <c r="GE84" s="228"/>
      <c r="GF84" s="229"/>
      <c r="GG84" s="36"/>
      <c r="GH84" s="229"/>
      <c r="GI84" s="230"/>
      <c r="GJ84" s="87"/>
      <c r="GM84" s="227"/>
      <c r="GN84" s="228"/>
      <c r="GO84" s="229"/>
      <c r="GP84" s="36"/>
      <c r="GQ84" s="229"/>
      <c r="GR84" s="230"/>
      <c r="GS84" s="87"/>
      <c r="GT84" s="187"/>
      <c r="GU84"/>
      <c r="GW84" s="235"/>
      <c r="GX84" s="235"/>
      <c r="GY84" s="236"/>
      <c r="GZ84"/>
    </row>
    <row r="85" spans="1:208" ht="16.5" thickTop="1" x14ac:dyDescent="0.25">
      <c r="D85" s="35"/>
      <c r="E85" s="36"/>
      <c r="F85" s="37"/>
      <c r="G85" s="38"/>
      <c r="H85" s="39"/>
      <c r="I85" s="40"/>
      <c r="J85" s="238"/>
      <c r="M85" s="212"/>
      <c r="O85" s="224"/>
      <c r="P85" s="225"/>
      <c r="Q85" s="226"/>
      <c r="R85" s="226"/>
      <c r="S85" s="226"/>
      <c r="T85" s="39"/>
      <c r="U85" s="217"/>
      <c r="X85" s="227"/>
      <c r="Y85" s="228"/>
      <c r="Z85" s="229"/>
      <c r="AA85" s="36"/>
      <c r="AB85" s="229"/>
      <c r="AC85" s="230"/>
      <c r="AD85" s="87"/>
      <c r="AG85" s="227"/>
      <c r="AH85" s="228"/>
      <c r="AI85" s="229"/>
      <c r="AJ85" s="36"/>
      <c r="AK85" s="231"/>
      <c r="AL85" s="230"/>
      <c r="AM85" s="87"/>
      <c r="AP85" s="227"/>
      <c r="AQ85" s="228"/>
      <c r="AR85" s="229"/>
      <c r="AS85" s="36"/>
      <c r="AT85" s="229"/>
      <c r="AU85" s="230"/>
      <c r="AV85" s="87"/>
      <c r="AY85" s="227"/>
      <c r="AZ85" s="228"/>
      <c r="BA85" s="229"/>
      <c r="BB85" s="36"/>
      <c r="BC85" s="231"/>
      <c r="BD85" s="230"/>
      <c r="BE85" s="87"/>
      <c r="BH85" s="227"/>
      <c r="BI85" s="228"/>
      <c r="BJ85" s="229"/>
      <c r="BK85" s="36"/>
      <c r="BL85" s="231"/>
      <c r="BM85" s="230"/>
      <c r="BN85" s="87"/>
      <c r="BQ85" s="227"/>
      <c r="BR85" s="228"/>
      <c r="BS85" s="229"/>
      <c r="BT85" s="36"/>
      <c r="BU85" s="229"/>
      <c r="BV85" s="230"/>
      <c r="BW85" s="87"/>
      <c r="BZ85" s="227"/>
      <c r="CA85" s="228"/>
      <c r="CB85" s="229"/>
      <c r="CC85" s="36"/>
      <c r="CD85" s="229"/>
      <c r="CE85" s="230"/>
      <c r="CF85" s="87"/>
      <c r="CI85" s="227"/>
      <c r="CJ85" s="228"/>
      <c r="CK85" s="229"/>
      <c r="CL85" s="36"/>
      <c r="CM85" s="229"/>
      <c r="CN85" s="230"/>
      <c r="CO85" s="87"/>
      <c r="CR85" s="227"/>
      <c r="CS85" s="228"/>
      <c r="CT85" s="229"/>
      <c r="CU85" s="232"/>
      <c r="CV85" s="231"/>
      <c r="CW85" s="233"/>
      <c r="CX85" s="87"/>
      <c r="DA85" s="227"/>
      <c r="DB85" s="228"/>
      <c r="DC85" s="229"/>
      <c r="DD85" s="36"/>
      <c r="DE85" s="229"/>
      <c r="DF85" s="230"/>
      <c r="DG85" s="87"/>
      <c r="DJ85" s="227"/>
      <c r="DK85" s="228"/>
      <c r="DL85" s="229"/>
      <c r="DM85" s="232"/>
      <c r="DN85" s="231"/>
      <c r="DO85" s="233"/>
      <c r="DP85" s="87"/>
      <c r="DS85" s="227"/>
      <c r="DT85" s="228"/>
      <c r="DU85" s="229"/>
      <c r="DV85" s="36"/>
      <c r="DW85" s="229"/>
      <c r="DX85" s="230"/>
      <c r="DY85" s="87"/>
      <c r="EB85" s="227"/>
      <c r="EC85" s="228"/>
      <c r="ED85" s="229"/>
      <c r="EE85" s="232"/>
      <c r="EF85" s="231"/>
      <c r="EG85" s="233"/>
      <c r="EH85" s="87"/>
      <c r="EK85" s="227"/>
      <c r="EL85" s="228"/>
      <c r="EM85" s="229"/>
      <c r="EN85" s="232"/>
      <c r="EO85" s="231"/>
      <c r="EP85" s="233"/>
      <c r="EQ85" s="87"/>
      <c r="ET85" s="227"/>
      <c r="EU85" s="228"/>
      <c r="EV85" s="229"/>
      <c r="EW85" s="36"/>
      <c r="EX85" s="229"/>
      <c r="EY85" s="230"/>
      <c r="EZ85" s="87"/>
      <c r="FC85" s="227"/>
      <c r="FD85" s="228"/>
      <c r="FE85" s="229"/>
      <c r="FF85" s="36"/>
      <c r="FG85" s="229"/>
      <c r="FH85" s="230"/>
      <c r="FI85" s="87"/>
      <c r="FL85" s="227"/>
      <c r="FM85" s="228"/>
      <c r="FN85" s="229"/>
      <c r="FO85" s="36"/>
      <c r="FP85" s="229"/>
      <c r="FQ85" s="230"/>
      <c r="FR85" s="87"/>
      <c r="FU85" s="227"/>
      <c r="FV85" s="228"/>
      <c r="FW85" s="229"/>
      <c r="FX85" s="36"/>
      <c r="FY85" s="229"/>
      <c r="FZ85" s="230"/>
      <c r="GA85" s="87"/>
      <c r="GD85" s="227"/>
      <c r="GE85" s="228"/>
      <c r="GF85" s="229"/>
      <c r="GG85" s="36"/>
      <c r="GH85" s="229"/>
      <c r="GI85" s="230"/>
      <c r="GJ85" s="87"/>
      <c r="GM85" s="227"/>
      <c r="GN85" s="228"/>
      <c r="GO85" s="229"/>
      <c r="GP85" s="36"/>
      <c r="GQ85" s="229"/>
      <c r="GR85" s="230"/>
      <c r="GS85" s="87"/>
      <c r="GT85" s="187"/>
      <c r="GU85"/>
      <c r="GW85" s="235"/>
      <c r="GX85" s="235"/>
      <c r="GY85" s="236"/>
      <c r="GZ85"/>
    </row>
    <row r="86" spans="1:208" x14ac:dyDescent="0.25">
      <c r="D86" s="35"/>
      <c r="E86" s="36"/>
      <c r="F86" s="37"/>
      <c r="G86" s="38"/>
      <c r="H86" s="39"/>
      <c r="I86" s="40"/>
      <c r="J86" s="177"/>
      <c r="M86" s="212"/>
      <c r="O86" s="224"/>
      <c r="P86" s="225"/>
      <c r="Q86" s="226"/>
      <c r="R86" s="226"/>
      <c r="S86" s="226"/>
      <c r="T86" s="39"/>
      <c r="U86" s="217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36"/>
      <c r="AK86" s="231"/>
      <c r="AL86" s="230"/>
      <c r="AM86" s="87"/>
      <c r="AP86" s="227"/>
      <c r="AQ86" s="228"/>
      <c r="AR86" s="229"/>
      <c r="AS86" s="36"/>
      <c r="AT86" s="229"/>
      <c r="AU86" s="230"/>
      <c r="AV86" s="87"/>
      <c r="AY86" s="227"/>
      <c r="AZ86" s="228"/>
      <c r="BA86" s="229"/>
      <c r="BB86" s="36"/>
      <c r="BC86" s="231"/>
      <c r="BD86" s="230"/>
      <c r="BE86" s="87"/>
      <c r="BH86" s="227"/>
      <c r="BI86" s="228"/>
      <c r="BJ86" s="229"/>
      <c r="BK86" s="36"/>
      <c r="BL86" s="231"/>
      <c r="BM86" s="230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/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/>
      <c r="DC86" s="229"/>
      <c r="DD86" s="36"/>
      <c r="DE86" s="229"/>
      <c r="DF86" s="230"/>
      <c r="DG86" s="87"/>
      <c r="DJ86" s="227"/>
      <c r="DK86" s="228"/>
      <c r="DL86" s="229"/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/>
      <c r="ED86" s="229"/>
      <c r="EE86" s="232"/>
      <c r="EF86" s="231"/>
      <c r="EG86" s="233"/>
      <c r="EH86" s="87"/>
      <c r="EK86" s="227"/>
      <c r="EL86" s="228"/>
      <c r="EM86" s="229"/>
      <c r="EN86" s="232"/>
      <c r="EO86" s="231"/>
      <c r="EP86" s="233"/>
      <c r="EQ86" s="87"/>
      <c r="ET86" s="227"/>
      <c r="EU86" s="228"/>
      <c r="EV86" s="229"/>
      <c r="EW86" s="36"/>
      <c r="EX86" s="229"/>
      <c r="EY86" s="230"/>
      <c r="EZ86" s="87"/>
      <c r="FC86" s="227"/>
      <c r="FD86" s="228"/>
      <c r="FE86" s="229"/>
      <c r="FF86" s="36"/>
      <c r="FG86" s="229"/>
      <c r="FH86" s="230"/>
      <c r="FI86" s="87"/>
      <c r="FL86" s="227"/>
      <c r="FM86" s="228"/>
      <c r="FN86" s="229"/>
      <c r="FO86" s="36"/>
      <c r="FP86" s="229"/>
      <c r="FQ86" s="230"/>
      <c r="FR86" s="87"/>
      <c r="FU86" s="227"/>
      <c r="FV86" s="228"/>
      <c r="FW86" s="229"/>
      <c r="FX86" s="36"/>
      <c r="FY86" s="229"/>
      <c r="FZ86" s="230"/>
      <c r="GA86" s="87"/>
      <c r="GD86" s="227"/>
      <c r="GE86" s="228"/>
      <c r="GF86" s="229"/>
      <c r="GG86" s="36"/>
      <c r="GH86" s="229"/>
      <c r="GI86" s="230"/>
      <c r="GJ86" s="87"/>
      <c r="GM86" s="227"/>
      <c r="GN86" s="228"/>
      <c r="GO86" s="229"/>
      <c r="GP86" s="36"/>
      <c r="GQ86" s="229"/>
      <c r="GR86" s="230"/>
      <c r="GS86" s="87"/>
      <c r="GT86" s="187"/>
      <c r="GU86"/>
      <c r="GW86" s="235"/>
      <c r="GX86" s="235"/>
      <c r="GY86" s="236"/>
      <c r="GZ86"/>
    </row>
    <row r="87" spans="1:208" x14ac:dyDescent="0.25">
      <c r="A87" s="1">
        <v>25</v>
      </c>
      <c r="B87" t="e">
        <f>#REF!</f>
        <v>#REF!</v>
      </c>
      <c r="C87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77"/>
      <c r="M87" s="212"/>
      <c r="O87" s="224"/>
      <c r="P87" s="240"/>
      <c r="Q87" s="226"/>
      <c r="R87" s="226"/>
      <c r="S87" s="226"/>
      <c r="T87" s="39"/>
      <c r="U87" s="241"/>
      <c r="X87" s="227"/>
      <c r="Y87" s="228"/>
      <c r="Z87" s="229"/>
      <c r="AA87" s="198"/>
      <c r="AB87" s="197"/>
      <c r="AC87" s="199"/>
      <c r="AD87" s="200"/>
      <c r="AG87" s="227"/>
      <c r="AH87" s="228"/>
      <c r="AI87" s="229"/>
      <c r="AJ87" s="232"/>
      <c r="AK87" s="231"/>
      <c r="AL87" s="233"/>
      <c r="AM87" s="87"/>
      <c r="AP87" s="227"/>
      <c r="AQ87" s="228">
        <v>21</v>
      </c>
      <c r="AR87" s="229"/>
      <c r="AS87" s="232"/>
      <c r="AT87" s="229"/>
      <c r="AU87" s="233"/>
      <c r="AV87" s="87"/>
      <c r="AY87" s="227"/>
      <c r="AZ87" s="228">
        <v>21</v>
      </c>
      <c r="BA87" s="229"/>
      <c r="BB87" s="232"/>
      <c r="BC87" s="231"/>
      <c r="BD87" s="233"/>
      <c r="BE87" s="87"/>
      <c r="BH87" s="227"/>
      <c r="BI87" s="228"/>
      <c r="BJ87" s="229"/>
      <c r="BK87" s="232"/>
      <c r="BL87" s="231"/>
      <c r="BM87" s="233"/>
      <c r="BN87" s="87"/>
      <c r="BQ87" s="227"/>
      <c r="BR87" s="228"/>
      <c r="BS87" s="229"/>
      <c r="BT87" s="36"/>
      <c r="BU87" s="229"/>
      <c r="BV87" s="230"/>
      <c r="BW87" s="87"/>
      <c r="BZ87" s="227"/>
      <c r="CA87" s="228"/>
      <c r="CB87" s="229"/>
      <c r="CC87" s="36"/>
      <c r="CD87" s="229"/>
      <c r="CE87" s="230"/>
      <c r="CF87" s="87"/>
      <c r="CI87" s="227"/>
      <c r="CJ87" s="228">
        <v>21</v>
      </c>
      <c r="CK87" s="229"/>
      <c r="CL87" s="36"/>
      <c r="CM87" s="229"/>
      <c r="CN87" s="230"/>
      <c r="CO87" s="87"/>
      <c r="CR87" s="227"/>
      <c r="CS87" s="228"/>
      <c r="CT87" s="229"/>
      <c r="CU87" s="232"/>
      <c r="CV87" s="231"/>
      <c r="CW87" s="233"/>
      <c r="CX87" s="87"/>
      <c r="DA87" s="227"/>
      <c r="DB87" s="228">
        <v>21</v>
      </c>
      <c r="DC87" s="229"/>
      <c r="DD87" s="36"/>
      <c r="DE87" s="229"/>
      <c r="DF87" s="230"/>
      <c r="DG87" s="87"/>
      <c r="DJ87" s="227"/>
      <c r="DK87" s="228"/>
      <c r="DL87" s="229"/>
      <c r="DM87" s="232"/>
      <c r="DN87" s="231"/>
      <c r="DO87" s="233"/>
      <c r="DP87" s="87"/>
      <c r="DS87" s="227"/>
      <c r="DT87" s="228"/>
      <c r="DU87" s="229"/>
      <c r="DV87" s="36"/>
      <c r="DW87" s="229"/>
      <c r="DX87" s="230"/>
      <c r="DY87" s="87"/>
      <c r="EB87" s="227"/>
      <c r="EC87" s="228">
        <v>21</v>
      </c>
      <c r="ED87" s="229"/>
      <c r="EE87" s="232"/>
      <c r="EF87" s="231"/>
      <c r="EG87" s="233"/>
      <c r="EH87" s="87"/>
      <c r="EK87" s="227"/>
      <c r="EL87" s="228">
        <v>21</v>
      </c>
      <c r="EM87" s="229"/>
      <c r="EN87" s="232"/>
      <c r="EO87" s="231"/>
      <c r="EP87" s="233"/>
      <c r="EQ87" s="87"/>
      <c r="ET87" s="227"/>
      <c r="EU87" s="228">
        <v>21</v>
      </c>
      <c r="EV87" s="229"/>
      <c r="EW87" s="36"/>
      <c r="EX87" s="229"/>
      <c r="EY87" s="230"/>
      <c r="EZ87" s="87"/>
      <c r="FC87" s="227"/>
      <c r="FD87" s="228">
        <v>21</v>
      </c>
      <c r="FE87" s="229"/>
      <c r="FF87" s="36"/>
      <c r="FG87" s="229"/>
      <c r="FH87" s="230"/>
      <c r="FI87" s="87"/>
      <c r="FL87" s="227"/>
      <c r="FM87" s="228">
        <v>21</v>
      </c>
      <c r="FN87" s="229"/>
      <c r="FO87" s="36"/>
      <c r="FP87" s="229"/>
      <c r="FQ87" s="230"/>
      <c r="FR87" s="87"/>
      <c r="FU87" s="227"/>
      <c r="FV87" s="228">
        <v>21</v>
      </c>
      <c r="FW87" s="229"/>
      <c r="FX87" s="36"/>
      <c r="FY87" s="229"/>
      <c r="FZ87" s="230"/>
      <c r="GA87" s="87"/>
      <c r="GD87" s="227"/>
      <c r="GE87" s="228">
        <v>21</v>
      </c>
      <c r="GF87" s="229"/>
      <c r="GG87" s="36"/>
      <c r="GH87" s="229"/>
      <c r="GI87" s="230"/>
      <c r="GJ87" s="87"/>
      <c r="GM87" s="227"/>
      <c r="GN87" s="228">
        <v>21</v>
      </c>
      <c r="GO87" s="229"/>
      <c r="GP87" s="36"/>
      <c r="GQ87" s="229"/>
      <c r="GR87" s="230"/>
      <c r="GS87" s="87"/>
      <c r="GT87" s="187"/>
      <c r="GU87"/>
      <c r="GW87" s="235"/>
      <c r="GX87" s="235"/>
      <c r="GY87" s="236"/>
      <c r="GZ87"/>
    </row>
    <row r="88" spans="1:208" x14ac:dyDescent="0.25">
      <c r="A88" s="1">
        <v>26</v>
      </c>
      <c r="B88" t="e">
        <f>#REF!</f>
        <v>#REF!</v>
      </c>
      <c r="C88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38"/>
      <c r="M88" s="212"/>
      <c r="T88" s="39"/>
      <c r="U88" s="242"/>
      <c r="X88" s="227"/>
      <c r="Y88" s="228"/>
      <c r="Z88" s="229"/>
      <c r="AA88" s="36"/>
      <c r="AB88" s="229"/>
      <c r="AC88" s="230"/>
      <c r="AD88" s="87"/>
      <c r="AG88" s="227"/>
      <c r="AH88" s="228"/>
      <c r="AI88" s="229"/>
      <c r="AJ88" s="232"/>
      <c r="AK88" s="231"/>
      <c r="AL88" s="233"/>
      <c r="AM88" s="87"/>
      <c r="AP88" s="227"/>
      <c r="AQ88" s="228">
        <v>22</v>
      </c>
      <c r="AR88" s="231"/>
      <c r="AS88" s="232"/>
      <c r="AT88" s="229"/>
      <c r="AU88" s="233"/>
      <c r="AV88" s="87"/>
      <c r="AY88" s="227"/>
      <c r="AZ88" s="228">
        <v>22</v>
      </c>
      <c r="BA88" s="229"/>
      <c r="BB88" s="232"/>
      <c r="BC88" s="231"/>
      <c r="BD88" s="233"/>
      <c r="BE88" s="87"/>
      <c r="BH88" s="227"/>
      <c r="BI88" s="228"/>
      <c r="BJ88" s="229"/>
      <c r="BK88" s="232"/>
      <c r="BL88" s="231"/>
      <c r="BM88" s="233"/>
      <c r="BN88" s="87"/>
      <c r="BQ88" s="227"/>
      <c r="BR88" s="228"/>
      <c r="BS88" s="229"/>
      <c r="BT88" s="36"/>
      <c r="BU88" s="229"/>
      <c r="BV88" s="230"/>
      <c r="BW88" s="87"/>
      <c r="BZ88" s="227"/>
      <c r="CA88" s="228"/>
      <c r="CB88" s="229"/>
      <c r="CC88" s="36"/>
      <c r="CD88" s="229"/>
      <c r="CE88" s="230"/>
      <c r="CF88" s="87"/>
      <c r="CI88" s="227"/>
      <c r="CJ88" s="228">
        <v>22</v>
      </c>
      <c r="CK88" s="229"/>
      <c r="CL88" s="36"/>
      <c r="CM88" s="229"/>
      <c r="CN88" s="230"/>
      <c r="CO88" s="87"/>
      <c r="CR88" s="227"/>
      <c r="CS88" s="228"/>
      <c r="CT88" s="229"/>
      <c r="CU88" s="232"/>
      <c r="CV88" s="231"/>
      <c r="CW88" s="233"/>
      <c r="CX88" s="87"/>
      <c r="DA88" s="227"/>
      <c r="DB88" s="228">
        <v>22</v>
      </c>
      <c r="DC88" s="229"/>
      <c r="DD88" s="232"/>
      <c r="DE88" s="231"/>
      <c r="DF88" s="233"/>
      <c r="DG88" s="87"/>
      <c r="DJ88" s="227"/>
      <c r="DK88" s="228"/>
      <c r="DL88" s="229">
        <v>0</v>
      </c>
      <c r="DM88" s="232"/>
      <c r="DN88" s="231"/>
      <c r="DO88" s="233"/>
      <c r="DP88" s="87"/>
      <c r="DS88" s="227"/>
      <c r="DT88" s="228"/>
      <c r="DU88" s="229"/>
      <c r="DV88" s="36"/>
      <c r="DW88" s="229"/>
      <c r="DX88" s="230"/>
      <c r="DY88" s="87"/>
      <c r="EB88" s="227"/>
      <c r="EC88" s="228">
        <v>22</v>
      </c>
      <c r="ED88" s="229"/>
      <c r="EE88" s="232"/>
      <c r="EF88" s="231"/>
      <c r="EG88" s="233"/>
      <c r="EH88" s="87"/>
      <c r="EK88" s="227"/>
      <c r="EL88" s="228">
        <v>22</v>
      </c>
      <c r="EM88" s="229"/>
      <c r="EN88" s="232"/>
      <c r="EO88" s="231"/>
      <c r="EP88" s="233"/>
      <c r="EQ88" s="87"/>
      <c r="ET88" s="227"/>
      <c r="EU88" s="228">
        <v>22</v>
      </c>
      <c r="EV88" s="229"/>
      <c r="EW88" s="36"/>
      <c r="EX88" s="229"/>
      <c r="EY88" s="230"/>
      <c r="EZ88" s="87"/>
      <c r="FC88" s="227"/>
      <c r="FD88" s="228">
        <v>22</v>
      </c>
      <c r="FE88" s="229"/>
      <c r="FF88" s="36"/>
      <c r="FG88" s="229"/>
      <c r="FH88" s="230"/>
      <c r="FI88" s="87"/>
      <c r="FL88" s="227"/>
      <c r="FM88" s="228">
        <v>22</v>
      </c>
      <c r="FN88" s="229"/>
      <c r="FO88" s="36"/>
      <c r="FP88" s="229"/>
      <c r="FQ88" s="230"/>
      <c r="FR88" s="87"/>
      <c r="FU88" s="227"/>
      <c r="FV88" s="228">
        <v>22</v>
      </c>
      <c r="FW88" s="229"/>
      <c r="FX88" s="36"/>
      <c r="FY88" s="229"/>
      <c r="FZ88" s="230"/>
      <c r="GA88" s="87"/>
      <c r="GD88" s="227"/>
      <c r="GE88" s="228">
        <v>22</v>
      </c>
      <c r="GF88" s="229"/>
      <c r="GG88" s="36"/>
      <c r="GH88" s="229"/>
      <c r="GI88" s="230"/>
      <c r="GJ88" s="87"/>
      <c r="GM88" s="227"/>
      <c r="GN88" s="228">
        <v>22</v>
      </c>
      <c r="GO88" s="229"/>
      <c r="GP88" s="36"/>
      <c r="GQ88" s="229"/>
      <c r="GR88" s="230"/>
      <c r="GS88" s="87"/>
      <c r="GT88" s="187"/>
      <c r="GU88"/>
      <c r="GW88" s="235"/>
      <c r="GX88" s="235"/>
      <c r="GY88" s="236"/>
      <c r="GZ88"/>
    </row>
    <row r="89" spans="1:208" ht="16.5" thickBot="1" x14ac:dyDescent="0.3">
      <c r="A89" s="1">
        <v>27</v>
      </c>
      <c r="B89" t="e">
        <f>#REF!</f>
        <v>#REF!</v>
      </c>
      <c r="C89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38"/>
      <c r="U89" s="242"/>
      <c r="X89" s="227"/>
      <c r="Y89" s="228"/>
      <c r="Z89" s="231"/>
      <c r="AA89" s="36"/>
      <c r="AB89" s="229"/>
      <c r="AC89" s="230"/>
      <c r="AD89" s="87"/>
      <c r="AG89" s="243"/>
      <c r="AH89" s="244"/>
      <c r="AI89" s="245"/>
      <c r="AJ89" s="246"/>
      <c r="AK89" s="247"/>
      <c r="AL89" s="248"/>
      <c r="AP89" s="227"/>
      <c r="AQ89" s="228">
        <v>23</v>
      </c>
      <c r="AR89" s="231"/>
      <c r="AS89" s="232"/>
      <c r="AT89" s="229"/>
      <c r="AU89" s="230"/>
      <c r="AV89" s="87"/>
      <c r="AY89" s="227"/>
      <c r="AZ89" s="228"/>
      <c r="BA89" s="231"/>
      <c r="BB89" s="232"/>
      <c r="BC89" s="249"/>
      <c r="BD89" s="230"/>
      <c r="BE89" s="87"/>
      <c r="BH89" s="243"/>
      <c r="BI89" s="250"/>
      <c r="BJ89" s="245"/>
      <c r="BK89" s="251"/>
      <c r="BL89" s="247"/>
      <c r="BM89" s="252"/>
      <c r="BN89" s="87"/>
      <c r="BR89" s="228"/>
      <c r="BS89" s="231"/>
      <c r="BT89" s="36"/>
      <c r="BU89" s="231"/>
      <c r="BV89" s="230"/>
      <c r="BW89" s="87"/>
      <c r="BZ89" s="243"/>
      <c r="CA89" s="253"/>
      <c r="CB89" s="245"/>
      <c r="CC89" s="246"/>
      <c r="CD89" s="247"/>
      <c r="CE89" s="248"/>
      <c r="CI89" s="227"/>
      <c r="CJ89" s="228">
        <v>23</v>
      </c>
      <c r="CK89" s="231"/>
      <c r="CM89" s="231"/>
      <c r="CR89" s="243"/>
      <c r="CS89" s="253"/>
      <c r="CT89" s="245">
        <v>0</v>
      </c>
      <c r="CU89" s="246"/>
      <c r="CV89" s="247">
        <v>0</v>
      </c>
      <c r="CW89" s="248"/>
      <c r="DA89" s="243"/>
      <c r="DB89" s="253"/>
      <c r="DC89" s="245">
        <v>0</v>
      </c>
      <c r="DD89" s="246"/>
      <c r="DE89" s="247">
        <v>0</v>
      </c>
      <c r="DF89" s="248"/>
      <c r="DJ89" s="243"/>
      <c r="DK89" s="253"/>
      <c r="DL89" s="245">
        <v>0</v>
      </c>
      <c r="DM89" s="246"/>
      <c r="DN89" s="247">
        <v>0</v>
      </c>
      <c r="DO89" s="248"/>
      <c r="DS89" s="243"/>
      <c r="DT89" s="253"/>
      <c r="DU89" s="245">
        <v>0</v>
      </c>
      <c r="DV89" s="246"/>
      <c r="DW89" s="247">
        <v>0</v>
      </c>
      <c r="DX89" s="248"/>
      <c r="EB89" s="243"/>
      <c r="EC89" s="253"/>
      <c r="ED89" s="245">
        <v>0</v>
      </c>
      <c r="EE89" s="246"/>
      <c r="EF89" s="247">
        <v>0</v>
      </c>
      <c r="EG89" s="248"/>
      <c r="EK89" s="243"/>
      <c r="EL89" s="253"/>
      <c r="EM89" s="245">
        <v>0</v>
      </c>
      <c r="EN89" s="246"/>
      <c r="EO89" s="247">
        <v>0</v>
      </c>
      <c r="EP89" s="248"/>
      <c r="ET89" s="243"/>
      <c r="EU89" s="253"/>
      <c r="EV89" s="245">
        <v>0</v>
      </c>
      <c r="EW89" s="246"/>
      <c r="EX89" s="247">
        <v>0</v>
      </c>
      <c r="EY89" s="248"/>
      <c r="FC89" s="243"/>
      <c r="FD89" s="253"/>
      <c r="FE89" s="245">
        <v>0</v>
      </c>
      <c r="FF89" s="246"/>
      <c r="FG89" s="247">
        <v>0</v>
      </c>
      <c r="FH89" s="248"/>
      <c r="FL89" s="243"/>
      <c r="FM89" s="253"/>
      <c r="FN89" s="245">
        <v>0</v>
      </c>
      <c r="FO89" s="246"/>
      <c r="FP89" s="247">
        <v>0</v>
      </c>
      <c r="FQ89" s="248"/>
      <c r="FU89" s="243"/>
      <c r="FV89" s="253"/>
      <c r="FW89" s="245">
        <v>0</v>
      </c>
      <c r="FX89" s="246"/>
      <c r="FY89" s="247">
        <v>0</v>
      </c>
      <c r="FZ89" s="248"/>
      <c r="GD89" s="243"/>
      <c r="GE89" s="253"/>
      <c r="GF89" s="245">
        <v>0</v>
      </c>
      <c r="GG89" s="246"/>
      <c r="GH89" s="247">
        <v>0</v>
      </c>
      <c r="GI89" s="248"/>
      <c r="GM89" s="243"/>
      <c r="GN89" s="253"/>
      <c r="GO89" s="245">
        <v>0</v>
      </c>
      <c r="GP89" s="246"/>
      <c r="GQ89" s="247">
        <v>0</v>
      </c>
      <c r="GR89" s="248"/>
      <c r="GU89"/>
      <c r="GW89" s="235"/>
      <c r="GX89" s="235"/>
      <c r="GY89" s="236"/>
      <c r="GZ89"/>
    </row>
    <row r="90" spans="1:208" x14ac:dyDescent="0.25">
      <c r="J90" s="177"/>
      <c r="K90" s="452"/>
      <c r="T90" s="39"/>
      <c r="U90" s="217"/>
      <c r="GU90"/>
      <c r="GW90" s="235"/>
      <c r="GX90" s="235"/>
      <c r="GY90" s="236"/>
      <c r="GZ90"/>
    </row>
    <row r="91" spans="1:208" x14ac:dyDescent="0.25">
      <c r="J91" s="238"/>
      <c r="K91" s="452"/>
      <c r="T91" s="39"/>
      <c r="U91" s="217"/>
      <c r="GU91"/>
      <c r="GW91" s="235"/>
      <c r="GX91" s="235"/>
      <c r="GY91" s="236"/>
      <c r="GZ91"/>
    </row>
    <row r="92" spans="1:208" x14ac:dyDescent="0.25">
      <c r="J92" s="177"/>
      <c r="K92" s="452"/>
      <c r="O92" s="224"/>
      <c r="P92" s="225"/>
      <c r="Q92" s="226"/>
      <c r="R92" s="226"/>
      <c r="S92" s="226"/>
      <c r="T92" s="39"/>
      <c r="U92" s="217"/>
      <c r="GU92"/>
      <c r="GW92" s="235"/>
      <c r="GX92" s="235"/>
      <c r="GY92" s="236"/>
      <c r="GZ92"/>
    </row>
    <row r="93" spans="1:208" x14ac:dyDescent="0.25">
      <c r="J93" s="238"/>
      <c r="K93" s="452"/>
      <c r="M93" s="212"/>
      <c r="O93" s="224"/>
      <c r="P93" s="225"/>
      <c r="Q93" s="226"/>
      <c r="R93" s="226"/>
      <c r="S93" s="226"/>
      <c r="T93" s="39"/>
      <c r="U93" s="217"/>
      <c r="GU93"/>
      <c r="GW93" s="235"/>
      <c r="GX93" s="235"/>
      <c r="GY93" s="236"/>
      <c r="GZ93"/>
    </row>
    <row r="94" spans="1:208" x14ac:dyDescent="0.25">
      <c r="J94" s="177"/>
      <c r="K94" s="452"/>
      <c r="M94" s="212"/>
      <c r="O94" s="884"/>
      <c r="P94" s="884"/>
      <c r="Q94" s="884"/>
      <c r="T94" s="39"/>
      <c r="U94" s="217"/>
      <c r="GU94"/>
      <c r="GW94" s="235"/>
      <c r="GX94" s="235"/>
      <c r="GY94" s="236"/>
      <c r="GZ94"/>
    </row>
    <row r="95" spans="1:208" x14ac:dyDescent="0.25">
      <c r="J95" s="238"/>
      <c r="GU95"/>
      <c r="GW95" s="235"/>
      <c r="GX95" s="235"/>
      <c r="GY95" s="236"/>
      <c r="GZ95"/>
    </row>
    <row r="96" spans="1:208" x14ac:dyDescent="0.25">
      <c r="J96" s="177"/>
      <c r="GU96"/>
      <c r="GW96" s="235"/>
      <c r="GX96" s="235"/>
      <c r="GY96" s="236"/>
      <c r="GZ96"/>
    </row>
    <row r="97" spans="1:208" x14ac:dyDescent="0.25">
      <c r="A97"/>
      <c r="F97"/>
      <c r="J97" s="177"/>
      <c r="K97" s="453"/>
      <c r="L97"/>
      <c r="M97"/>
      <c r="N97"/>
      <c r="O97" s="37"/>
      <c r="P97"/>
      <c r="Q97"/>
      <c r="R97"/>
      <c r="S97"/>
      <c r="V97"/>
      <c r="W97"/>
      <c r="GU97"/>
      <c r="GW97" s="235"/>
      <c r="GX97" s="235"/>
      <c r="GY97" s="236"/>
      <c r="GZ97"/>
    </row>
    <row r="98" spans="1:208" x14ac:dyDescent="0.25">
      <c r="A98"/>
      <c r="F98"/>
      <c r="J98" s="238"/>
      <c r="K98" s="453"/>
      <c r="L98"/>
      <c r="M98"/>
      <c r="N98"/>
      <c r="O98" s="37"/>
      <c r="P98"/>
      <c r="Q98"/>
      <c r="R98"/>
      <c r="S98"/>
      <c r="V98"/>
      <c r="W98"/>
      <c r="GU98"/>
      <c r="GW98" s="235"/>
      <c r="GX98" s="235"/>
      <c r="GY98" s="236"/>
      <c r="GZ98"/>
    </row>
    <row r="99" spans="1:208" x14ac:dyDescent="0.25">
      <c r="A99"/>
      <c r="F99"/>
      <c r="J99" s="238"/>
      <c r="K99" s="453"/>
      <c r="L99"/>
      <c r="M99"/>
      <c r="N99"/>
      <c r="O99" s="37"/>
      <c r="P99"/>
      <c r="Q99"/>
      <c r="R99"/>
      <c r="S99"/>
      <c r="V99"/>
      <c r="W99"/>
      <c r="GU99"/>
      <c r="GW99" s="235"/>
      <c r="GX99" s="235"/>
      <c r="GY99" s="236"/>
      <c r="GZ99"/>
    </row>
    <row r="100" spans="1:208" x14ac:dyDescent="0.25">
      <c r="A100"/>
      <c r="F100"/>
      <c r="J100" s="238"/>
      <c r="K100" s="453"/>
      <c r="L100"/>
      <c r="M100"/>
      <c r="N100"/>
      <c r="O100" s="37"/>
      <c r="P100"/>
      <c r="Q100"/>
      <c r="R100"/>
      <c r="S100"/>
      <c r="V100"/>
      <c r="W100"/>
      <c r="GU100"/>
      <c r="GW100" s="235"/>
      <c r="GX100" s="235"/>
      <c r="GY100" s="236"/>
      <c r="GZ100"/>
    </row>
    <row r="101" spans="1:208" x14ac:dyDescent="0.25">
      <c r="A101"/>
      <c r="F101"/>
      <c r="J101" s="255"/>
      <c r="K101" s="453"/>
      <c r="L101"/>
      <c r="M101"/>
      <c r="N101"/>
      <c r="O101" s="37"/>
      <c r="P101"/>
      <c r="Q101"/>
      <c r="R101"/>
      <c r="S101"/>
      <c r="V101"/>
      <c r="W101"/>
      <c r="GU101"/>
      <c r="GW101" s="235"/>
      <c r="GX101" s="235"/>
      <c r="GY101" s="236"/>
      <c r="GZ101"/>
    </row>
    <row r="102" spans="1:208" x14ac:dyDescent="0.25">
      <c r="A102"/>
      <c r="F102"/>
      <c r="J102" s="208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236"/>
      <c r="GZ102"/>
    </row>
    <row r="103" spans="1:208" x14ac:dyDescent="0.25">
      <c r="A103"/>
      <c r="F103"/>
      <c r="J103" s="177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236"/>
      <c r="GZ103"/>
    </row>
    <row r="104" spans="1:208" x14ac:dyDescent="0.25">
      <c r="A104"/>
      <c r="F104"/>
      <c r="J104" s="177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236"/>
      <c r="GZ104"/>
    </row>
    <row r="105" spans="1:208" x14ac:dyDescent="0.25">
      <c r="A105"/>
      <c r="F105"/>
      <c r="J105" s="177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236"/>
      <c r="GZ105"/>
    </row>
    <row r="106" spans="1:208" x14ac:dyDescent="0.25">
      <c r="A106"/>
      <c r="F106"/>
      <c r="J106" s="177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236"/>
      <c r="GZ106"/>
    </row>
    <row r="107" spans="1:208" x14ac:dyDescent="0.25">
      <c r="A107"/>
      <c r="F107"/>
      <c r="J107" s="177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236"/>
      <c r="GZ107"/>
    </row>
    <row r="108" spans="1:208" x14ac:dyDescent="0.25">
      <c r="A108"/>
      <c r="F108"/>
      <c r="J108" s="177"/>
      <c r="K108" s="453"/>
      <c r="L108"/>
      <c r="M108"/>
      <c r="N108"/>
      <c r="O108" s="37"/>
      <c r="P108"/>
      <c r="Q108"/>
      <c r="R108"/>
      <c r="S108"/>
      <c r="V108"/>
      <c r="W108"/>
      <c r="GU108"/>
      <c r="GW108" s="235"/>
      <c r="GX108" s="235"/>
      <c r="GY108" s="236"/>
      <c r="GZ108"/>
    </row>
    <row r="109" spans="1:208" x14ac:dyDescent="0.25">
      <c r="A109"/>
      <c r="F109"/>
      <c r="J109" s="177"/>
      <c r="K109" s="453"/>
      <c r="L109"/>
      <c r="M109"/>
      <c r="N109"/>
      <c r="O109" s="37"/>
      <c r="P109"/>
      <c r="Q109"/>
      <c r="R109"/>
      <c r="S109"/>
      <c r="V109"/>
      <c r="W109"/>
      <c r="GU109"/>
      <c r="GW109" s="235"/>
      <c r="GX109" s="235"/>
      <c r="GY109" s="236"/>
      <c r="GZ109"/>
    </row>
  </sheetData>
  <mergeCells count="32">
    <mergeCell ref="R27:S27"/>
    <mergeCell ref="R17:S17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  <mergeCell ref="O94:Q94"/>
    <mergeCell ref="FT1:FZ1"/>
    <mergeCell ref="GC1:GI1"/>
    <mergeCell ref="GL1:GR1"/>
    <mergeCell ref="R4:S4"/>
    <mergeCell ref="R14:S14"/>
    <mergeCell ref="R41:S4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M76:N76"/>
    <mergeCell ref="O76:O77"/>
    <mergeCell ref="O80:Q80"/>
    <mergeCell ref="O83:Q84"/>
    <mergeCell ref="T83:U8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66FF"/>
  </sheetPr>
  <dimension ref="A1:O310"/>
  <sheetViews>
    <sheetView topLeftCell="A91" workbookViewId="0">
      <selection activeCell="A99" sqref="A99"/>
    </sheetView>
  </sheetViews>
  <sheetFormatPr baseColWidth="10" defaultRowHeight="15.75" x14ac:dyDescent="0.25"/>
  <cols>
    <col min="1" max="1" width="25.5703125" style="268" customWidth="1"/>
    <col min="2" max="2" width="15" style="685" customWidth="1"/>
    <col min="3" max="3" width="11.42578125" style="31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1.85546875" style="790" customWidth="1"/>
    <col min="9" max="9" width="14.85546875" style="780" bestFit="1" customWidth="1"/>
    <col min="10" max="10" width="11.85546875" style="62" customWidth="1"/>
    <col min="11" max="12" width="11.42578125" style="195"/>
  </cols>
  <sheetData>
    <row r="1" spans="1:9" ht="21" x14ac:dyDescent="0.35">
      <c r="A1" s="885" t="s">
        <v>454</v>
      </c>
      <c r="B1" s="885"/>
      <c r="C1" s="885"/>
      <c r="D1" s="885"/>
      <c r="E1" s="885"/>
      <c r="F1" s="885"/>
      <c r="G1" s="885"/>
    </row>
    <row r="2" spans="1:9" ht="16.5" thickBot="1" x14ac:dyDescent="0.3">
      <c r="D2" s="260"/>
    </row>
    <row r="3" spans="1:9" ht="17.25" thickTop="1" thickBot="1" x14ac:dyDescent="0.3">
      <c r="A3" s="262" t="s">
        <v>8</v>
      </c>
      <c r="B3" s="686" t="s">
        <v>16</v>
      </c>
      <c r="C3" s="263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791"/>
      <c r="I3" s="781"/>
    </row>
    <row r="4" spans="1:9" ht="16.5" thickTop="1" x14ac:dyDescent="0.25">
      <c r="A4" s="787" t="s">
        <v>1180</v>
      </c>
      <c r="B4" s="803" t="s">
        <v>1452</v>
      </c>
      <c r="C4" s="775">
        <v>42887</v>
      </c>
      <c r="D4" s="778">
        <v>4457</v>
      </c>
      <c r="E4" s="776">
        <v>522.79999999999995</v>
      </c>
      <c r="F4" s="777">
        <v>38</v>
      </c>
      <c r="G4" s="39">
        <f t="shared" ref="G4:G32" si="0">F4*E4</f>
        <v>19866.399999999998</v>
      </c>
      <c r="H4" s="790">
        <v>42887</v>
      </c>
      <c r="I4" s="782" t="s">
        <v>1451</v>
      </c>
    </row>
    <row r="5" spans="1:9" x14ac:dyDescent="0.25">
      <c r="A5" s="787" t="s">
        <v>1197</v>
      </c>
      <c r="B5" s="803" t="s">
        <v>1255</v>
      </c>
      <c r="C5" s="775">
        <v>42887</v>
      </c>
      <c r="D5" s="778">
        <v>4458</v>
      </c>
      <c r="E5" s="776">
        <v>302.60000000000002</v>
      </c>
      <c r="F5" s="777">
        <v>45</v>
      </c>
      <c r="G5" s="39">
        <f t="shared" si="0"/>
        <v>13617.000000000002</v>
      </c>
      <c r="H5" s="790">
        <v>42888</v>
      </c>
      <c r="I5" s="782" t="s">
        <v>1451</v>
      </c>
    </row>
    <row r="6" spans="1:9" x14ac:dyDescent="0.25">
      <c r="A6" s="787" t="s">
        <v>1221</v>
      </c>
      <c r="B6" s="803" t="s">
        <v>248</v>
      </c>
      <c r="C6" s="775">
        <v>43617</v>
      </c>
      <c r="D6" s="778">
        <v>4459</v>
      </c>
      <c r="E6" s="776">
        <v>300</v>
      </c>
      <c r="F6" s="777">
        <v>33</v>
      </c>
      <c r="G6" s="39">
        <f t="shared" si="0"/>
        <v>9900</v>
      </c>
      <c r="H6" s="790">
        <v>42887</v>
      </c>
      <c r="I6" s="782" t="s">
        <v>1451</v>
      </c>
    </row>
    <row r="7" spans="1:9" x14ac:dyDescent="0.25">
      <c r="A7" s="787" t="s">
        <v>1449</v>
      </c>
      <c r="B7" s="803" t="s">
        <v>1450</v>
      </c>
      <c r="C7" s="775">
        <v>42887</v>
      </c>
      <c r="D7" s="778">
        <v>4460</v>
      </c>
      <c r="E7" s="776">
        <v>23.6</v>
      </c>
      <c r="F7" s="777">
        <v>19</v>
      </c>
      <c r="G7" s="39">
        <f t="shared" si="0"/>
        <v>448.40000000000003</v>
      </c>
      <c r="H7" s="790">
        <v>42887</v>
      </c>
      <c r="I7" s="779" t="s">
        <v>1451</v>
      </c>
    </row>
    <row r="8" spans="1:9" x14ac:dyDescent="0.25">
      <c r="A8" s="787" t="s">
        <v>1171</v>
      </c>
      <c r="B8" s="803" t="s">
        <v>206</v>
      </c>
      <c r="C8" s="775">
        <v>42887</v>
      </c>
      <c r="D8" s="778">
        <f>D7+1</f>
        <v>4461</v>
      </c>
      <c r="E8" s="776">
        <v>980.7</v>
      </c>
      <c r="F8" s="777">
        <v>68</v>
      </c>
      <c r="G8" s="39">
        <f t="shared" si="0"/>
        <v>66687.600000000006</v>
      </c>
      <c r="H8" s="790">
        <v>42888</v>
      </c>
      <c r="I8" s="782" t="s">
        <v>1451</v>
      </c>
    </row>
    <row r="9" spans="1:9" x14ac:dyDescent="0.25">
      <c r="A9" s="787" t="s">
        <v>1182</v>
      </c>
      <c r="B9" s="803" t="s">
        <v>1436</v>
      </c>
      <c r="C9" s="775">
        <v>42887</v>
      </c>
      <c r="D9" s="778">
        <f t="shared" ref="D9:D56" si="1">D8+1</f>
        <v>4462</v>
      </c>
      <c r="E9" s="776">
        <v>28636.5</v>
      </c>
      <c r="F9" s="777">
        <v>1</v>
      </c>
      <c r="G9" s="39">
        <f t="shared" si="0"/>
        <v>28636.5</v>
      </c>
      <c r="H9" s="790">
        <v>42891</v>
      </c>
      <c r="I9" s="782" t="s">
        <v>1451</v>
      </c>
    </row>
    <row r="10" spans="1:9" x14ac:dyDescent="0.25">
      <c r="A10" s="787" t="s">
        <v>1197</v>
      </c>
      <c r="B10" s="803" t="s">
        <v>1255</v>
      </c>
      <c r="C10" s="775">
        <v>42888</v>
      </c>
      <c r="D10" s="778">
        <f t="shared" si="1"/>
        <v>4463</v>
      </c>
      <c r="E10" s="776">
        <v>401.6</v>
      </c>
      <c r="F10" s="777">
        <v>42</v>
      </c>
      <c r="G10" s="39">
        <f t="shared" si="0"/>
        <v>16867.2</v>
      </c>
      <c r="H10" s="790">
        <v>42895</v>
      </c>
      <c r="I10" s="782" t="s">
        <v>1451</v>
      </c>
    </row>
    <row r="11" spans="1:9" x14ac:dyDescent="0.25">
      <c r="A11" s="787" t="s">
        <v>1454</v>
      </c>
      <c r="B11" s="803" t="s">
        <v>1255</v>
      </c>
      <c r="C11" s="775">
        <v>42887</v>
      </c>
      <c r="D11" s="778">
        <f t="shared" si="1"/>
        <v>4464</v>
      </c>
      <c r="E11" s="776">
        <v>12.9</v>
      </c>
      <c r="F11" s="777">
        <v>42</v>
      </c>
      <c r="G11" s="39">
        <f t="shared" si="0"/>
        <v>541.80000000000007</v>
      </c>
      <c r="H11" s="790">
        <v>42888</v>
      </c>
      <c r="I11" s="782" t="s">
        <v>1451</v>
      </c>
    </row>
    <row r="12" spans="1:9" x14ac:dyDescent="0.25">
      <c r="A12" s="787" t="s">
        <v>1208</v>
      </c>
      <c r="B12" s="803" t="s">
        <v>206</v>
      </c>
      <c r="C12" s="775">
        <v>42888</v>
      </c>
      <c r="D12" s="778">
        <f t="shared" si="1"/>
        <v>4465</v>
      </c>
      <c r="E12" s="776">
        <v>444</v>
      </c>
      <c r="F12" s="777">
        <v>67</v>
      </c>
      <c r="G12" s="39">
        <f t="shared" si="0"/>
        <v>29748</v>
      </c>
      <c r="H12" s="790">
        <v>42888</v>
      </c>
      <c r="I12" s="782" t="s">
        <v>1451</v>
      </c>
    </row>
    <row r="13" spans="1:9" x14ac:dyDescent="0.25">
      <c r="A13" s="787" t="s">
        <v>1171</v>
      </c>
      <c r="B13" s="803" t="s">
        <v>206</v>
      </c>
      <c r="C13" s="775">
        <v>42888</v>
      </c>
      <c r="D13" s="778">
        <f t="shared" si="1"/>
        <v>4466</v>
      </c>
      <c r="E13" s="776">
        <v>1438.5</v>
      </c>
      <c r="F13" s="777">
        <v>68</v>
      </c>
      <c r="G13" s="39">
        <f t="shared" si="0"/>
        <v>97818</v>
      </c>
      <c r="H13" s="790">
        <v>42891</v>
      </c>
      <c r="I13" s="782" t="s">
        <v>1451</v>
      </c>
    </row>
    <row r="14" spans="1:9" x14ac:dyDescent="0.25">
      <c r="A14" s="787" t="s">
        <v>1216</v>
      </c>
      <c r="B14" s="803" t="s">
        <v>1457</v>
      </c>
      <c r="C14" s="775">
        <v>42894</v>
      </c>
      <c r="D14" s="778">
        <f t="shared" si="1"/>
        <v>4467</v>
      </c>
      <c r="E14" s="776">
        <v>51.5</v>
      </c>
      <c r="F14" s="777">
        <v>27</v>
      </c>
      <c r="G14" s="39">
        <f t="shared" si="0"/>
        <v>1390.5</v>
      </c>
      <c r="H14" s="790">
        <v>42894</v>
      </c>
      <c r="I14" s="782" t="s">
        <v>1451</v>
      </c>
    </row>
    <row r="15" spans="1:9" x14ac:dyDescent="0.25">
      <c r="A15" s="787" t="s">
        <v>923</v>
      </c>
      <c r="B15" s="803"/>
      <c r="C15" s="775"/>
      <c r="D15" s="778">
        <f t="shared" si="1"/>
        <v>4468</v>
      </c>
      <c r="E15" s="776"/>
      <c r="F15" s="777"/>
      <c r="G15" s="39">
        <f t="shared" si="0"/>
        <v>0</v>
      </c>
      <c r="I15" s="782"/>
    </row>
    <row r="16" spans="1:9" x14ac:dyDescent="0.25">
      <c r="A16" s="787" t="s">
        <v>1206</v>
      </c>
      <c r="B16" s="803" t="s">
        <v>1325</v>
      </c>
      <c r="C16" s="775">
        <v>42889</v>
      </c>
      <c r="D16" s="778">
        <f t="shared" si="1"/>
        <v>4469</v>
      </c>
      <c r="E16" s="776">
        <v>204.8</v>
      </c>
      <c r="F16" s="777">
        <v>69</v>
      </c>
      <c r="G16" s="39">
        <f t="shared" si="0"/>
        <v>14131.2</v>
      </c>
      <c r="H16" s="790">
        <v>42889</v>
      </c>
      <c r="I16" s="782" t="s">
        <v>1451</v>
      </c>
    </row>
    <row r="17" spans="1:9" x14ac:dyDescent="0.25">
      <c r="A17" s="787" t="s">
        <v>1171</v>
      </c>
      <c r="B17" s="803" t="s">
        <v>206</v>
      </c>
      <c r="C17" s="775">
        <v>42889</v>
      </c>
      <c r="D17" s="778">
        <f t="shared" si="1"/>
        <v>4470</v>
      </c>
      <c r="E17" s="776">
        <v>621.20000000000005</v>
      </c>
      <c r="F17" s="777">
        <v>68</v>
      </c>
      <c r="G17" s="39">
        <f t="shared" si="0"/>
        <v>42241.600000000006</v>
      </c>
      <c r="H17" s="790">
        <v>42891</v>
      </c>
      <c r="I17" s="782" t="s">
        <v>1451</v>
      </c>
    </row>
    <row r="18" spans="1:9" x14ac:dyDescent="0.25">
      <c r="A18" s="787" t="s">
        <v>1184</v>
      </c>
      <c r="B18" s="803" t="s">
        <v>206</v>
      </c>
      <c r="C18" s="775">
        <v>43012</v>
      </c>
      <c r="D18" s="778">
        <f t="shared" si="1"/>
        <v>4471</v>
      </c>
      <c r="E18" s="776">
        <v>1842</v>
      </c>
      <c r="F18" s="777">
        <v>66</v>
      </c>
      <c r="G18" s="39">
        <f t="shared" si="0"/>
        <v>121572</v>
      </c>
      <c r="H18" s="790">
        <v>42896</v>
      </c>
      <c r="I18" s="782" t="s">
        <v>1451</v>
      </c>
    </row>
    <row r="19" spans="1:9" x14ac:dyDescent="0.25">
      <c r="A19" s="787" t="s">
        <v>1216</v>
      </c>
      <c r="B19" s="803" t="s">
        <v>1210</v>
      </c>
      <c r="C19" s="775">
        <v>42891</v>
      </c>
      <c r="D19" s="778">
        <f t="shared" si="1"/>
        <v>4472</v>
      </c>
      <c r="E19" s="776">
        <v>51.4</v>
      </c>
      <c r="F19" s="777">
        <v>27</v>
      </c>
      <c r="G19" s="39">
        <f>F19*E19+81.4*27+20*57+70.6*48</f>
        <v>8114.4</v>
      </c>
      <c r="H19" s="790">
        <v>42894</v>
      </c>
      <c r="I19" s="782" t="s">
        <v>1451</v>
      </c>
    </row>
    <row r="20" spans="1:9" x14ac:dyDescent="0.25">
      <c r="A20" s="787" t="s">
        <v>1173</v>
      </c>
      <c r="B20" s="803" t="s">
        <v>1210</v>
      </c>
      <c r="C20" s="775">
        <v>42891</v>
      </c>
      <c r="D20" s="778">
        <f t="shared" si="1"/>
        <v>4473</v>
      </c>
      <c r="E20" s="776">
        <v>221.6</v>
      </c>
      <c r="F20" s="777">
        <v>48</v>
      </c>
      <c r="G20" s="39">
        <f t="shared" si="0"/>
        <v>10636.8</v>
      </c>
      <c r="H20" s="790">
        <v>42894</v>
      </c>
      <c r="I20" s="782" t="s">
        <v>1451</v>
      </c>
    </row>
    <row r="21" spans="1:9" x14ac:dyDescent="0.25">
      <c r="A21" s="787" t="s">
        <v>1197</v>
      </c>
      <c r="B21" s="803" t="s">
        <v>1255</v>
      </c>
      <c r="C21" s="775">
        <v>42892</v>
      </c>
      <c r="D21" s="778">
        <f t="shared" si="1"/>
        <v>4474</v>
      </c>
      <c r="E21" s="776">
        <v>79.739999999999995</v>
      </c>
      <c r="F21" s="777">
        <v>48</v>
      </c>
      <c r="G21" s="39">
        <f>F21*E21+582.7*42</f>
        <v>28300.920000000002</v>
      </c>
      <c r="H21" s="790">
        <v>42902</v>
      </c>
      <c r="I21" s="782" t="s">
        <v>1451</v>
      </c>
    </row>
    <row r="22" spans="1:9" x14ac:dyDescent="0.25">
      <c r="A22" s="787" t="s">
        <v>1171</v>
      </c>
      <c r="B22" s="803" t="s">
        <v>206</v>
      </c>
      <c r="C22" s="775">
        <v>42892</v>
      </c>
      <c r="D22" s="778">
        <f t="shared" si="1"/>
        <v>4475</v>
      </c>
      <c r="E22" s="776">
        <v>715.9</v>
      </c>
      <c r="F22" s="777">
        <v>68</v>
      </c>
      <c r="G22" s="39">
        <f t="shared" si="0"/>
        <v>48681.2</v>
      </c>
      <c r="H22" s="790">
        <v>42895</v>
      </c>
      <c r="I22" s="782" t="s">
        <v>1451</v>
      </c>
    </row>
    <row r="23" spans="1:9" x14ac:dyDescent="0.25">
      <c r="A23" s="787" t="s">
        <v>1180</v>
      </c>
      <c r="B23" s="803" t="s">
        <v>1452</v>
      </c>
      <c r="C23" s="775">
        <v>42893</v>
      </c>
      <c r="D23" s="778">
        <f t="shared" si="1"/>
        <v>4476</v>
      </c>
      <c r="E23" s="776">
        <v>458.8</v>
      </c>
      <c r="F23" s="777">
        <v>38</v>
      </c>
      <c r="G23" s="39">
        <f t="shared" si="0"/>
        <v>17434.400000000001</v>
      </c>
      <c r="H23" s="790">
        <v>42893</v>
      </c>
      <c r="I23" s="782" t="s">
        <v>1451</v>
      </c>
    </row>
    <row r="24" spans="1:9" x14ac:dyDescent="0.25">
      <c r="A24" s="787" t="s">
        <v>1171</v>
      </c>
      <c r="B24" s="803" t="s">
        <v>206</v>
      </c>
      <c r="C24" s="775">
        <v>42893</v>
      </c>
      <c r="D24" s="778">
        <f t="shared" si="1"/>
        <v>4477</v>
      </c>
      <c r="E24" s="776">
        <v>729.2</v>
      </c>
      <c r="F24" s="777">
        <v>68</v>
      </c>
      <c r="G24" s="39">
        <f>F24*E24+302.7*66.5</f>
        <v>69715.150000000009</v>
      </c>
      <c r="H24" s="790">
        <v>42896</v>
      </c>
      <c r="I24" s="782" t="s">
        <v>1451</v>
      </c>
    </row>
    <row r="25" spans="1:9" x14ac:dyDescent="0.25">
      <c r="A25" s="787" t="s">
        <v>1246</v>
      </c>
      <c r="B25" s="803" t="s">
        <v>1460</v>
      </c>
      <c r="C25" s="775">
        <v>42893</v>
      </c>
      <c r="D25" s="778">
        <f t="shared" si="1"/>
        <v>4478</v>
      </c>
      <c r="E25" s="776">
        <v>897.2</v>
      </c>
      <c r="F25" s="777">
        <v>34</v>
      </c>
      <c r="G25" s="39">
        <f t="shared" si="0"/>
        <v>30504.800000000003</v>
      </c>
      <c r="H25" s="790">
        <v>42897</v>
      </c>
      <c r="I25" s="782" t="s">
        <v>1451</v>
      </c>
    </row>
    <row r="26" spans="1:9" x14ac:dyDescent="0.25">
      <c r="A26" s="787" t="s">
        <v>1216</v>
      </c>
      <c r="B26" s="803" t="s">
        <v>1210</v>
      </c>
      <c r="C26" s="775">
        <v>42893</v>
      </c>
      <c r="D26" s="778">
        <f t="shared" si="1"/>
        <v>4479</v>
      </c>
      <c r="E26" s="776">
        <v>143.4</v>
      </c>
      <c r="F26" s="777">
        <v>48</v>
      </c>
      <c r="G26" s="39">
        <f>F26*E26+70.5*57</f>
        <v>10901.7</v>
      </c>
      <c r="H26" s="790">
        <v>42924</v>
      </c>
      <c r="I26" s="782" t="s">
        <v>1451</v>
      </c>
    </row>
    <row r="27" spans="1:9" x14ac:dyDescent="0.25">
      <c r="A27" s="787" t="s">
        <v>1171</v>
      </c>
      <c r="B27" s="803" t="s">
        <v>206</v>
      </c>
      <c r="C27" s="775">
        <v>42894</v>
      </c>
      <c r="D27" s="778">
        <f t="shared" si="1"/>
        <v>4480</v>
      </c>
      <c r="E27" s="776">
        <v>1039</v>
      </c>
      <c r="F27" s="777">
        <v>68</v>
      </c>
      <c r="G27" s="39">
        <f t="shared" si="0"/>
        <v>70652</v>
      </c>
      <c r="H27" s="790">
        <v>42896</v>
      </c>
      <c r="I27" s="782" t="s">
        <v>1451</v>
      </c>
    </row>
    <row r="28" spans="1:9" x14ac:dyDescent="0.25">
      <c r="A28" s="787" t="s">
        <v>923</v>
      </c>
      <c r="B28" s="803"/>
      <c r="C28" s="775"/>
      <c r="D28" s="778">
        <f t="shared" si="1"/>
        <v>4481</v>
      </c>
      <c r="E28" s="776"/>
      <c r="F28" s="777"/>
      <c r="G28" s="39">
        <f t="shared" si="0"/>
        <v>0</v>
      </c>
      <c r="I28" s="782"/>
    </row>
    <row r="29" spans="1:9" x14ac:dyDescent="0.25">
      <c r="A29" s="787" t="s">
        <v>1197</v>
      </c>
      <c r="B29" s="803" t="s">
        <v>1474</v>
      </c>
      <c r="C29" s="775">
        <v>42894</v>
      </c>
      <c r="D29" s="778">
        <f t="shared" si="1"/>
        <v>4482</v>
      </c>
      <c r="E29" s="776">
        <v>529.20000000000005</v>
      </c>
      <c r="F29" s="777">
        <v>20</v>
      </c>
      <c r="G29" s="39">
        <f>F29*E29+53*54</f>
        <v>13446</v>
      </c>
      <c r="H29" s="790">
        <v>42902</v>
      </c>
      <c r="I29" s="782" t="s">
        <v>1451</v>
      </c>
    </row>
    <row r="30" spans="1:9" x14ac:dyDescent="0.25">
      <c r="A30" s="787" t="s">
        <v>1197</v>
      </c>
      <c r="B30" s="803" t="s">
        <v>1473</v>
      </c>
      <c r="C30" s="775">
        <v>42894</v>
      </c>
      <c r="D30" s="778">
        <f t="shared" si="1"/>
        <v>4483</v>
      </c>
      <c r="E30" s="776">
        <v>41.2</v>
      </c>
      <c r="F30" s="777">
        <v>20</v>
      </c>
      <c r="G30" s="39">
        <f t="shared" si="0"/>
        <v>824</v>
      </c>
      <c r="H30" s="790">
        <v>42902</v>
      </c>
      <c r="I30" s="782" t="s">
        <v>1451</v>
      </c>
    </row>
    <row r="31" spans="1:9" x14ac:dyDescent="0.25">
      <c r="A31" s="787" t="s">
        <v>1208</v>
      </c>
      <c r="B31" s="803" t="s">
        <v>206</v>
      </c>
      <c r="C31" s="775">
        <v>42895</v>
      </c>
      <c r="D31" s="778">
        <f t="shared" si="1"/>
        <v>4484</v>
      </c>
      <c r="E31" s="776">
        <v>697</v>
      </c>
      <c r="F31" s="777">
        <v>67</v>
      </c>
      <c r="G31" s="39">
        <f t="shared" si="0"/>
        <v>46699</v>
      </c>
      <c r="H31" s="790">
        <v>42896</v>
      </c>
      <c r="I31" s="782" t="s">
        <v>1451</v>
      </c>
    </row>
    <row r="32" spans="1:9" x14ac:dyDescent="0.25">
      <c r="A32" s="787" t="s">
        <v>1221</v>
      </c>
      <c r="B32" s="803" t="s">
        <v>248</v>
      </c>
      <c r="C32" s="775">
        <v>42895</v>
      </c>
      <c r="D32" s="778">
        <f t="shared" si="1"/>
        <v>4485</v>
      </c>
      <c r="E32" s="776">
        <v>200</v>
      </c>
      <c r="F32" s="777">
        <v>35</v>
      </c>
      <c r="G32" s="39">
        <f t="shared" si="0"/>
        <v>7000</v>
      </c>
      <c r="H32" s="790">
        <v>42895</v>
      </c>
      <c r="I32" s="782" t="s">
        <v>1451</v>
      </c>
    </row>
    <row r="33" spans="1:15" x14ac:dyDescent="0.25">
      <c r="A33" s="787" t="s">
        <v>1216</v>
      </c>
      <c r="B33" s="803" t="s">
        <v>1469</v>
      </c>
      <c r="C33" s="775">
        <v>42895</v>
      </c>
      <c r="D33" s="778">
        <f t="shared" si="1"/>
        <v>4486</v>
      </c>
      <c r="E33" s="776">
        <v>100.7</v>
      </c>
      <c r="F33" s="777">
        <v>27</v>
      </c>
      <c r="G33" s="39">
        <f>F33*E33+101*57+313.8*48+102.7*27+2455.2</f>
        <v>28766.400000000005</v>
      </c>
      <c r="H33" s="790">
        <v>42901</v>
      </c>
      <c r="I33" s="782" t="s">
        <v>1451</v>
      </c>
    </row>
    <row r="34" spans="1:15" x14ac:dyDescent="0.25">
      <c r="A34" s="268" t="s">
        <v>1171</v>
      </c>
      <c r="B34" s="687" t="s">
        <v>206</v>
      </c>
      <c r="C34" s="31">
        <v>42895</v>
      </c>
      <c r="D34" s="778">
        <f t="shared" si="1"/>
        <v>4487</v>
      </c>
      <c r="E34" s="261">
        <v>695.1</v>
      </c>
      <c r="F34" s="29">
        <v>68</v>
      </c>
      <c r="G34" s="39">
        <f t="shared" ref="G34:G140" si="2">F34*E34</f>
        <v>47266.8</v>
      </c>
      <c r="H34" s="790">
        <v>42898</v>
      </c>
      <c r="I34" s="752" t="s">
        <v>1451</v>
      </c>
      <c r="M34" s="195"/>
      <c r="N34" s="195"/>
      <c r="O34" s="195"/>
    </row>
    <row r="35" spans="1:15" x14ac:dyDescent="0.25">
      <c r="A35" s="268" t="s">
        <v>1171</v>
      </c>
      <c r="B35" s="687" t="s">
        <v>206</v>
      </c>
      <c r="C35" s="31">
        <v>42896</v>
      </c>
      <c r="D35" s="778">
        <f t="shared" si="1"/>
        <v>4488</v>
      </c>
      <c r="E35" s="261">
        <v>870.3</v>
      </c>
      <c r="F35" s="789">
        <v>68</v>
      </c>
      <c r="G35" s="39">
        <f t="shared" si="2"/>
        <v>59180.399999999994</v>
      </c>
      <c r="H35" s="790">
        <v>42898</v>
      </c>
      <c r="I35" s="752" t="s">
        <v>1451</v>
      </c>
      <c r="M35" s="195"/>
      <c r="N35" s="195"/>
      <c r="O35" s="195"/>
    </row>
    <row r="36" spans="1:15" x14ac:dyDescent="0.25">
      <c r="A36" s="268" t="s">
        <v>1458</v>
      </c>
      <c r="B36" s="687" t="s">
        <v>1459</v>
      </c>
      <c r="C36" s="31">
        <v>42896</v>
      </c>
      <c r="D36" s="778">
        <f t="shared" si="1"/>
        <v>4489</v>
      </c>
      <c r="E36" s="261">
        <v>24.14</v>
      </c>
      <c r="F36" s="789">
        <v>21</v>
      </c>
      <c r="G36" s="39">
        <f t="shared" si="2"/>
        <v>506.94</v>
      </c>
      <c r="H36" s="790">
        <v>42896</v>
      </c>
      <c r="I36" s="752" t="s">
        <v>1451</v>
      </c>
      <c r="M36" s="195"/>
      <c r="N36" s="195"/>
      <c r="O36" s="195"/>
    </row>
    <row r="37" spans="1:15" x14ac:dyDescent="0.25">
      <c r="A37" s="268" t="s">
        <v>1463</v>
      </c>
      <c r="B37" s="687" t="s">
        <v>1464</v>
      </c>
      <c r="C37" s="31">
        <v>42897</v>
      </c>
      <c r="D37" s="778">
        <f t="shared" si="1"/>
        <v>4490</v>
      </c>
      <c r="E37" s="261">
        <v>31</v>
      </c>
      <c r="F37" s="789">
        <v>58</v>
      </c>
      <c r="G37" s="39">
        <f t="shared" si="2"/>
        <v>1798</v>
      </c>
      <c r="H37" s="790">
        <v>42898</v>
      </c>
      <c r="I37" s="752" t="s">
        <v>1451</v>
      </c>
      <c r="M37" s="195"/>
      <c r="N37" s="195"/>
      <c r="O37" s="195"/>
    </row>
    <row r="38" spans="1:15" x14ac:dyDescent="0.25">
      <c r="A38" s="268" t="s">
        <v>1171</v>
      </c>
      <c r="B38" s="687" t="s">
        <v>206</v>
      </c>
      <c r="C38" s="31">
        <v>42898</v>
      </c>
      <c r="D38" s="778">
        <f t="shared" si="1"/>
        <v>4491</v>
      </c>
      <c r="E38" s="261">
        <v>1880.3</v>
      </c>
      <c r="F38" s="789">
        <v>68</v>
      </c>
      <c r="G38" s="39">
        <f t="shared" si="2"/>
        <v>127860.4</v>
      </c>
      <c r="H38" s="790">
        <v>42898</v>
      </c>
      <c r="I38" s="752" t="s">
        <v>1451</v>
      </c>
      <c r="M38" s="195"/>
      <c r="N38" s="195"/>
      <c r="O38" s="195"/>
    </row>
    <row r="39" spans="1:15" x14ac:dyDescent="0.25">
      <c r="A39" s="268" t="s">
        <v>923</v>
      </c>
      <c r="B39" s="687"/>
      <c r="D39" s="778">
        <f t="shared" si="1"/>
        <v>4492</v>
      </c>
      <c r="F39" s="789"/>
      <c r="G39" s="39">
        <f t="shared" si="2"/>
        <v>0</v>
      </c>
      <c r="I39" s="752"/>
      <c r="M39" s="195"/>
      <c r="N39" s="195"/>
      <c r="O39" s="195"/>
    </row>
    <row r="40" spans="1:15" x14ac:dyDescent="0.25">
      <c r="A40" s="268" t="s">
        <v>1182</v>
      </c>
      <c r="B40" s="687" t="s">
        <v>1462</v>
      </c>
      <c r="C40" s="31">
        <v>42898</v>
      </c>
      <c r="D40" s="778">
        <f t="shared" si="1"/>
        <v>4493</v>
      </c>
      <c r="E40" s="261">
        <v>601.79999999999995</v>
      </c>
      <c r="F40" s="789">
        <v>57</v>
      </c>
      <c r="G40" s="39">
        <f t="shared" si="2"/>
        <v>34302.6</v>
      </c>
      <c r="H40" s="790">
        <v>42898</v>
      </c>
      <c r="I40" s="752" t="s">
        <v>1451</v>
      </c>
      <c r="M40" s="195"/>
      <c r="N40" s="195"/>
      <c r="O40" s="195"/>
    </row>
    <row r="41" spans="1:15" x14ac:dyDescent="0.25">
      <c r="A41" s="268" t="s">
        <v>1182</v>
      </c>
      <c r="B41" s="687" t="s">
        <v>1461</v>
      </c>
      <c r="C41" s="31">
        <v>42898</v>
      </c>
      <c r="D41" s="778">
        <f t="shared" si="1"/>
        <v>4494</v>
      </c>
      <c r="E41" s="261">
        <v>291.10000000000002</v>
      </c>
      <c r="F41" s="789">
        <v>65</v>
      </c>
      <c r="G41" s="39">
        <f t="shared" si="2"/>
        <v>18921.5</v>
      </c>
      <c r="H41" s="790">
        <v>42898</v>
      </c>
      <c r="I41" s="752" t="s">
        <v>1451</v>
      </c>
      <c r="M41" s="195"/>
      <c r="N41" s="195"/>
      <c r="O41" s="195"/>
    </row>
    <row r="42" spans="1:15" x14ac:dyDescent="0.25">
      <c r="A42" s="268" t="s">
        <v>1467</v>
      </c>
      <c r="B42" s="687" t="s">
        <v>1314</v>
      </c>
      <c r="C42" s="31">
        <v>42900</v>
      </c>
      <c r="D42" s="778">
        <f t="shared" si="1"/>
        <v>4495</v>
      </c>
      <c r="E42" s="261">
        <v>31</v>
      </c>
      <c r="F42" s="789">
        <v>52</v>
      </c>
      <c r="G42" s="39">
        <f t="shared" si="2"/>
        <v>1612</v>
      </c>
      <c r="H42" s="790">
        <v>42900</v>
      </c>
      <c r="I42" s="752" t="s">
        <v>1451</v>
      </c>
      <c r="M42" s="195"/>
      <c r="N42" s="195"/>
      <c r="O42" s="195"/>
    </row>
    <row r="43" spans="1:15" x14ac:dyDescent="0.25">
      <c r="A43" s="268" t="s">
        <v>1370</v>
      </c>
      <c r="B43" s="687" t="s">
        <v>1465</v>
      </c>
      <c r="C43" s="31">
        <v>42900</v>
      </c>
      <c r="D43" s="778">
        <f t="shared" si="1"/>
        <v>4496</v>
      </c>
      <c r="E43" s="261">
        <v>489.6</v>
      </c>
      <c r="F43" s="789">
        <v>17</v>
      </c>
      <c r="G43" s="39">
        <f t="shared" si="2"/>
        <v>8323.2000000000007</v>
      </c>
      <c r="H43" s="790">
        <v>42900</v>
      </c>
      <c r="I43" s="752" t="s">
        <v>1451</v>
      </c>
      <c r="M43" s="195"/>
      <c r="N43" s="195"/>
      <c r="O43" s="195"/>
    </row>
    <row r="44" spans="1:15" x14ac:dyDescent="0.25">
      <c r="A44" s="268" t="s">
        <v>1466</v>
      </c>
      <c r="B44" s="687" t="s">
        <v>1464</v>
      </c>
      <c r="C44" s="31">
        <v>42900</v>
      </c>
      <c r="D44" s="778">
        <f t="shared" si="1"/>
        <v>4497</v>
      </c>
      <c r="E44" s="261">
        <v>46.2</v>
      </c>
      <c r="F44" s="789">
        <v>60</v>
      </c>
      <c r="G44" s="39">
        <f t="shared" si="2"/>
        <v>2772</v>
      </c>
      <c r="H44" s="790">
        <v>42900</v>
      </c>
      <c r="I44" s="752" t="s">
        <v>1451</v>
      </c>
      <c r="M44" s="195"/>
      <c r="N44" s="195"/>
      <c r="O44" s="195"/>
    </row>
    <row r="45" spans="1:15" x14ac:dyDescent="0.25">
      <c r="A45" s="268" t="s">
        <v>1171</v>
      </c>
      <c r="B45" s="687" t="s">
        <v>206</v>
      </c>
      <c r="C45" s="31">
        <v>42900</v>
      </c>
      <c r="D45" s="778">
        <f t="shared" si="1"/>
        <v>4498</v>
      </c>
      <c r="E45" s="261">
        <v>1538.9</v>
      </c>
      <c r="F45" s="789">
        <v>68</v>
      </c>
      <c r="G45" s="39">
        <f>F45*E45+232.4*64</f>
        <v>119518.80000000002</v>
      </c>
      <c r="H45" s="790">
        <v>42903</v>
      </c>
      <c r="I45" s="752" t="s">
        <v>1451</v>
      </c>
      <c r="M45" s="195"/>
      <c r="N45" s="195"/>
      <c r="O45" s="195"/>
    </row>
    <row r="46" spans="1:15" x14ac:dyDescent="0.25">
      <c r="A46" s="268" t="s">
        <v>1173</v>
      </c>
      <c r="B46" s="687" t="s">
        <v>1468</v>
      </c>
      <c r="C46" s="31">
        <v>42900</v>
      </c>
      <c r="D46" s="778">
        <f t="shared" si="1"/>
        <v>4499</v>
      </c>
      <c r="E46" s="261">
        <v>121</v>
      </c>
      <c r="F46" s="789">
        <v>56</v>
      </c>
      <c r="G46" s="39">
        <f>F46*E46+323*48</f>
        <v>22280</v>
      </c>
      <c r="H46" s="790">
        <v>42901</v>
      </c>
      <c r="I46" s="752" t="s">
        <v>1451</v>
      </c>
      <c r="M46" s="195"/>
      <c r="N46" s="195"/>
      <c r="O46" s="195"/>
    </row>
    <row r="47" spans="1:15" x14ac:dyDescent="0.25">
      <c r="A47" s="268" t="s">
        <v>530</v>
      </c>
      <c r="B47" s="687" t="s">
        <v>143</v>
      </c>
      <c r="C47" s="31">
        <v>42896</v>
      </c>
      <c r="D47" s="778">
        <f t="shared" si="1"/>
        <v>4500</v>
      </c>
      <c r="E47" s="261">
        <v>100</v>
      </c>
      <c r="F47" s="29">
        <v>165</v>
      </c>
      <c r="G47" s="39">
        <f t="shared" si="2"/>
        <v>16500</v>
      </c>
      <c r="H47" s="790">
        <v>42908</v>
      </c>
      <c r="I47" s="752" t="s">
        <v>72</v>
      </c>
      <c r="M47" s="195"/>
      <c r="N47" s="195"/>
      <c r="O47" s="195"/>
    </row>
    <row r="48" spans="1:15" x14ac:dyDescent="0.25">
      <c r="A48" s="268" t="s">
        <v>1197</v>
      </c>
      <c r="B48" s="687" t="s">
        <v>1255</v>
      </c>
      <c r="C48" s="31">
        <v>42902</v>
      </c>
      <c r="D48" s="778">
        <f t="shared" si="1"/>
        <v>4501</v>
      </c>
      <c r="E48" s="261">
        <v>407.5</v>
      </c>
      <c r="F48" s="789">
        <v>46</v>
      </c>
      <c r="G48" s="39">
        <f t="shared" si="2"/>
        <v>18745</v>
      </c>
      <c r="H48" s="790">
        <v>42903</v>
      </c>
      <c r="I48" s="752" t="s">
        <v>1451</v>
      </c>
      <c r="M48" s="195"/>
      <c r="N48" s="195"/>
      <c r="O48" s="195"/>
    </row>
    <row r="49" spans="1:15" x14ac:dyDescent="0.25">
      <c r="A49" s="268" t="s">
        <v>1477</v>
      </c>
      <c r="B49" s="687" t="s">
        <v>206</v>
      </c>
      <c r="C49" s="31">
        <v>42900</v>
      </c>
      <c r="D49" s="778">
        <f t="shared" si="1"/>
        <v>4502</v>
      </c>
      <c r="E49" s="261">
        <v>2789.1</v>
      </c>
      <c r="F49" s="789">
        <v>66</v>
      </c>
      <c r="G49" s="39">
        <f t="shared" si="2"/>
        <v>184080.6</v>
      </c>
      <c r="H49" s="790">
        <v>42903</v>
      </c>
      <c r="I49" s="752" t="s">
        <v>1451</v>
      </c>
      <c r="M49" s="195"/>
      <c r="N49" s="195"/>
      <c r="O49" s="195"/>
    </row>
    <row r="50" spans="1:15" x14ac:dyDescent="0.25">
      <c r="A50" s="268" t="s">
        <v>1471</v>
      </c>
      <c r="B50" s="687" t="s">
        <v>1472</v>
      </c>
      <c r="C50" s="31">
        <v>42901</v>
      </c>
      <c r="D50" s="778">
        <f t="shared" si="1"/>
        <v>4503</v>
      </c>
      <c r="E50" s="261">
        <v>14.88</v>
      </c>
      <c r="F50" s="789">
        <v>68</v>
      </c>
      <c r="G50" s="39">
        <f t="shared" si="2"/>
        <v>1011.84</v>
      </c>
      <c r="H50" s="790">
        <v>42901</v>
      </c>
      <c r="I50" s="752" t="s">
        <v>1451</v>
      </c>
      <c r="M50" s="195"/>
      <c r="N50" s="195"/>
      <c r="O50" s="195"/>
    </row>
    <row r="51" spans="1:15" ht="30" x14ac:dyDescent="0.25">
      <c r="A51" s="268" t="s">
        <v>1173</v>
      </c>
      <c r="B51" s="804" t="s">
        <v>1470</v>
      </c>
      <c r="C51" s="31">
        <v>42901</v>
      </c>
      <c r="D51" s="778">
        <f t="shared" si="1"/>
        <v>4504</v>
      </c>
      <c r="E51" s="261">
        <v>81</v>
      </c>
      <c r="F51" s="789">
        <v>27</v>
      </c>
      <c r="G51" s="39">
        <f t="shared" si="2"/>
        <v>2187</v>
      </c>
      <c r="H51" s="790">
        <v>42901</v>
      </c>
      <c r="I51" s="752" t="s">
        <v>1451</v>
      </c>
      <c r="M51" s="195"/>
      <c r="N51" s="195"/>
      <c r="O51" s="195"/>
    </row>
    <row r="52" spans="1:15" x14ac:dyDescent="0.25">
      <c r="A52" s="268" t="s">
        <v>923</v>
      </c>
      <c r="B52" s="687"/>
      <c r="D52" s="778">
        <f t="shared" si="1"/>
        <v>4505</v>
      </c>
      <c r="F52" s="789"/>
      <c r="G52" s="39">
        <f t="shared" si="2"/>
        <v>0</v>
      </c>
      <c r="I52" s="752"/>
      <c r="M52" s="195"/>
      <c r="N52" s="195"/>
      <c r="O52" s="195"/>
    </row>
    <row r="53" spans="1:15" x14ac:dyDescent="0.25">
      <c r="A53" s="268" t="s">
        <v>1197</v>
      </c>
      <c r="B53" s="687" t="s">
        <v>1473</v>
      </c>
      <c r="C53" s="31">
        <v>42901</v>
      </c>
      <c r="D53" s="778">
        <f t="shared" si="1"/>
        <v>4506</v>
      </c>
      <c r="E53" s="261">
        <v>328</v>
      </c>
      <c r="F53" s="789">
        <v>20</v>
      </c>
      <c r="G53" s="39">
        <f t="shared" si="2"/>
        <v>6560</v>
      </c>
      <c r="H53" s="790">
        <v>42903</v>
      </c>
      <c r="I53" s="752" t="s">
        <v>1451</v>
      </c>
      <c r="M53" s="195"/>
      <c r="N53" s="195"/>
      <c r="O53" s="195"/>
    </row>
    <row r="54" spans="1:15" x14ac:dyDescent="0.25">
      <c r="A54" s="268" t="s">
        <v>1171</v>
      </c>
      <c r="B54" s="687" t="s">
        <v>206</v>
      </c>
      <c r="C54" s="31">
        <v>42902</v>
      </c>
      <c r="D54" s="778">
        <f t="shared" si="1"/>
        <v>4507</v>
      </c>
      <c r="E54" s="261">
        <v>1312.2</v>
      </c>
      <c r="F54" s="789">
        <v>68</v>
      </c>
      <c r="G54" s="39">
        <f t="shared" si="2"/>
        <v>89229.6</v>
      </c>
      <c r="H54" s="790">
        <v>42905</v>
      </c>
      <c r="I54" s="752" t="s">
        <v>1451</v>
      </c>
      <c r="M54" s="195"/>
      <c r="N54" s="195"/>
      <c r="O54" s="195"/>
    </row>
    <row r="55" spans="1:15" x14ac:dyDescent="0.25">
      <c r="A55" s="268" t="s">
        <v>1208</v>
      </c>
      <c r="B55" s="687" t="s">
        <v>206</v>
      </c>
      <c r="C55" s="31">
        <v>42903</v>
      </c>
      <c r="D55" s="778">
        <f t="shared" si="1"/>
        <v>4508</v>
      </c>
      <c r="E55" s="261">
        <v>445.8</v>
      </c>
      <c r="F55" s="789">
        <v>67</v>
      </c>
      <c r="G55" s="39">
        <f t="shared" si="2"/>
        <v>29868.600000000002</v>
      </c>
      <c r="H55" s="790">
        <v>42906</v>
      </c>
      <c r="I55" s="752" t="s">
        <v>1451</v>
      </c>
      <c r="M55" s="195"/>
      <c r="N55" s="195"/>
      <c r="O55" s="195"/>
    </row>
    <row r="56" spans="1:15" x14ac:dyDescent="0.25">
      <c r="A56" s="268" t="s">
        <v>1282</v>
      </c>
      <c r="B56" s="687" t="s">
        <v>1297</v>
      </c>
      <c r="C56" s="31">
        <v>42903</v>
      </c>
      <c r="D56" s="778">
        <f t="shared" si="1"/>
        <v>4509</v>
      </c>
      <c r="E56" s="261">
        <v>74.5</v>
      </c>
      <c r="F56" s="789">
        <v>53</v>
      </c>
      <c r="G56" s="39">
        <f t="shared" si="2"/>
        <v>3948.5</v>
      </c>
      <c r="H56" s="800">
        <v>42922</v>
      </c>
      <c r="I56" s="801" t="s">
        <v>1451</v>
      </c>
      <c r="M56" s="195"/>
      <c r="N56" s="195"/>
      <c r="O56" s="195"/>
    </row>
    <row r="57" spans="1:15" x14ac:dyDescent="0.25">
      <c r="A57" s="273" t="s">
        <v>530</v>
      </c>
      <c r="B57" s="23" t="s">
        <v>143</v>
      </c>
      <c r="C57" s="794">
        <v>42904</v>
      </c>
      <c r="D57" s="270">
        <v>4510</v>
      </c>
      <c r="E57" s="261">
        <v>102</v>
      </c>
      <c r="F57" s="29">
        <v>165</v>
      </c>
      <c r="G57" s="39">
        <f t="shared" si="2"/>
        <v>16830</v>
      </c>
      <c r="H57" s="790">
        <v>42908</v>
      </c>
      <c r="I57" s="752" t="s">
        <v>72</v>
      </c>
      <c r="M57" s="195"/>
      <c r="N57" s="195"/>
      <c r="O57" s="195"/>
    </row>
    <row r="58" spans="1:15" x14ac:dyDescent="0.25">
      <c r="A58" s="273" t="s">
        <v>1475</v>
      </c>
      <c r="B58" s="23" t="s">
        <v>1476</v>
      </c>
      <c r="C58" s="508">
        <v>42903</v>
      </c>
      <c r="D58" s="270">
        <v>4511</v>
      </c>
      <c r="E58" s="261">
        <v>64.3</v>
      </c>
      <c r="F58" s="29">
        <v>70</v>
      </c>
      <c r="G58" s="39">
        <f t="shared" si="2"/>
        <v>4501</v>
      </c>
      <c r="H58" s="790">
        <v>42903</v>
      </c>
      <c r="I58" s="752" t="s">
        <v>1451</v>
      </c>
      <c r="M58" s="195"/>
      <c r="N58" s="195"/>
      <c r="O58" s="195"/>
    </row>
    <row r="59" spans="1:15" x14ac:dyDescent="0.25">
      <c r="A59" s="273" t="s">
        <v>1171</v>
      </c>
      <c r="B59" s="23" t="s">
        <v>206</v>
      </c>
      <c r="C59" s="508">
        <v>42903</v>
      </c>
      <c r="D59" s="270">
        <v>4512</v>
      </c>
      <c r="E59" s="261">
        <v>1037.5</v>
      </c>
      <c r="F59" s="29">
        <v>68</v>
      </c>
      <c r="G59" s="39">
        <f t="shared" si="2"/>
        <v>70550</v>
      </c>
      <c r="H59" s="790">
        <v>42905</v>
      </c>
      <c r="I59" s="752" t="s">
        <v>1451</v>
      </c>
      <c r="M59" s="195"/>
      <c r="N59" s="195"/>
      <c r="O59" s="195"/>
    </row>
    <row r="60" spans="1:15" x14ac:dyDescent="0.25">
      <c r="A60" s="273" t="s">
        <v>1206</v>
      </c>
      <c r="B60" s="23" t="s">
        <v>1325</v>
      </c>
      <c r="C60" s="508">
        <v>42903</v>
      </c>
      <c r="D60" s="270">
        <v>4513</v>
      </c>
      <c r="E60" s="261">
        <v>205</v>
      </c>
      <c r="F60" s="29">
        <v>69</v>
      </c>
      <c r="G60" s="39">
        <f t="shared" si="2"/>
        <v>14145</v>
      </c>
      <c r="H60" s="790">
        <v>42903</v>
      </c>
      <c r="I60" s="752" t="s">
        <v>1451</v>
      </c>
      <c r="K60" s="8"/>
      <c r="M60" s="195"/>
      <c r="N60" s="195"/>
      <c r="O60" s="195"/>
    </row>
    <row r="61" spans="1:15" x14ac:dyDescent="0.25">
      <c r="A61" s="275" t="s">
        <v>1173</v>
      </c>
      <c r="B61" s="685" t="s">
        <v>1490</v>
      </c>
      <c r="C61" s="508">
        <v>42903</v>
      </c>
      <c r="D61" s="270">
        <v>4514</v>
      </c>
      <c r="E61" s="261">
        <v>331</v>
      </c>
      <c r="F61" s="29">
        <v>48</v>
      </c>
      <c r="G61" s="39">
        <f>F61*E61+101.6*58+194.1*27</f>
        <v>27021.5</v>
      </c>
      <c r="H61" s="790">
        <v>42912</v>
      </c>
      <c r="I61" s="752" t="s">
        <v>1451</v>
      </c>
      <c r="M61" s="195"/>
      <c r="N61" s="195"/>
      <c r="O61" s="195"/>
    </row>
    <row r="62" spans="1:15" x14ac:dyDescent="0.25">
      <c r="A62" s="275" t="s">
        <v>1182</v>
      </c>
      <c r="B62" s="685" t="s">
        <v>1199</v>
      </c>
      <c r="C62" s="508">
        <v>42903</v>
      </c>
      <c r="D62" s="270">
        <v>4515</v>
      </c>
      <c r="E62" s="261">
        <v>25195.8</v>
      </c>
      <c r="F62" s="29">
        <v>1</v>
      </c>
      <c r="G62" s="39">
        <f t="shared" si="2"/>
        <v>25195.8</v>
      </c>
      <c r="H62" s="790">
        <v>42908</v>
      </c>
      <c r="I62" s="752" t="s">
        <v>1451</v>
      </c>
      <c r="M62" s="195"/>
      <c r="N62" s="195"/>
      <c r="O62" s="195"/>
    </row>
    <row r="63" spans="1:15" x14ac:dyDescent="0.25">
      <c r="A63" s="275" t="s">
        <v>1171</v>
      </c>
      <c r="B63" s="685" t="s">
        <v>206</v>
      </c>
      <c r="C63" s="508">
        <v>42905</v>
      </c>
      <c r="D63" s="270">
        <v>4516</v>
      </c>
      <c r="E63" s="261">
        <v>529.6</v>
      </c>
      <c r="F63" s="29">
        <v>68</v>
      </c>
      <c r="G63" s="39">
        <f t="shared" si="2"/>
        <v>36012.800000000003</v>
      </c>
      <c r="H63" s="790">
        <v>42905</v>
      </c>
      <c r="I63" s="752" t="s">
        <v>1451</v>
      </c>
      <c r="M63" s="195"/>
      <c r="N63" s="195"/>
      <c r="O63" s="195"/>
    </row>
    <row r="64" spans="1:15" x14ac:dyDescent="0.25">
      <c r="A64" s="275" t="s">
        <v>1478</v>
      </c>
      <c r="B64" s="685" t="s">
        <v>1479</v>
      </c>
      <c r="C64" s="508">
        <v>42905</v>
      </c>
      <c r="D64" s="270">
        <v>4517</v>
      </c>
      <c r="E64" s="261">
        <v>27.23</v>
      </c>
      <c r="F64" s="29">
        <v>39</v>
      </c>
      <c r="G64" s="39">
        <f t="shared" si="2"/>
        <v>1061.97</v>
      </c>
      <c r="H64" s="790">
        <v>42905</v>
      </c>
      <c r="I64" s="752" t="s">
        <v>1451</v>
      </c>
      <c r="M64" s="195"/>
      <c r="N64" s="195"/>
      <c r="O64" s="195"/>
    </row>
    <row r="65" spans="1:15" x14ac:dyDescent="0.25">
      <c r="A65" s="275" t="s">
        <v>1257</v>
      </c>
      <c r="B65" s="685" t="s">
        <v>1222</v>
      </c>
      <c r="C65" s="508">
        <v>42906</v>
      </c>
      <c r="D65" s="270">
        <v>4518</v>
      </c>
      <c r="E65" s="261">
        <v>903</v>
      </c>
      <c r="F65" s="29">
        <v>16</v>
      </c>
      <c r="G65" s="39">
        <f t="shared" si="2"/>
        <v>14448</v>
      </c>
      <c r="H65" s="790">
        <v>42906</v>
      </c>
      <c r="I65" s="752" t="s">
        <v>1451</v>
      </c>
      <c r="M65" s="195"/>
      <c r="N65" s="195"/>
      <c r="O65" s="195"/>
    </row>
    <row r="66" spans="1:15" ht="30" x14ac:dyDescent="0.25">
      <c r="A66" s="275" t="s">
        <v>1171</v>
      </c>
      <c r="B66" s="685" t="s">
        <v>206</v>
      </c>
      <c r="C66" s="508">
        <v>42906</v>
      </c>
      <c r="D66" s="270">
        <v>4519</v>
      </c>
      <c r="E66" s="261">
        <v>1326.7</v>
      </c>
      <c r="F66" s="29">
        <v>68</v>
      </c>
      <c r="G66" s="39">
        <f t="shared" si="2"/>
        <v>90215.6</v>
      </c>
      <c r="H66" s="718" t="s">
        <v>1481</v>
      </c>
      <c r="I66" s="752" t="s">
        <v>1451</v>
      </c>
      <c r="M66" s="195"/>
      <c r="N66" s="195"/>
      <c r="O66" s="195"/>
    </row>
    <row r="67" spans="1:15" x14ac:dyDescent="0.25">
      <c r="A67" s="275" t="s">
        <v>1480</v>
      </c>
      <c r="B67" s="685" t="s">
        <v>1314</v>
      </c>
      <c r="C67" s="508">
        <v>42906</v>
      </c>
      <c r="D67" s="270">
        <v>4520</v>
      </c>
      <c r="E67" s="261">
        <v>1.5</v>
      </c>
      <c r="F67" s="29">
        <v>79</v>
      </c>
      <c r="G67" s="39">
        <f>F67*E67+1.1*77</f>
        <v>203.2</v>
      </c>
      <c r="H67" s="31">
        <v>42906</v>
      </c>
      <c r="I67" s="752" t="s">
        <v>1451</v>
      </c>
      <c r="M67" s="195"/>
      <c r="N67" s="195"/>
      <c r="O67" s="195"/>
    </row>
    <row r="68" spans="1:15" x14ac:dyDescent="0.25">
      <c r="A68" s="811" t="s">
        <v>1220</v>
      </c>
      <c r="B68" s="23" t="s">
        <v>1461</v>
      </c>
      <c r="C68" s="812">
        <v>42906</v>
      </c>
      <c r="D68" s="270">
        <v>4521</v>
      </c>
      <c r="E68" s="261">
        <v>51.6</v>
      </c>
      <c r="F68" s="29">
        <v>60</v>
      </c>
      <c r="G68" s="39">
        <f t="shared" si="2"/>
        <v>3096</v>
      </c>
      <c r="H68" s="31">
        <v>42944</v>
      </c>
      <c r="I68" s="752" t="s">
        <v>1451</v>
      </c>
      <c r="M68" s="195"/>
      <c r="N68" s="195"/>
      <c r="O68" s="195"/>
    </row>
    <row r="69" spans="1:15" x14ac:dyDescent="0.25">
      <c r="A69" s="277" t="s">
        <v>1257</v>
      </c>
      <c r="B69" s="23" t="s">
        <v>1486</v>
      </c>
      <c r="C69" s="257">
        <v>42908</v>
      </c>
      <c r="D69" s="270">
        <v>4522</v>
      </c>
      <c r="E69" s="261">
        <v>52.4</v>
      </c>
      <c r="F69" s="29">
        <v>52</v>
      </c>
      <c r="G69" s="39">
        <f t="shared" si="2"/>
        <v>2724.7999999999997</v>
      </c>
      <c r="H69" s="31">
        <v>42910</v>
      </c>
      <c r="I69" s="752" t="s">
        <v>1451</v>
      </c>
      <c r="M69" s="195"/>
      <c r="N69" s="195"/>
      <c r="O69" s="195"/>
    </row>
    <row r="70" spans="1:15" ht="30" x14ac:dyDescent="0.25">
      <c r="A70" s="273" t="s">
        <v>1171</v>
      </c>
      <c r="B70" s="23" t="s">
        <v>206</v>
      </c>
      <c r="C70" s="508">
        <v>42907</v>
      </c>
      <c r="D70" s="270">
        <v>4523</v>
      </c>
      <c r="E70" s="261">
        <v>1289.3</v>
      </c>
      <c r="F70" s="29">
        <v>68</v>
      </c>
      <c r="G70" s="39">
        <f>F70*E70+291.4*66.5</f>
        <v>107050.5</v>
      </c>
      <c r="H70" s="718" t="s">
        <v>1487</v>
      </c>
      <c r="I70" s="752" t="s">
        <v>1451</v>
      </c>
      <c r="M70" s="195"/>
      <c r="N70" s="195"/>
      <c r="O70" s="195"/>
    </row>
    <row r="71" spans="1:15" x14ac:dyDescent="0.25">
      <c r="A71" s="273" t="s">
        <v>1202</v>
      </c>
      <c r="B71" s="23" t="s">
        <v>862</v>
      </c>
      <c r="C71" s="508">
        <v>42908</v>
      </c>
      <c r="D71" s="270">
        <v>4524</v>
      </c>
      <c r="E71" s="261">
        <v>14.2</v>
      </c>
      <c r="F71" s="29">
        <v>32</v>
      </c>
      <c r="G71" s="39">
        <f t="shared" si="2"/>
        <v>454.4</v>
      </c>
      <c r="H71" s="31">
        <v>42908</v>
      </c>
      <c r="I71" s="752" t="s">
        <v>1451</v>
      </c>
      <c r="M71" s="195"/>
      <c r="N71" s="195"/>
      <c r="O71" s="195"/>
    </row>
    <row r="72" spans="1:15" x14ac:dyDescent="0.25">
      <c r="A72" s="273" t="s">
        <v>1282</v>
      </c>
      <c r="B72" s="23" t="s">
        <v>1297</v>
      </c>
      <c r="C72" s="508">
        <v>42908</v>
      </c>
      <c r="D72" s="270">
        <v>4525</v>
      </c>
      <c r="E72" s="261">
        <v>54.7</v>
      </c>
      <c r="F72" s="29">
        <v>53</v>
      </c>
      <c r="G72" s="39">
        <f t="shared" si="2"/>
        <v>2899.1000000000004</v>
      </c>
      <c r="H72" s="459">
        <v>42922</v>
      </c>
      <c r="I72" s="801" t="s">
        <v>1451</v>
      </c>
      <c r="M72" s="195"/>
      <c r="N72" s="195"/>
      <c r="O72" s="195"/>
    </row>
    <row r="73" spans="1:15" ht="30" x14ac:dyDescent="0.25">
      <c r="A73" s="273" t="s">
        <v>1171</v>
      </c>
      <c r="B73" s="23" t="s">
        <v>206</v>
      </c>
      <c r="C73" s="508">
        <v>42908</v>
      </c>
      <c r="D73" s="270">
        <v>4526</v>
      </c>
      <c r="E73" s="261">
        <v>1922.6</v>
      </c>
      <c r="F73" s="29">
        <v>68</v>
      </c>
      <c r="G73" s="39">
        <f t="shared" si="2"/>
        <v>130736.79999999999</v>
      </c>
      <c r="H73" s="718" t="s">
        <v>1495</v>
      </c>
      <c r="I73" s="752" t="s">
        <v>1451</v>
      </c>
      <c r="J73" s="799"/>
      <c r="M73" s="195"/>
      <c r="N73" s="195"/>
      <c r="O73" s="195"/>
    </row>
    <row r="74" spans="1:15" x14ac:dyDescent="0.25">
      <c r="A74" s="273" t="s">
        <v>1221</v>
      </c>
      <c r="B74" s="23" t="s">
        <v>248</v>
      </c>
      <c r="C74" s="508">
        <v>42909</v>
      </c>
      <c r="D74" s="270">
        <v>4527</v>
      </c>
      <c r="E74" s="261">
        <v>200</v>
      </c>
      <c r="F74" s="209">
        <v>33</v>
      </c>
      <c r="G74" s="39">
        <f t="shared" si="2"/>
        <v>6600</v>
      </c>
      <c r="H74" s="31">
        <v>42910</v>
      </c>
      <c r="I74" s="752" t="s">
        <v>1451</v>
      </c>
      <c r="K74" s="198"/>
      <c r="L74" s="281"/>
      <c r="M74" s="195"/>
      <c r="N74" s="195"/>
      <c r="O74" s="195"/>
    </row>
    <row r="75" spans="1:15" x14ac:dyDescent="0.25">
      <c r="A75" s="273" t="s">
        <v>923</v>
      </c>
      <c r="B75" s="688"/>
      <c r="C75" s="508"/>
      <c r="D75" s="270">
        <v>4528</v>
      </c>
      <c r="F75" s="209"/>
      <c r="G75" s="39">
        <f t="shared" si="2"/>
        <v>0</v>
      </c>
      <c r="I75" s="752"/>
      <c r="K75" s="198"/>
      <c r="L75" s="281"/>
      <c r="M75" s="195"/>
      <c r="N75" s="195"/>
      <c r="O75" s="195"/>
    </row>
    <row r="76" spans="1:15" x14ac:dyDescent="0.25">
      <c r="A76" s="273" t="s">
        <v>1483</v>
      </c>
      <c r="B76" s="688" t="s">
        <v>421</v>
      </c>
      <c r="C76" s="508">
        <v>42909</v>
      </c>
      <c r="D76" s="270">
        <v>4529</v>
      </c>
      <c r="E76" s="261">
        <v>35.85</v>
      </c>
      <c r="F76" s="209">
        <v>37</v>
      </c>
      <c r="G76" s="39">
        <f t="shared" si="2"/>
        <v>1326.45</v>
      </c>
      <c r="H76" s="790">
        <v>42909</v>
      </c>
      <c r="I76" s="752" t="s">
        <v>1451</v>
      </c>
      <c r="K76" s="198"/>
      <c r="L76" s="281"/>
      <c r="M76" s="195"/>
      <c r="N76" s="195"/>
      <c r="O76" s="195"/>
    </row>
    <row r="77" spans="1:15" x14ac:dyDescent="0.25">
      <c r="A77" s="273" t="s">
        <v>1173</v>
      </c>
      <c r="B77" s="688" t="s">
        <v>1489</v>
      </c>
      <c r="C77" s="508">
        <v>42909</v>
      </c>
      <c r="D77" s="270">
        <v>4530</v>
      </c>
      <c r="E77" s="261">
        <v>100</v>
      </c>
      <c r="F77" s="209">
        <v>58</v>
      </c>
      <c r="G77" s="39">
        <f>F77*E77+280.6*48+135.9*27</f>
        <v>22938.100000000002</v>
      </c>
      <c r="H77" s="790">
        <v>42912</v>
      </c>
      <c r="I77" s="752" t="s">
        <v>1451</v>
      </c>
      <c r="K77" s="198"/>
      <c r="L77" s="281"/>
      <c r="M77" s="195"/>
      <c r="N77" s="195"/>
      <c r="O77" s="195"/>
    </row>
    <row r="78" spans="1:15" x14ac:dyDescent="0.25">
      <c r="A78" s="273" t="s">
        <v>1220</v>
      </c>
      <c r="B78" s="23" t="s">
        <v>1482</v>
      </c>
      <c r="C78" s="508">
        <v>42909</v>
      </c>
      <c r="D78" s="270">
        <v>4531</v>
      </c>
      <c r="E78" s="261">
        <v>29727</v>
      </c>
      <c r="F78" s="209">
        <v>1</v>
      </c>
      <c r="G78" s="39">
        <f t="shared" si="2"/>
        <v>29727</v>
      </c>
      <c r="H78" s="790">
        <v>42909</v>
      </c>
      <c r="I78" s="752" t="s">
        <v>1451</v>
      </c>
      <c r="K78" s="198"/>
      <c r="L78" s="281"/>
      <c r="M78" s="195"/>
      <c r="N78" s="195"/>
      <c r="O78" s="195"/>
    </row>
    <row r="79" spans="1:15" x14ac:dyDescent="0.25">
      <c r="A79" s="273" t="s">
        <v>1220</v>
      </c>
      <c r="B79" s="23" t="s">
        <v>1276</v>
      </c>
      <c r="C79" s="508">
        <v>42909</v>
      </c>
      <c r="D79" s="270">
        <v>4532</v>
      </c>
      <c r="E79" s="261">
        <v>32.56</v>
      </c>
      <c r="F79" s="209">
        <v>60</v>
      </c>
      <c r="G79" s="39">
        <f>F79*E79+42.44*80+7.94*42</f>
        <v>5682.2800000000007</v>
      </c>
      <c r="H79" s="790">
        <v>42944</v>
      </c>
      <c r="I79" s="752" t="s">
        <v>1451</v>
      </c>
      <c r="K79" s="198"/>
      <c r="L79" s="281"/>
      <c r="M79" s="195"/>
      <c r="N79" s="195"/>
      <c r="O79" s="195"/>
    </row>
    <row r="80" spans="1:15" x14ac:dyDescent="0.25">
      <c r="A80" s="273" t="s">
        <v>1208</v>
      </c>
      <c r="B80" s="23" t="s">
        <v>206</v>
      </c>
      <c r="C80" s="508">
        <v>42909</v>
      </c>
      <c r="D80" s="270">
        <v>4533</v>
      </c>
      <c r="E80" s="261">
        <v>792</v>
      </c>
      <c r="F80" s="209">
        <v>67</v>
      </c>
      <c r="G80" s="39">
        <f t="shared" si="2"/>
        <v>53064</v>
      </c>
      <c r="H80" s="790">
        <v>42910</v>
      </c>
      <c r="I80" s="752" t="s">
        <v>1451</v>
      </c>
      <c r="K80" s="198"/>
      <c r="L80" s="281"/>
      <c r="M80" s="195"/>
      <c r="N80" s="195"/>
      <c r="O80" s="195"/>
    </row>
    <row r="81" spans="1:15" x14ac:dyDescent="0.25">
      <c r="A81" s="273" t="s">
        <v>1484</v>
      </c>
      <c r="B81" s="23" t="s">
        <v>1485</v>
      </c>
      <c r="C81" s="508">
        <v>42909</v>
      </c>
      <c r="D81" s="270">
        <v>4534</v>
      </c>
      <c r="E81" s="261">
        <v>12.6</v>
      </c>
      <c r="F81" s="209">
        <v>24</v>
      </c>
      <c r="G81" s="39">
        <f t="shared" si="2"/>
        <v>302.39999999999998</v>
      </c>
      <c r="H81" s="790">
        <v>42910</v>
      </c>
      <c r="I81" s="752" t="s">
        <v>1451</v>
      </c>
      <c r="K81" s="198"/>
      <c r="L81" s="281"/>
      <c r="M81" s="195"/>
      <c r="N81" s="195"/>
      <c r="O81" s="195"/>
    </row>
    <row r="82" spans="1:15" x14ac:dyDescent="0.25">
      <c r="A82" s="275" t="s">
        <v>1488</v>
      </c>
      <c r="B82" s="23" t="s">
        <v>1464</v>
      </c>
      <c r="C82" s="508">
        <v>42909</v>
      </c>
      <c r="D82" s="270">
        <v>4535</v>
      </c>
      <c r="E82" s="261">
        <v>14.7</v>
      </c>
      <c r="F82" s="209">
        <v>62</v>
      </c>
      <c r="G82" s="39">
        <f t="shared" si="2"/>
        <v>911.4</v>
      </c>
      <c r="H82" s="790">
        <v>42911</v>
      </c>
      <c r="I82" s="752" t="s">
        <v>1451</v>
      </c>
      <c r="M82" s="195"/>
      <c r="N82" s="195"/>
      <c r="O82" s="195"/>
    </row>
    <row r="83" spans="1:15" x14ac:dyDescent="0.25">
      <c r="A83" s="275" t="s">
        <v>1231</v>
      </c>
      <c r="B83" s="23" t="s">
        <v>143</v>
      </c>
      <c r="C83" s="508">
        <v>42909</v>
      </c>
      <c r="D83" s="270">
        <v>4536</v>
      </c>
      <c r="E83" s="261">
        <v>2</v>
      </c>
      <c r="F83" s="209">
        <v>185</v>
      </c>
      <c r="G83" s="39">
        <f t="shared" si="2"/>
        <v>370</v>
      </c>
      <c r="H83" s="790">
        <v>42910</v>
      </c>
      <c r="I83" s="752" t="s">
        <v>1451</v>
      </c>
      <c r="K83" s="286"/>
      <c r="M83" s="195"/>
      <c r="N83" s="195"/>
      <c r="O83" s="195"/>
    </row>
    <row r="84" spans="1:15" x14ac:dyDescent="0.25">
      <c r="A84" s="275" t="s">
        <v>1171</v>
      </c>
      <c r="B84" s="23" t="s">
        <v>206</v>
      </c>
      <c r="C84" s="508">
        <v>42910</v>
      </c>
      <c r="D84" s="270">
        <v>4537</v>
      </c>
      <c r="E84" s="261">
        <v>403.8</v>
      </c>
      <c r="F84" s="209">
        <v>68</v>
      </c>
      <c r="G84" s="39">
        <f t="shared" si="2"/>
        <v>27458.400000000001</v>
      </c>
      <c r="H84" s="790">
        <v>42910</v>
      </c>
      <c r="I84" s="752" t="s">
        <v>1451</v>
      </c>
      <c r="K84" s="286"/>
      <c r="M84" s="195"/>
      <c r="N84" s="195"/>
      <c r="O84" s="195"/>
    </row>
    <row r="85" spans="1:15" s="8" customFormat="1" x14ac:dyDescent="0.25">
      <c r="A85" s="275" t="s">
        <v>1477</v>
      </c>
      <c r="B85" s="23" t="s">
        <v>1374</v>
      </c>
      <c r="C85" s="508">
        <v>42910</v>
      </c>
      <c r="D85" s="270">
        <v>4538</v>
      </c>
      <c r="E85" s="261">
        <v>5265.2</v>
      </c>
      <c r="F85" s="209">
        <v>34</v>
      </c>
      <c r="G85" s="39">
        <f>F85*E85+268*90+668.6*64</f>
        <v>245927.19999999998</v>
      </c>
      <c r="H85" s="797">
        <v>42917</v>
      </c>
      <c r="I85" s="753" t="s">
        <v>1451</v>
      </c>
      <c r="J85" s="519"/>
      <c r="K85" s="195"/>
    </row>
    <row r="86" spans="1:15" s="8" customFormat="1" x14ac:dyDescent="0.25">
      <c r="A86" s="275" t="s">
        <v>1246</v>
      </c>
      <c r="B86" s="23" t="s">
        <v>1314</v>
      </c>
      <c r="C86" s="508">
        <v>42905</v>
      </c>
      <c r="D86" s="270">
        <v>4539</v>
      </c>
      <c r="E86" s="261">
        <v>24</v>
      </c>
      <c r="F86" s="29">
        <v>15</v>
      </c>
      <c r="G86" s="39">
        <f t="shared" si="2"/>
        <v>360</v>
      </c>
      <c r="H86" s="792">
        <v>42910</v>
      </c>
      <c r="I86" s="752" t="s">
        <v>1451</v>
      </c>
      <c r="J86" s="519"/>
      <c r="K86" s="195"/>
    </row>
    <row r="87" spans="1:15" s="8" customFormat="1" x14ac:dyDescent="0.25">
      <c r="A87" s="275" t="s">
        <v>1173</v>
      </c>
      <c r="B87" s="23" t="s">
        <v>1489</v>
      </c>
      <c r="C87" s="508">
        <v>42912</v>
      </c>
      <c r="D87" s="270">
        <v>4540</v>
      </c>
      <c r="E87" s="261">
        <v>178</v>
      </c>
      <c r="F87" s="29">
        <v>48</v>
      </c>
      <c r="G87" s="39">
        <f>F87*E87+101*27</f>
        <v>11271</v>
      </c>
      <c r="H87" s="802">
        <v>42922</v>
      </c>
      <c r="I87" s="801" t="s">
        <v>1451</v>
      </c>
      <c r="J87" s="519"/>
      <c r="K87" s="195"/>
    </row>
    <row r="88" spans="1:15" s="8" customFormat="1" x14ac:dyDescent="0.25">
      <c r="A88" s="275" t="s">
        <v>1171</v>
      </c>
      <c r="B88" s="23" t="s">
        <v>206</v>
      </c>
      <c r="C88" s="508">
        <v>42912</v>
      </c>
      <c r="D88" s="270">
        <v>4541</v>
      </c>
      <c r="E88" s="261">
        <v>1307.8</v>
      </c>
      <c r="F88" s="29">
        <v>68</v>
      </c>
      <c r="G88" s="39">
        <f t="shared" si="2"/>
        <v>88930.4</v>
      </c>
      <c r="H88" s="792">
        <v>42915</v>
      </c>
      <c r="I88" s="752" t="s">
        <v>1451</v>
      </c>
      <c r="J88" s="519"/>
      <c r="K88" s="195"/>
    </row>
    <row r="89" spans="1:15" s="8" customFormat="1" x14ac:dyDescent="0.25">
      <c r="A89" s="275" t="s">
        <v>1182</v>
      </c>
      <c r="B89" s="685" t="s">
        <v>1491</v>
      </c>
      <c r="C89" s="508">
        <v>42912</v>
      </c>
      <c r="D89" s="270">
        <v>4542</v>
      </c>
      <c r="E89" s="261">
        <v>31643.599999999999</v>
      </c>
      <c r="F89" s="29">
        <v>1</v>
      </c>
      <c r="G89" s="39">
        <f t="shared" si="2"/>
        <v>31643.599999999999</v>
      </c>
      <c r="H89" s="790">
        <v>42912</v>
      </c>
      <c r="I89" s="752" t="s">
        <v>1451</v>
      </c>
      <c r="J89" s="62"/>
      <c r="K89" s="195"/>
    </row>
    <row r="90" spans="1:15" x14ac:dyDescent="0.25">
      <c r="A90" s="275" t="s">
        <v>1220</v>
      </c>
      <c r="B90" s="685" t="s">
        <v>1514</v>
      </c>
      <c r="C90" s="508">
        <v>42912</v>
      </c>
      <c r="D90" s="270">
        <v>4543</v>
      </c>
      <c r="E90" s="261">
        <v>4</v>
      </c>
      <c r="F90" s="29">
        <v>110</v>
      </c>
      <c r="G90" s="39">
        <f t="shared" si="2"/>
        <v>440</v>
      </c>
      <c r="H90" s="790">
        <v>44040</v>
      </c>
      <c r="I90" s="752" t="s">
        <v>1451</v>
      </c>
      <c r="M90" s="195"/>
      <c r="N90" s="195"/>
      <c r="O90" s="195"/>
    </row>
    <row r="91" spans="1:15" x14ac:dyDescent="0.25">
      <c r="A91" s="275" t="s">
        <v>923</v>
      </c>
      <c r="C91" s="508"/>
      <c r="D91" s="270">
        <v>4544</v>
      </c>
      <c r="G91" s="39">
        <f t="shared" si="2"/>
        <v>0</v>
      </c>
      <c r="I91" s="752"/>
      <c r="M91" s="195"/>
      <c r="N91" s="195"/>
      <c r="O91" s="195"/>
    </row>
    <row r="92" spans="1:15" x14ac:dyDescent="0.25">
      <c r="A92" s="808" t="s">
        <v>1220</v>
      </c>
      <c r="B92" s="689" t="s">
        <v>1291</v>
      </c>
      <c r="C92" s="682">
        <v>42943</v>
      </c>
      <c r="D92" s="270">
        <v>4545</v>
      </c>
      <c r="E92" s="261">
        <v>39.799999999999997</v>
      </c>
      <c r="F92" s="29">
        <v>38.22</v>
      </c>
      <c r="G92" s="39">
        <f t="shared" si="2"/>
        <v>1521.1559999999999</v>
      </c>
      <c r="H92" s="790">
        <v>42944</v>
      </c>
      <c r="I92" s="752" t="s">
        <v>1451</v>
      </c>
      <c r="M92" s="195"/>
      <c r="N92" s="195"/>
      <c r="O92" s="195"/>
    </row>
    <row r="93" spans="1:15" x14ac:dyDescent="0.25">
      <c r="A93" s="290" t="s">
        <v>1171</v>
      </c>
      <c r="B93" s="689" t="s">
        <v>206</v>
      </c>
      <c r="C93" s="31">
        <v>42913</v>
      </c>
      <c r="D93" s="270">
        <v>4546</v>
      </c>
      <c r="E93" s="261">
        <v>335.1</v>
      </c>
      <c r="F93" s="29">
        <v>66</v>
      </c>
      <c r="G93" s="39">
        <f>F93*E93+385.9*68</f>
        <v>48357.8</v>
      </c>
      <c r="H93" s="790">
        <v>42913</v>
      </c>
      <c r="I93" s="752" t="s">
        <v>1451</v>
      </c>
      <c r="M93" s="195"/>
      <c r="N93" s="195"/>
      <c r="O93" s="195"/>
    </row>
    <row r="94" spans="1:15" x14ac:dyDescent="0.25">
      <c r="A94" s="291" t="s">
        <v>1246</v>
      </c>
      <c r="B94" s="689" t="s">
        <v>1075</v>
      </c>
      <c r="C94" s="271">
        <v>42912</v>
      </c>
      <c r="D94" s="270">
        <v>4547</v>
      </c>
      <c r="E94" s="261">
        <v>89.3</v>
      </c>
      <c r="F94" s="29">
        <v>46</v>
      </c>
      <c r="G94" s="39">
        <f t="shared" si="2"/>
        <v>4107.8</v>
      </c>
      <c r="H94" s="798">
        <v>42917</v>
      </c>
      <c r="I94" s="753" t="s">
        <v>1451</v>
      </c>
      <c r="M94" s="195"/>
      <c r="N94" s="195"/>
      <c r="O94" s="195"/>
    </row>
    <row r="95" spans="1:15" x14ac:dyDescent="0.25">
      <c r="A95" s="290" t="s">
        <v>1184</v>
      </c>
      <c r="B95" s="689" t="s">
        <v>1464</v>
      </c>
      <c r="C95" s="31">
        <v>42912</v>
      </c>
      <c r="D95" s="270">
        <v>4548</v>
      </c>
      <c r="E95" s="261">
        <v>8.9</v>
      </c>
      <c r="F95" s="29">
        <v>62</v>
      </c>
      <c r="G95" s="39">
        <f t="shared" si="2"/>
        <v>551.80000000000007</v>
      </c>
      <c r="H95" s="790">
        <v>42914</v>
      </c>
      <c r="I95" s="752" t="s">
        <v>1451</v>
      </c>
      <c r="M95" s="195"/>
      <c r="N95" s="195"/>
      <c r="O95" s="195"/>
    </row>
    <row r="96" spans="1:15" x14ac:dyDescent="0.25">
      <c r="A96" s="290" t="s">
        <v>1257</v>
      </c>
      <c r="B96" s="689" t="s">
        <v>1486</v>
      </c>
      <c r="C96" s="31">
        <v>42914</v>
      </c>
      <c r="D96" s="270">
        <v>4549</v>
      </c>
      <c r="E96" s="261">
        <v>30.9</v>
      </c>
      <c r="F96" s="29">
        <v>52</v>
      </c>
      <c r="G96" s="39">
        <f>F96*E96+28.2*78</f>
        <v>3806.3999999999996</v>
      </c>
      <c r="H96" s="790">
        <v>42914</v>
      </c>
      <c r="I96" s="752" t="s">
        <v>1451</v>
      </c>
      <c r="M96" s="195"/>
      <c r="N96" s="195"/>
      <c r="O96" s="195"/>
    </row>
    <row r="97" spans="1:15" x14ac:dyDescent="0.25">
      <c r="A97" s="290" t="s">
        <v>1173</v>
      </c>
      <c r="B97" s="689" t="s">
        <v>1489</v>
      </c>
      <c r="C97" s="31">
        <v>42914</v>
      </c>
      <c r="D97" s="270">
        <v>4550</v>
      </c>
      <c r="E97" s="261">
        <v>239</v>
      </c>
      <c r="F97" s="29">
        <v>48</v>
      </c>
      <c r="G97" s="39">
        <f>F97*E97+100*27</f>
        <v>14172</v>
      </c>
      <c r="H97" s="800">
        <v>42922</v>
      </c>
      <c r="I97" s="801" t="s">
        <v>1451</v>
      </c>
      <c r="M97" s="195"/>
      <c r="N97" s="195"/>
      <c r="O97" s="195"/>
    </row>
    <row r="98" spans="1:15" x14ac:dyDescent="0.25">
      <c r="A98" s="290" t="s">
        <v>1493</v>
      </c>
      <c r="B98" s="689" t="s">
        <v>1314</v>
      </c>
      <c r="C98" s="31">
        <v>42914</v>
      </c>
      <c r="D98" s="270">
        <v>4551</v>
      </c>
      <c r="E98" s="261">
        <v>27.8</v>
      </c>
      <c r="F98" s="29">
        <v>77</v>
      </c>
      <c r="G98" s="39">
        <f t="shared" si="2"/>
        <v>2140.6</v>
      </c>
      <c r="H98" s="790">
        <v>42914</v>
      </c>
      <c r="I98" s="752" t="s">
        <v>1451</v>
      </c>
      <c r="M98" s="195"/>
      <c r="N98" s="195"/>
      <c r="O98" s="195"/>
    </row>
    <row r="99" spans="1:15" x14ac:dyDescent="0.25">
      <c r="A99" s="290" t="s">
        <v>1364</v>
      </c>
      <c r="B99" s="689" t="s">
        <v>1182</v>
      </c>
      <c r="C99" s="31">
        <v>42914</v>
      </c>
      <c r="D99" s="270">
        <v>4552</v>
      </c>
      <c r="E99" s="261">
        <v>20352.8</v>
      </c>
      <c r="F99" s="29">
        <v>1</v>
      </c>
      <c r="G99" s="39">
        <f t="shared" si="2"/>
        <v>20352.8</v>
      </c>
      <c r="H99" s="790">
        <v>42914</v>
      </c>
      <c r="I99" s="752" t="s">
        <v>1451</v>
      </c>
      <c r="M99" s="195"/>
      <c r="N99" s="195"/>
      <c r="O99" s="195"/>
    </row>
    <row r="100" spans="1:15" x14ac:dyDescent="0.25">
      <c r="A100" s="290" t="s">
        <v>1208</v>
      </c>
      <c r="B100" s="689" t="s">
        <v>1492</v>
      </c>
      <c r="C100" s="31">
        <v>42914</v>
      </c>
      <c r="D100" s="270">
        <v>4553</v>
      </c>
      <c r="E100" s="261">
        <v>132</v>
      </c>
      <c r="F100" s="29">
        <v>63</v>
      </c>
      <c r="G100" s="39">
        <f t="shared" si="2"/>
        <v>8316</v>
      </c>
      <c r="H100" s="790">
        <v>42914</v>
      </c>
      <c r="I100" s="752" t="s">
        <v>1451</v>
      </c>
      <c r="M100" s="195"/>
      <c r="N100" s="195"/>
      <c r="O100" s="195"/>
    </row>
    <row r="101" spans="1:15" x14ac:dyDescent="0.25">
      <c r="A101" s="290" t="s">
        <v>1171</v>
      </c>
      <c r="B101" s="689" t="s">
        <v>206</v>
      </c>
      <c r="C101" s="31">
        <v>42914</v>
      </c>
      <c r="D101" s="270">
        <v>4554</v>
      </c>
      <c r="E101" s="261">
        <v>740.5</v>
      </c>
      <c r="F101" s="29">
        <v>68</v>
      </c>
      <c r="G101" s="39">
        <f>F101*E101+283.9*66</f>
        <v>69091.399999999994</v>
      </c>
      <c r="H101" s="790">
        <v>42915</v>
      </c>
      <c r="I101" s="752" t="s">
        <v>1451</v>
      </c>
      <c r="M101" s="195"/>
      <c r="N101" s="195"/>
      <c r="O101" s="195"/>
    </row>
    <row r="102" spans="1:15" x14ac:dyDescent="0.25">
      <c r="A102" s="290" t="s">
        <v>1180</v>
      </c>
      <c r="B102" s="689" t="s">
        <v>1214</v>
      </c>
      <c r="C102" s="31">
        <v>42915</v>
      </c>
      <c r="D102" s="270">
        <v>4555</v>
      </c>
      <c r="E102" s="261">
        <v>410.1</v>
      </c>
      <c r="F102" s="29">
        <v>38</v>
      </c>
      <c r="G102" s="39">
        <f t="shared" si="2"/>
        <v>15583.800000000001</v>
      </c>
      <c r="H102" s="790">
        <v>42915</v>
      </c>
      <c r="I102" s="752" t="s">
        <v>1451</v>
      </c>
      <c r="M102" s="195"/>
      <c r="N102" s="195"/>
      <c r="O102" s="195"/>
    </row>
    <row r="103" spans="1:15" x14ac:dyDescent="0.25">
      <c r="A103" s="290" t="s">
        <v>1171</v>
      </c>
      <c r="B103" s="689" t="s">
        <v>206</v>
      </c>
      <c r="C103" s="31">
        <v>42915</v>
      </c>
      <c r="D103" s="270">
        <v>4556</v>
      </c>
      <c r="E103" s="261">
        <v>1987.1</v>
      </c>
      <c r="F103" s="29">
        <v>68</v>
      </c>
      <c r="G103" s="39">
        <f>F103*E103+635.7*66</f>
        <v>177079</v>
      </c>
      <c r="H103" s="790">
        <v>42915</v>
      </c>
      <c r="I103" s="752" t="s">
        <v>1451</v>
      </c>
      <c r="M103" s="195"/>
      <c r="N103" s="195"/>
      <c r="O103" s="195"/>
    </row>
    <row r="104" spans="1:15" x14ac:dyDescent="0.25">
      <c r="A104" s="290" t="s">
        <v>1173</v>
      </c>
      <c r="B104" s="689" t="s">
        <v>1271</v>
      </c>
      <c r="C104" s="31">
        <v>42915</v>
      </c>
      <c r="D104" s="270">
        <v>4557</v>
      </c>
      <c r="E104" s="261">
        <v>71.2</v>
      </c>
      <c r="F104" s="29">
        <v>27</v>
      </c>
      <c r="G104" s="39">
        <f t="shared" si="2"/>
        <v>1922.4</v>
      </c>
      <c r="H104" s="798">
        <v>42922</v>
      </c>
      <c r="I104" s="753" t="s">
        <v>1451</v>
      </c>
      <c r="K104" s="8"/>
      <c r="M104" s="195"/>
      <c r="N104" s="195"/>
      <c r="O104" s="195"/>
    </row>
    <row r="105" spans="1:15" x14ac:dyDescent="0.25">
      <c r="A105" s="290" t="s">
        <v>1171</v>
      </c>
      <c r="B105" s="689" t="s">
        <v>206</v>
      </c>
      <c r="C105" s="31">
        <v>42916</v>
      </c>
      <c r="D105" s="270">
        <v>4558</v>
      </c>
      <c r="E105" s="261">
        <v>1382.2</v>
      </c>
      <c r="F105" s="29">
        <v>66</v>
      </c>
      <c r="G105" s="39">
        <f t="shared" si="2"/>
        <v>91225.2</v>
      </c>
      <c r="I105" s="752"/>
      <c r="M105" s="195"/>
      <c r="N105" s="195"/>
      <c r="O105" s="195"/>
    </row>
    <row r="106" spans="1:15" x14ac:dyDescent="0.25">
      <c r="A106" s="293" t="s">
        <v>1221</v>
      </c>
      <c r="B106" s="689" t="s">
        <v>248</v>
      </c>
      <c r="C106" s="752">
        <v>42916</v>
      </c>
      <c r="D106" s="270">
        <v>4559</v>
      </c>
      <c r="E106" s="261">
        <v>200</v>
      </c>
      <c r="F106" s="29">
        <v>35</v>
      </c>
      <c r="G106" s="39">
        <f t="shared" si="2"/>
        <v>7000</v>
      </c>
      <c r="H106" s="798">
        <v>42917</v>
      </c>
      <c r="I106" s="753" t="s">
        <v>1451</v>
      </c>
      <c r="K106" s="8"/>
      <c r="M106" s="195"/>
      <c r="N106" s="195"/>
      <c r="O106" s="195"/>
    </row>
    <row r="107" spans="1:15" x14ac:dyDescent="0.25">
      <c r="A107" s="293" t="s">
        <v>923</v>
      </c>
      <c r="B107" s="689"/>
      <c r="C107" s="752"/>
      <c r="D107" s="270">
        <v>4560</v>
      </c>
      <c r="G107" s="39">
        <f t="shared" si="2"/>
        <v>0</v>
      </c>
      <c r="I107" s="752"/>
      <c r="K107" s="8"/>
      <c r="M107" s="195"/>
      <c r="N107" s="195"/>
      <c r="O107" s="195"/>
    </row>
    <row r="108" spans="1:15" x14ac:dyDescent="0.25">
      <c r="A108" s="293" t="s">
        <v>1208</v>
      </c>
      <c r="B108" s="689" t="s">
        <v>206</v>
      </c>
      <c r="C108" s="752">
        <v>42916</v>
      </c>
      <c r="D108" s="270">
        <v>4561</v>
      </c>
      <c r="E108" s="261">
        <v>777</v>
      </c>
      <c r="F108" s="29">
        <v>67</v>
      </c>
      <c r="G108" s="39">
        <f>F108*E108+397*63</f>
        <v>77070</v>
      </c>
      <c r="H108" s="798">
        <v>42917</v>
      </c>
      <c r="I108" s="753" t="s">
        <v>1451</v>
      </c>
      <c r="K108" s="8"/>
      <c r="M108" s="195"/>
      <c r="N108" s="195"/>
      <c r="O108" s="195"/>
    </row>
    <row r="109" spans="1:15" x14ac:dyDescent="0.25">
      <c r="A109" s="290"/>
      <c r="B109" s="690"/>
      <c r="D109" s="270"/>
      <c r="G109" s="39">
        <f t="shared" si="2"/>
        <v>0</v>
      </c>
      <c r="I109" s="752"/>
      <c r="M109" s="195"/>
      <c r="N109" s="195"/>
      <c r="O109" s="195"/>
    </row>
    <row r="110" spans="1:15" x14ac:dyDescent="0.25">
      <c r="A110" s="290"/>
      <c r="B110" s="690"/>
      <c r="D110" s="270"/>
      <c r="G110" s="39">
        <f t="shared" si="2"/>
        <v>0</v>
      </c>
      <c r="I110" s="752"/>
      <c r="M110" s="195"/>
      <c r="N110" s="195"/>
      <c r="O110" s="195"/>
    </row>
    <row r="111" spans="1:15" x14ac:dyDescent="0.25">
      <c r="A111" s="290"/>
      <c r="B111" s="690"/>
      <c r="D111" s="270"/>
      <c r="G111" s="39">
        <f t="shared" si="2"/>
        <v>0</v>
      </c>
      <c r="I111" s="752"/>
      <c r="M111" s="195"/>
      <c r="N111" s="195"/>
      <c r="O111" s="195"/>
    </row>
    <row r="112" spans="1:15" x14ac:dyDescent="0.25">
      <c r="A112" s="290"/>
      <c r="B112" s="689"/>
      <c r="D112" s="270"/>
      <c r="G112" s="39">
        <f t="shared" si="2"/>
        <v>0</v>
      </c>
      <c r="I112" s="752"/>
      <c r="K112" s="8"/>
      <c r="M112" s="195"/>
      <c r="N112" s="195"/>
      <c r="O112" s="195"/>
    </row>
    <row r="113" spans="1:15" x14ac:dyDescent="0.25">
      <c r="A113" s="290"/>
      <c r="B113" s="689"/>
      <c r="D113" s="270"/>
      <c r="G113" s="39">
        <f t="shared" si="2"/>
        <v>0</v>
      </c>
      <c r="I113" s="752"/>
      <c r="K113" s="8"/>
      <c r="M113" s="195"/>
      <c r="N113" s="195"/>
      <c r="O113" s="195"/>
    </row>
    <row r="114" spans="1:15" x14ac:dyDescent="0.25">
      <c r="A114" s="290"/>
      <c r="B114" s="689"/>
      <c r="D114" s="270"/>
      <c r="G114" s="39">
        <f t="shared" si="2"/>
        <v>0</v>
      </c>
      <c r="I114" s="752"/>
      <c r="K114" s="8"/>
      <c r="M114" s="195"/>
      <c r="N114" s="195"/>
      <c r="O114" s="195"/>
    </row>
    <row r="115" spans="1:15" x14ac:dyDescent="0.25">
      <c r="A115" s="290"/>
      <c r="B115" s="689"/>
      <c r="D115" s="270"/>
      <c r="G115" s="39">
        <f t="shared" si="2"/>
        <v>0</v>
      </c>
      <c r="I115" s="752"/>
      <c r="K115" s="8"/>
      <c r="M115" s="195"/>
      <c r="N115" s="195"/>
      <c r="O115" s="195"/>
    </row>
    <row r="116" spans="1:15" x14ac:dyDescent="0.25">
      <c r="A116" s="290"/>
      <c r="B116" s="689"/>
      <c r="D116" s="270"/>
      <c r="G116" s="39">
        <f t="shared" si="2"/>
        <v>0</v>
      </c>
      <c r="I116" s="752"/>
      <c r="M116" s="195"/>
      <c r="N116" s="195"/>
      <c r="O116" s="195"/>
    </row>
    <row r="117" spans="1:15" x14ac:dyDescent="0.25">
      <c r="A117" s="290"/>
      <c r="B117" s="689"/>
      <c r="D117" s="270"/>
      <c r="G117" s="39">
        <f t="shared" si="2"/>
        <v>0</v>
      </c>
      <c r="I117" s="752"/>
      <c r="K117" s="8"/>
      <c r="M117" s="195"/>
      <c r="N117" s="195"/>
      <c r="O117" s="195"/>
    </row>
    <row r="118" spans="1:15" ht="17.25" customHeight="1" x14ac:dyDescent="0.25">
      <c r="A118" s="290"/>
      <c r="B118" s="691"/>
      <c r="D118" s="270"/>
      <c r="E118" s="296"/>
      <c r="F118" s="297"/>
      <c r="G118" s="39">
        <f t="shared" si="2"/>
        <v>0</v>
      </c>
      <c r="H118" s="793"/>
      <c r="I118" s="783"/>
      <c r="J118" s="298"/>
      <c r="K118" s="300"/>
      <c r="L118" s="208"/>
      <c r="M118" s="301"/>
      <c r="N118" s="301"/>
      <c r="O118" s="301"/>
    </row>
    <row r="119" spans="1:15" x14ac:dyDescent="0.25">
      <c r="A119" s="290"/>
      <c r="B119" s="689"/>
      <c r="D119" s="270"/>
      <c r="G119" s="39">
        <f t="shared" si="2"/>
        <v>0</v>
      </c>
      <c r="I119" s="752"/>
      <c r="L119" s="302"/>
      <c r="M119" s="302"/>
      <c r="N119" s="302"/>
      <c r="O119" s="302"/>
    </row>
    <row r="120" spans="1:15" x14ac:dyDescent="0.25">
      <c r="A120" s="290"/>
      <c r="B120" s="689"/>
      <c r="D120" s="270"/>
      <c r="G120" s="39">
        <f t="shared" si="2"/>
        <v>0</v>
      </c>
      <c r="I120" s="752"/>
      <c r="L120" s="302"/>
      <c r="M120" s="302"/>
      <c r="N120" s="302"/>
      <c r="O120" s="302"/>
    </row>
    <row r="121" spans="1:15" x14ac:dyDescent="0.25">
      <c r="A121" s="290"/>
      <c r="B121" s="692"/>
      <c r="D121" s="270"/>
      <c r="G121" s="39">
        <f t="shared" si="2"/>
        <v>0</v>
      </c>
      <c r="I121" s="752"/>
      <c r="M121" s="195"/>
      <c r="N121" s="195"/>
      <c r="O121" s="195"/>
    </row>
    <row r="122" spans="1:15" x14ac:dyDescent="0.25">
      <c r="A122" s="290"/>
      <c r="B122" s="692"/>
      <c r="D122" s="270"/>
      <c r="G122" s="39">
        <f t="shared" si="2"/>
        <v>0</v>
      </c>
      <c r="I122" s="752"/>
      <c r="M122" s="195"/>
      <c r="N122" s="195"/>
      <c r="O122" s="195"/>
    </row>
    <row r="123" spans="1:15" x14ac:dyDescent="0.25">
      <c r="A123" s="290"/>
      <c r="B123" s="689"/>
      <c r="D123" s="270"/>
      <c r="G123" s="39">
        <f t="shared" si="2"/>
        <v>0</v>
      </c>
      <c r="I123" s="752"/>
      <c r="M123" s="195"/>
      <c r="N123" s="195"/>
      <c r="O123" s="195"/>
    </row>
    <row r="124" spans="1:15" x14ac:dyDescent="0.25">
      <c r="A124" s="290"/>
      <c r="B124" s="689"/>
      <c r="D124" s="270"/>
      <c r="G124" s="39">
        <f t="shared" si="2"/>
        <v>0</v>
      </c>
      <c r="I124" s="752"/>
      <c r="M124" s="195"/>
      <c r="N124" s="195"/>
      <c r="O124" s="195"/>
    </row>
    <row r="125" spans="1:15" x14ac:dyDescent="0.25">
      <c r="A125" s="291"/>
      <c r="B125" s="689"/>
      <c r="C125" s="271"/>
      <c r="D125" s="270"/>
      <c r="G125" s="39">
        <f t="shared" si="2"/>
        <v>0</v>
      </c>
      <c r="I125" s="752"/>
      <c r="K125" s="8"/>
      <c r="M125" s="195"/>
      <c r="N125" s="195"/>
      <c r="O125" s="195"/>
    </row>
    <row r="126" spans="1:15" x14ac:dyDescent="0.25">
      <c r="A126" s="290"/>
      <c r="B126" s="689"/>
      <c r="D126" s="270"/>
      <c r="G126" s="39">
        <f t="shared" si="2"/>
        <v>0</v>
      </c>
      <c r="I126" s="752"/>
      <c r="K126" s="8"/>
      <c r="M126" s="195"/>
      <c r="N126" s="195"/>
      <c r="O126" s="195"/>
    </row>
    <row r="127" spans="1:15" x14ac:dyDescent="0.25">
      <c r="A127" s="290"/>
      <c r="B127" s="689"/>
      <c r="D127" s="270"/>
      <c r="G127" s="39">
        <f t="shared" si="2"/>
        <v>0</v>
      </c>
      <c r="I127" s="752"/>
      <c r="K127" s="8"/>
      <c r="M127" s="195"/>
      <c r="N127" s="195"/>
      <c r="O127" s="195"/>
    </row>
    <row r="128" spans="1:15" x14ac:dyDescent="0.25">
      <c r="A128" s="290"/>
      <c r="B128" s="689"/>
      <c r="D128" s="270"/>
      <c r="G128" s="39">
        <f t="shared" si="2"/>
        <v>0</v>
      </c>
      <c r="I128" s="752"/>
      <c r="K128" s="8"/>
      <c r="M128" s="195"/>
      <c r="N128" s="195"/>
      <c r="O128" s="195"/>
    </row>
    <row r="129" spans="1:15" x14ac:dyDescent="0.25">
      <c r="A129" s="291"/>
      <c r="B129" s="689"/>
      <c r="C129" s="271"/>
      <c r="D129" s="270"/>
      <c r="G129" s="39">
        <f t="shared" si="2"/>
        <v>0</v>
      </c>
      <c r="I129" s="752"/>
      <c r="K129" s="8"/>
      <c r="M129" s="195"/>
      <c r="N129" s="195"/>
      <c r="O129" s="195"/>
    </row>
    <row r="130" spans="1:15" x14ac:dyDescent="0.25">
      <c r="A130" s="288"/>
      <c r="B130" s="689"/>
      <c r="C130" s="309"/>
      <c r="D130" s="270"/>
      <c r="G130" s="39">
        <f t="shared" si="2"/>
        <v>0</v>
      </c>
      <c r="I130" s="752"/>
      <c r="K130" s="8"/>
      <c r="M130" s="195"/>
      <c r="N130" s="195"/>
      <c r="O130" s="195"/>
    </row>
    <row r="131" spans="1:15" x14ac:dyDescent="0.25">
      <c r="A131" s="290"/>
      <c r="B131" s="690"/>
      <c r="D131" s="270"/>
      <c r="G131" s="39">
        <f t="shared" si="2"/>
        <v>0</v>
      </c>
      <c r="I131" s="752"/>
      <c r="K131" s="8"/>
      <c r="M131" s="195"/>
      <c r="N131" s="195"/>
      <c r="O131" s="195"/>
    </row>
    <row r="132" spans="1:15" x14ac:dyDescent="0.25">
      <c r="A132" s="288"/>
      <c r="B132" s="690"/>
      <c r="C132" s="309"/>
      <c r="D132" s="270"/>
      <c r="G132" s="39">
        <f t="shared" si="2"/>
        <v>0</v>
      </c>
      <c r="I132" s="752"/>
      <c r="K132" s="8"/>
      <c r="M132" s="195"/>
      <c r="N132" s="195"/>
      <c r="O132" s="195"/>
    </row>
    <row r="133" spans="1:15" x14ac:dyDescent="0.25">
      <c r="A133" s="290"/>
      <c r="B133" s="689"/>
      <c r="D133" s="270"/>
      <c r="G133" s="39">
        <f t="shared" si="2"/>
        <v>0</v>
      </c>
      <c r="I133" s="752"/>
      <c r="M133" s="195"/>
      <c r="N133" s="195"/>
      <c r="O133" s="195"/>
    </row>
    <row r="134" spans="1:15" x14ac:dyDescent="0.25">
      <c r="A134" s="290"/>
      <c r="B134" s="689"/>
      <c r="D134" s="270"/>
      <c r="G134" s="39">
        <f t="shared" si="2"/>
        <v>0</v>
      </c>
      <c r="I134" s="752"/>
      <c r="M134" s="195"/>
      <c r="N134" s="195"/>
      <c r="O134" s="195"/>
    </row>
    <row r="135" spans="1:15" x14ac:dyDescent="0.25">
      <c r="A135" s="290"/>
      <c r="B135" s="689"/>
      <c r="D135" s="270"/>
      <c r="G135" s="39">
        <f t="shared" si="2"/>
        <v>0</v>
      </c>
      <c r="I135" s="752"/>
      <c r="M135" s="195"/>
      <c r="N135" s="195"/>
      <c r="O135" s="195"/>
    </row>
    <row r="136" spans="1:15" x14ac:dyDescent="0.25">
      <c r="A136" s="290"/>
      <c r="B136" s="689"/>
      <c r="D136" s="270"/>
      <c r="G136" s="39">
        <f t="shared" si="2"/>
        <v>0</v>
      </c>
      <c r="I136" s="752"/>
      <c r="M136" s="195"/>
      <c r="N136" s="195"/>
      <c r="O136" s="195"/>
    </row>
    <row r="137" spans="1:15" x14ac:dyDescent="0.25">
      <c r="A137" s="290"/>
      <c r="B137" s="689"/>
      <c r="D137" s="270"/>
      <c r="G137" s="39">
        <f t="shared" si="2"/>
        <v>0</v>
      </c>
      <c r="I137" s="752"/>
      <c r="M137" s="195"/>
      <c r="N137" s="195"/>
      <c r="O137" s="195"/>
    </row>
    <row r="138" spans="1:15" x14ac:dyDescent="0.25">
      <c r="A138" s="290"/>
      <c r="B138" s="689"/>
      <c r="D138" s="270"/>
      <c r="G138" s="39">
        <f t="shared" si="2"/>
        <v>0</v>
      </c>
      <c r="I138" s="752"/>
      <c r="M138" s="195"/>
      <c r="N138" s="195"/>
      <c r="O138" s="195"/>
    </row>
    <row r="139" spans="1:15" x14ac:dyDescent="0.25">
      <c r="A139" s="290"/>
      <c r="B139" s="689"/>
      <c r="D139" s="270"/>
      <c r="G139" s="39">
        <f t="shared" si="2"/>
        <v>0</v>
      </c>
      <c r="I139" s="752"/>
      <c r="M139" s="195"/>
      <c r="N139" s="195"/>
      <c r="O139" s="195"/>
    </row>
    <row r="140" spans="1:15" x14ac:dyDescent="0.25">
      <c r="A140" s="290"/>
      <c r="B140" s="689"/>
      <c r="D140" s="270"/>
      <c r="G140" s="39">
        <f t="shared" si="2"/>
        <v>0</v>
      </c>
      <c r="I140" s="752"/>
      <c r="M140" s="195"/>
      <c r="N140" s="195"/>
      <c r="O140" s="195"/>
    </row>
    <row r="141" spans="1:15" x14ac:dyDescent="0.25">
      <c r="A141" s="304"/>
      <c r="B141" s="689"/>
      <c r="C141" s="795"/>
      <c r="D141" s="270"/>
      <c r="G141" s="39">
        <f t="shared" ref="G141:G243" si="3">F141*E141</f>
        <v>0</v>
      </c>
      <c r="I141" s="752"/>
      <c r="M141" s="195"/>
      <c r="N141" s="195"/>
      <c r="O141" s="195"/>
    </row>
    <row r="142" spans="1:15" x14ac:dyDescent="0.25">
      <c r="A142" s="290"/>
      <c r="B142" s="689"/>
      <c r="D142" s="270"/>
      <c r="G142" s="39">
        <f t="shared" si="3"/>
        <v>0</v>
      </c>
      <c r="I142" s="752"/>
      <c r="M142" s="195"/>
      <c r="N142" s="195"/>
      <c r="O142" s="195"/>
    </row>
    <row r="143" spans="1:15" x14ac:dyDescent="0.25">
      <c r="A143" s="290"/>
      <c r="B143" s="689"/>
      <c r="D143" s="270"/>
      <c r="G143" s="39">
        <f t="shared" si="3"/>
        <v>0</v>
      </c>
      <c r="I143" s="752"/>
      <c r="M143" s="195"/>
      <c r="N143" s="195"/>
      <c r="O143" s="195"/>
    </row>
    <row r="144" spans="1:15" x14ac:dyDescent="0.25">
      <c r="A144" s="290"/>
      <c r="B144" s="689"/>
      <c r="D144" s="270"/>
      <c r="G144" s="39">
        <f t="shared" si="3"/>
        <v>0</v>
      </c>
      <c r="I144" s="752"/>
      <c r="M144" s="195"/>
      <c r="N144" s="195"/>
      <c r="O144" s="195"/>
    </row>
    <row r="145" spans="1:15" x14ac:dyDescent="0.25">
      <c r="A145" s="290"/>
      <c r="B145" s="689"/>
      <c r="D145" s="270"/>
      <c r="G145" s="39">
        <f t="shared" si="3"/>
        <v>0</v>
      </c>
      <c r="I145" s="752"/>
      <c r="M145" s="195"/>
      <c r="N145" s="195"/>
      <c r="O145" s="195"/>
    </row>
    <row r="146" spans="1:15" x14ac:dyDescent="0.25">
      <c r="A146" s="290"/>
      <c r="B146" s="689"/>
      <c r="D146" s="270"/>
      <c r="G146" s="39">
        <f t="shared" si="3"/>
        <v>0</v>
      </c>
      <c r="I146" s="752"/>
      <c r="M146" s="195"/>
      <c r="N146" s="195"/>
      <c r="O146" s="195"/>
    </row>
    <row r="147" spans="1:15" x14ac:dyDescent="0.25">
      <c r="A147" s="290"/>
      <c r="B147" s="689"/>
      <c r="D147" s="270"/>
      <c r="G147" s="39">
        <f t="shared" si="3"/>
        <v>0</v>
      </c>
      <c r="I147" s="752"/>
      <c r="M147" s="195"/>
      <c r="N147" s="195"/>
      <c r="O147" s="195"/>
    </row>
    <row r="148" spans="1:15" x14ac:dyDescent="0.25">
      <c r="A148" s="290"/>
      <c r="B148" s="689"/>
      <c r="D148" s="270"/>
      <c r="G148" s="39">
        <f t="shared" si="3"/>
        <v>0</v>
      </c>
      <c r="I148" s="752"/>
      <c r="M148" s="195"/>
      <c r="N148" s="195"/>
      <c r="O148" s="195"/>
    </row>
    <row r="149" spans="1:15" x14ac:dyDescent="0.25">
      <c r="A149" s="304"/>
      <c r="B149" s="689"/>
      <c r="C149" s="795"/>
      <c r="D149" s="270"/>
      <c r="G149" s="39">
        <f t="shared" si="3"/>
        <v>0</v>
      </c>
      <c r="I149" s="752"/>
      <c r="M149" s="195"/>
      <c r="N149" s="195"/>
      <c r="O149" s="195"/>
    </row>
    <row r="150" spans="1:15" x14ac:dyDescent="0.25">
      <c r="A150" s="304"/>
      <c r="B150" s="689"/>
      <c r="C150" s="795"/>
      <c r="D150" s="270"/>
      <c r="G150" s="39">
        <f t="shared" si="3"/>
        <v>0</v>
      </c>
      <c r="I150" s="752"/>
      <c r="M150" s="195"/>
      <c r="N150" s="195"/>
      <c r="O150" s="195"/>
    </row>
    <row r="151" spans="1:15" x14ac:dyDescent="0.25">
      <c r="A151" s="290"/>
      <c r="B151" s="689"/>
      <c r="D151" s="270"/>
      <c r="G151" s="39">
        <f t="shared" si="3"/>
        <v>0</v>
      </c>
      <c r="I151" s="752"/>
      <c r="M151" s="195"/>
      <c r="N151" s="195"/>
      <c r="O151" s="195"/>
    </row>
    <row r="152" spans="1:15" x14ac:dyDescent="0.25">
      <c r="A152" s="290"/>
      <c r="B152" s="689"/>
      <c r="D152" s="270"/>
      <c r="G152" s="39">
        <f t="shared" si="3"/>
        <v>0</v>
      </c>
      <c r="I152" s="752"/>
      <c r="M152" s="195"/>
      <c r="N152" s="195"/>
      <c r="O152" s="195"/>
    </row>
    <row r="153" spans="1:15" x14ac:dyDescent="0.25">
      <c r="A153" s="290"/>
      <c r="B153" s="689"/>
      <c r="D153" s="270"/>
      <c r="G153" s="39">
        <f t="shared" si="3"/>
        <v>0</v>
      </c>
      <c r="I153" s="752"/>
      <c r="M153" s="195"/>
      <c r="N153" s="195"/>
      <c r="O153" s="195"/>
    </row>
    <row r="154" spans="1:15" x14ac:dyDescent="0.25">
      <c r="A154" s="290"/>
      <c r="B154" s="689"/>
      <c r="D154" s="270"/>
      <c r="G154" s="39">
        <f t="shared" si="3"/>
        <v>0</v>
      </c>
      <c r="I154" s="752"/>
      <c r="M154" s="195"/>
      <c r="N154" s="195"/>
      <c r="O154" s="195"/>
    </row>
    <row r="155" spans="1:15" x14ac:dyDescent="0.25">
      <c r="A155" s="291"/>
      <c r="B155" s="690"/>
      <c r="C155" s="271"/>
      <c r="D155" s="270"/>
      <c r="G155" s="39">
        <f t="shared" si="3"/>
        <v>0</v>
      </c>
      <c r="I155" s="752"/>
      <c r="M155" s="195"/>
      <c r="N155" s="195"/>
      <c r="O155" s="195"/>
    </row>
    <row r="156" spans="1:15" x14ac:dyDescent="0.25">
      <c r="A156" s="291"/>
      <c r="B156" s="690"/>
      <c r="C156" s="271"/>
      <c r="D156" s="270"/>
      <c r="G156" s="39">
        <f t="shared" si="3"/>
        <v>0</v>
      </c>
      <c r="I156" s="752"/>
      <c r="M156" s="195"/>
      <c r="N156" s="195"/>
      <c r="O156" s="195"/>
    </row>
    <row r="157" spans="1:15" x14ac:dyDescent="0.25">
      <c r="A157" s="306"/>
      <c r="B157" s="690"/>
      <c r="C157" s="796"/>
      <c r="D157" s="270"/>
      <c r="G157" s="39">
        <f t="shared" si="3"/>
        <v>0</v>
      </c>
      <c r="I157" s="752"/>
      <c r="M157" s="195"/>
      <c r="N157" s="195"/>
      <c r="O157" s="195"/>
    </row>
    <row r="158" spans="1:15" x14ac:dyDescent="0.25">
      <c r="A158" s="291"/>
      <c r="B158" s="690"/>
      <c r="C158" s="271"/>
      <c r="D158" s="270"/>
      <c r="G158" s="39">
        <f t="shared" si="3"/>
        <v>0</v>
      </c>
      <c r="I158" s="752"/>
      <c r="M158" s="195"/>
      <c r="N158" s="195"/>
      <c r="O158" s="195"/>
    </row>
    <row r="159" spans="1:15" x14ac:dyDescent="0.25">
      <c r="A159" s="291"/>
      <c r="B159" s="690"/>
      <c r="C159" s="271"/>
      <c r="D159" s="270"/>
      <c r="G159" s="39">
        <f t="shared" si="3"/>
        <v>0</v>
      </c>
      <c r="I159" s="752"/>
      <c r="M159" s="195"/>
      <c r="N159" s="195"/>
      <c r="O159" s="195"/>
    </row>
    <row r="160" spans="1:15" x14ac:dyDescent="0.25">
      <c r="A160" s="291"/>
      <c r="B160" s="690"/>
      <c r="C160" s="271"/>
      <c r="D160" s="270"/>
      <c r="G160" s="39">
        <f t="shared" si="3"/>
        <v>0</v>
      </c>
      <c r="I160" s="752"/>
      <c r="M160" s="195"/>
      <c r="N160" s="195"/>
      <c r="O160" s="195"/>
    </row>
    <row r="161" spans="1:15" x14ac:dyDescent="0.25">
      <c r="A161" s="290"/>
      <c r="B161" s="689"/>
      <c r="D161" s="270"/>
      <c r="G161" s="39">
        <f t="shared" si="3"/>
        <v>0</v>
      </c>
      <c r="I161" s="752"/>
      <c r="M161" s="195"/>
      <c r="N161" s="195"/>
      <c r="O161" s="195"/>
    </row>
    <row r="162" spans="1:15" x14ac:dyDescent="0.25">
      <c r="A162" s="290"/>
      <c r="B162" s="689"/>
      <c r="D162" s="270"/>
      <c r="G162" s="39">
        <f t="shared" si="3"/>
        <v>0</v>
      </c>
      <c r="I162" s="752"/>
      <c r="M162" s="195"/>
      <c r="N162" s="195"/>
      <c r="O162" s="195"/>
    </row>
    <row r="163" spans="1:15" x14ac:dyDescent="0.25">
      <c r="A163" s="290"/>
      <c r="B163" s="689"/>
      <c r="D163" s="270"/>
      <c r="G163" s="39">
        <f t="shared" si="3"/>
        <v>0</v>
      </c>
      <c r="I163" s="752"/>
      <c r="M163" s="195"/>
      <c r="N163" s="195"/>
      <c r="O163" s="195"/>
    </row>
    <row r="164" spans="1:15" x14ac:dyDescent="0.25">
      <c r="A164" s="290"/>
      <c r="B164" s="689"/>
      <c r="D164" s="270"/>
      <c r="G164" s="39">
        <f t="shared" si="3"/>
        <v>0</v>
      </c>
      <c r="I164" s="752"/>
      <c r="M164" s="195"/>
      <c r="N164" s="195"/>
      <c r="O164" s="195"/>
    </row>
    <row r="165" spans="1:15" x14ac:dyDescent="0.25">
      <c r="A165" s="290"/>
      <c r="B165" s="689"/>
      <c r="D165" s="270"/>
      <c r="G165" s="39">
        <f t="shared" si="3"/>
        <v>0</v>
      </c>
      <c r="I165" s="752"/>
      <c r="M165" s="195"/>
      <c r="N165" s="195"/>
      <c r="O165" s="195"/>
    </row>
    <row r="166" spans="1:15" x14ac:dyDescent="0.25">
      <c r="A166" s="290"/>
      <c r="B166" s="689"/>
      <c r="D166" s="270"/>
      <c r="G166" s="39">
        <f t="shared" si="3"/>
        <v>0</v>
      </c>
      <c r="I166" s="752"/>
      <c r="M166" s="195"/>
      <c r="N166" s="195"/>
      <c r="O166" s="195"/>
    </row>
    <row r="167" spans="1:15" x14ac:dyDescent="0.25">
      <c r="A167" s="288"/>
      <c r="B167" s="689"/>
      <c r="C167" s="309"/>
      <c r="D167" s="270"/>
      <c r="G167" s="39">
        <f t="shared" si="3"/>
        <v>0</v>
      </c>
      <c r="I167" s="752"/>
      <c r="M167" s="195"/>
      <c r="N167" s="195"/>
      <c r="O167" s="195"/>
    </row>
    <row r="168" spans="1:15" x14ac:dyDescent="0.25">
      <c r="A168" s="290"/>
      <c r="B168" s="689"/>
      <c r="D168" s="270"/>
      <c r="G168" s="39">
        <f t="shared" si="3"/>
        <v>0</v>
      </c>
      <c r="I168" s="752"/>
      <c r="M168" s="195"/>
      <c r="N168" s="195"/>
      <c r="O168" s="195"/>
    </row>
    <row r="169" spans="1:15" x14ac:dyDescent="0.25">
      <c r="A169" s="290"/>
      <c r="B169" s="689"/>
      <c r="D169" s="270"/>
      <c r="G169" s="39">
        <f t="shared" si="3"/>
        <v>0</v>
      </c>
      <c r="I169" s="752"/>
      <c r="M169" s="195"/>
      <c r="N169" s="195"/>
      <c r="O169" s="195"/>
    </row>
    <row r="170" spans="1:15" x14ac:dyDescent="0.25">
      <c r="A170" s="290"/>
      <c r="B170" s="689"/>
      <c r="D170" s="270"/>
      <c r="G170" s="39">
        <f t="shared" si="3"/>
        <v>0</v>
      </c>
      <c r="I170" s="752"/>
      <c r="M170" s="195"/>
      <c r="N170" s="195"/>
      <c r="O170" s="195"/>
    </row>
    <row r="171" spans="1:15" x14ac:dyDescent="0.25">
      <c r="A171" s="290"/>
      <c r="B171" s="689"/>
      <c r="D171" s="270"/>
      <c r="G171" s="39">
        <f t="shared" si="3"/>
        <v>0</v>
      </c>
      <c r="I171" s="752"/>
      <c r="M171" s="195"/>
      <c r="N171" s="195"/>
      <c r="O171" s="195"/>
    </row>
    <row r="172" spans="1:15" x14ac:dyDescent="0.25">
      <c r="A172" s="288"/>
      <c r="B172" s="689"/>
      <c r="C172" s="309"/>
      <c r="D172" s="270"/>
      <c r="G172" s="39">
        <f t="shared" si="3"/>
        <v>0</v>
      </c>
      <c r="I172" s="752"/>
      <c r="M172" s="195"/>
      <c r="N172" s="195"/>
      <c r="O172" s="195"/>
    </row>
    <row r="173" spans="1:15" x14ac:dyDescent="0.25">
      <c r="A173" s="290"/>
      <c r="B173" s="689"/>
      <c r="D173" s="270"/>
      <c r="G173" s="39">
        <f t="shared" si="3"/>
        <v>0</v>
      </c>
      <c r="I173" s="752"/>
      <c r="M173" s="195"/>
      <c r="N173" s="195"/>
      <c r="O173" s="195"/>
    </row>
    <row r="174" spans="1:15" x14ac:dyDescent="0.25">
      <c r="A174" s="288"/>
      <c r="B174" s="689"/>
      <c r="C174" s="309"/>
      <c r="D174" s="270"/>
      <c r="G174" s="39">
        <f t="shared" si="3"/>
        <v>0</v>
      </c>
      <c r="I174" s="752"/>
      <c r="M174" s="195"/>
      <c r="N174" s="195"/>
      <c r="O174" s="195"/>
    </row>
    <row r="175" spans="1:15" x14ac:dyDescent="0.25">
      <c r="A175" s="290"/>
      <c r="B175" s="689"/>
      <c r="D175" s="270"/>
      <c r="G175" s="39">
        <f t="shared" si="3"/>
        <v>0</v>
      </c>
      <c r="I175" s="752"/>
      <c r="M175" s="195"/>
      <c r="N175" s="195"/>
      <c r="O175" s="195"/>
    </row>
    <row r="176" spans="1:15" x14ac:dyDescent="0.25">
      <c r="A176" s="290"/>
      <c r="B176" s="689"/>
      <c r="D176" s="270"/>
      <c r="G176" s="39">
        <f t="shared" si="3"/>
        <v>0</v>
      </c>
      <c r="I176" s="752"/>
      <c r="M176" s="195"/>
      <c r="N176" s="195"/>
      <c r="O176" s="195"/>
    </row>
    <row r="177" spans="1:15" x14ac:dyDescent="0.25">
      <c r="A177" s="290"/>
      <c r="B177" s="689"/>
      <c r="D177" s="270"/>
      <c r="G177" s="39">
        <f t="shared" si="3"/>
        <v>0</v>
      </c>
      <c r="I177" s="752"/>
      <c r="M177" s="195"/>
      <c r="N177" s="195"/>
      <c r="O177" s="195"/>
    </row>
    <row r="178" spans="1:15" x14ac:dyDescent="0.25">
      <c r="A178" s="288"/>
      <c r="B178" s="689"/>
      <c r="C178" s="309"/>
      <c r="D178" s="270"/>
      <c r="G178" s="39">
        <f t="shared" si="3"/>
        <v>0</v>
      </c>
      <c r="I178" s="752"/>
      <c r="M178" s="195"/>
      <c r="N178" s="195"/>
      <c r="O178" s="195"/>
    </row>
    <row r="179" spans="1:15" x14ac:dyDescent="0.25">
      <c r="A179" s="290"/>
      <c r="B179" s="689"/>
      <c r="D179" s="270"/>
      <c r="G179" s="39">
        <f t="shared" si="3"/>
        <v>0</v>
      </c>
      <c r="I179" s="752"/>
      <c r="M179" s="195"/>
      <c r="N179" s="195"/>
      <c r="O179" s="195"/>
    </row>
    <row r="180" spans="1:15" x14ac:dyDescent="0.25">
      <c r="A180" s="290"/>
      <c r="B180" s="689"/>
      <c r="D180" s="270"/>
      <c r="G180" s="39">
        <f t="shared" si="3"/>
        <v>0</v>
      </c>
      <c r="I180" s="752"/>
      <c r="M180" s="195"/>
      <c r="N180" s="195"/>
      <c r="O180" s="195"/>
    </row>
    <row r="181" spans="1:15" x14ac:dyDescent="0.25">
      <c r="A181" s="290"/>
      <c r="B181" s="689"/>
      <c r="D181" s="270"/>
      <c r="G181" s="39">
        <f t="shared" si="3"/>
        <v>0</v>
      </c>
      <c r="I181" s="752"/>
      <c r="M181" s="195"/>
      <c r="N181" s="195"/>
      <c r="O181" s="195"/>
    </row>
    <row r="182" spans="1:15" x14ac:dyDescent="0.25">
      <c r="A182" s="288"/>
      <c r="B182" s="689"/>
      <c r="C182" s="309"/>
      <c r="D182" s="270"/>
      <c r="G182" s="39">
        <f t="shared" si="3"/>
        <v>0</v>
      </c>
      <c r="I182" s="752"/>
      <c r="M182" s="195"/>
      <c r="N182" s="195"/>
      <c r="O182" s="195"/>
    </row>
    <row r="183" spans="1:15" x14ac:dyDescent="0.25">
      <c r="A183" s="290"/>
      <c r="B183" s="689"/>
      <c r="D183" s="270"/>
      <c r="G183" s="39">
        <f t="shared" si="3"/>
        <v>0</v>
      </c>
      <c r="I183" s="752"/>
      <c r="M183" s="195"/>
      <c r="N183" s="195"/>
      <c r="O183" s="195"/>
    </row>
    <row r="184" spans="1:15" x14ac:dyDescent="0.25">
      <c r="A184" s="290"/>
      <c r="B184" s="689"/>
      <c r="D184" s="270"/>
      <c r="G184" s="39">
        <f t="shared" si="3"/>
        <v>0</v>
      </c>
      <c r="I184" s="752"/>
      <c r="M184" s="195"/>
      <c r="N184" s="195"/>
      <c r="O184" s="195"/>
    </row>
    <row r="185" spans="1:15" x14ac:dyDescent="0.25">
      <c r="A185" s="290"/>
      <c r="B185" s="689"/>
      <c r="D185" s="270"/>
      <c r="G185" s="39">
        <f t="shared" si="3"/>
        <v>0</v>
      </c>
      <c r="I185" s="752"/>
      <c r="M185" s="195"/>
      <c r="N185" s="195"/>
      <c r="O185" s="195"/>
    </row>
    <row r="186" spans="1:15" x14ac:dyDescent="0.25">
      <c r="A186" s="290"/>
      <c r="B186" s="689"/>
      <c r="D186" s="270"/>
      <c r="G186" s="39">
        <f t="shared" si="3"/>
        <v>0</v>
      </c>
      <c r="I186" s="752"/>
      <c r="M186" s="195"/>
      <c r="N186" s="195"/>
      <c r="O186" s="195"/>
    </row>
    <row r="187" spans="1:15" x14ac:dyDescent="0.25">
      <c r="A187" s="290"/>
      <c r="B187" s="689"/>
      <c r="D187" s="270"/>
      <c r="G187" s="39">
        <f t="shared" si="3"/>
        <v>0</v>
      </c>
      <c r="I187" s="752"/>
      <c r="M187" s="195"/>
      <c r="N187" s="195"/>
      <c r="O187" s="195"/>
    </row>
    <row r="188" spans="1:15" x14ac:dyDescent="0.25">
      <c r="A188" s="290"/>
      <c r="B188" s="689"/>
      <c r="D188" s="270"/>
      <c r="G188" s="39">
        <f t="shared" si="3"/>
        <v>0</v>
      </c>
      <c r="I188" s="752"/>
      <c r="M188" s="195"/>
      <c r="N188" s="195"/>
      <c r="O188" s="195"/>
    </row>
    <row r="189" spans="1:15" x14ac:dyDescent="0.25">
      <c r="A189" s="290"/>
      <c r="B189" s="689"/>
      <c r="D189" s="270"/>
      <c r="G189" s="39">
        <f t="shared" si="3"/>
        <v>0</v>
      </c>
      <c r="I189" s="752"/>
      <c r="M189" s="195"/>
      <c r="N189" s="195"/>
      <c r="O189" s="195"/>
    </row>
    <row r="190" spans="1:15" x14ac:dyDescent="0.25">
      <c r="A190" s="290"/>
      <c r="B190" s="689"/>
      <c r="D190" s="270"/>
      <c r="G190" s="39">
        <f t="shared" si="3"/>
        <v>0</v>
      </c>
      <c r="I190" s="752"/>
      <c r="K190" s="8"/>
      <c r="M190" s="195"/>
      <c r="N190" s="195"/>
      <c r="O190" s="195"/>
    </row>
    <row r="191" spans="1:15" x14ac:dyDescent="0.25">
      <c r="A191" s="288"/>
      <c r="B191" s="689"/>
      <c r="C191" s="309"/>
      <c r="D191" s="270"/>
      <c r="G191" s="39">
        <f t="shared" si="3"/>
        <v>0</v>
      </c>
      <c r="I191" s="752"/>
      <c r="M191" s="195"/>
      <c r="N191" s="195"/>
      <c r="O191" s="195"/>
    </row>
    <row r="192" spans="1:15" x14ac:dyDescent="0.25">
      <c r="A192" s="290"/>
      <c r="B192" s="689"/>
      <c r="D192" s="270"/>
      <c r="G192" s="39">
        <f t="shared" si="3"/>
        <v>0</v>
      </c>
      <c r="I192" s="752"/>
      <c r="M192" s="195"/>
      <c r="N192" s="195"/>
      <c r="O192" s="195"/>
    </row>
    <row r="193" spans="1:15" x14ac:dyDescent="0.25">
      <c r="A193" s="290"/>
      <c r="B193" s="689"/>
      <c r="D193" s="270"/>
      <c r="G193" s="39">
        <f t="shared" si="3"/>
        <v>0</v>
      </c>
      <c r="I193" s="752"/>
      <c r="M193" s="195"/>
      <c r="N193" s="195"/>
      <c r="O193" s="195"/>
    </row>
    <row r="194" spans="1:15" x14ac:dyDescent="0.25">
      <c r="A194" s="290"/>
      <c r="B194" s="689"/>
      <c r="D194" s="270"/>
      <c r="G194" s="39">
        <f t="shared" si="3"/>
        <v>0</v>
      </c>
      <c r="I194" s="752"/>
      <c r="M194" s="195"/>
      <c r="N194" s="195"/>
      <c r="O194" s="195"/>
    </row>
    <row r="195" spans="1:15" x14ac:dyDescent="0.25">
      <c r="A195" s="288"/>
      <c r="B195" s="690"/>
      <c r="C195" s="309"/>
      <c r="D195" s="270"/>
      <c r="G195" s="39">
        <f t="shared" si="3"/>
        <v>0</v>
      </c>
      <c r="I195" s="752"/>
      <c r="K195" s="8"/>
      <c r="M195" s="195"/>
      <c r="N195" s="195"/>
      <c r="O195" s="195"/>
    </row>
    <row r="196" spans="1:15" x14ac:dyDescent="0.25">
      <c r="A196" s="291"/>
      <c r="B196" s="689"/>
      <c r="C196" s="271"/>
      <c r="D196" s="270"/>
      <c r="G196" s="39">
        <f t="shared" si="3"/>
        <v>0</v>
      </c>
      <c r="I196" s="752"/>
      <c r="M196" s="195"/>
      <c r="N196" s="195"/>
      <c r="O196" s="195"/>
    </row>
    <row r="197" spans="1:15" x14ac:dyDescent="0.25">
      <c r="A197" s="288"/>
      <c r="B197" s="689"/>
      <c r="C197" s="309"/>
      <c r="D197" s="270"/>
      <c r="G197" s="39">
        <f t="shared" si="3"/>
        <v>0</v>
      </c>
      <c r="I197" s="752"/>
      <c r="M197" s="195"/>
      <c r="N197" s="195"/>
      <c r="O197" s="195"/>
    </row>
    <row r="198" spans="1:15" x14ac:dyDescent="0.25">
      <c r="A198" s="288"/>
      <c r="B198" s="689"/>
      <c r="C198" s="309"/>
      <c r="D198" s="270"/>
      <c r="G198" s="39">
        <f t="shared" si="3"/>
        <v>0</v>
      </c>
      <c r="I198" s="752"/>
      <c r="K198" s="8"/>
      <c r="M198" s="195"/>
      <c r="N198" s="195"/>
      <c r="O198" s="195"/>
    </row>
    <row r="199" spans="1:15" x14ac:dyDescent="0.25">
      <c r="A199" s="288"/>
      <c r="B199" s="689"/>
      <c r="C199" s="309"/>
      <c r="D199" s="270"/>
      <c r="G199" s="39">
        <f t="shared" si="3"/>
        <v>0</v>
      </c>
      <c r="I199" s="752"/>
      <c r="K199" s="8"/>
      <c r="M199" s="195"/>
      <c r="N199" s="195"/>
      <c r="O199" s="195"/>
    </row>
    <row r="200" spans="1:15" x14ac:dyDescent="0.25">
      <c r="A200" s="290"/>
      <c r="B200" s="689"/>
      <c r="D200" s="270"/>
      <c r="G200" s="39">
        <f t="shared" si="3"/>
        <v>0</v>
      </c>
      <c r="I200" s="752"/>
      <c r="K200" s="8"/>
      <c r="M200" s="195"/>
      <c r="N200" s="195"/>
      <c r="O200" s="195"/>
    </row>
    <row r="201" spans="1:15" x14ac:dyDescent="0.25">
      <c r="A201" s="288"/>
      <c r="B201" s="689"/>
      <c r="C201" s="309"/>
      <c r="D201" s="270"/>
      <c r="G201" s="39">
        <f t="shared" si="3"/>
        <v>0</v>
      </c>
      <c r="I201" s="752"/>
      <c r="M201" s="195"/>
      <c r="N201" s="195"/>
      <c r="O201" s="195"/>
    </row>
    <row r="202" spans="1:15" x14ac:dyDescent="0.25">
      <c r="A202" s="290"/>
      <c r="B202" s="689"/>
      <c r="D202" s="270"/>
      <c r="G202" s="39">
        <f t="shared" si="3"/>
        <v>0</v>
      </c>
      <c r="I202" s="752"/>
      <c r="M202" s="195"/>
      <c r="N202" s="195"/>
      <c r="O202" s="195"/>
    </row>
    <row r="203" spans="1:15" x14ac:dyDescent="0.25">
      <c r="A203" s="288"/>
      <c r="B203" s="689"/>
      <c r="C203" s="309"/>
      <c r="D203" s="270"/>
      <c r="G203" s="39">
        <f t="shared" si="3"/>
        <v>0</v>
      </c>
      <c r="I203" s="752"/>
      <c r="M203" s="195"/>
      <c r="N203" s="195"/>
      <c r="O203" s="195"/>
    </row>
    <row r="204" spans="1:15" x14ac:dyDescent="0.25">
      <c r="A204" s="288"/>
      <c r="B204" s="689"/>
      <c r="C204" s="309"/>
      <c r="D204" s="270"/>
      <c r="G204" s="39">
        <f t="shared" si="3"/>
        <v>0</v>
      </c>
      <c r="I204" s="752"/>
      <c r="M204" s="195"/>
      <c r="N204" s="195"/>
      <c r="O204" s="195"/>
    </row>
    <row r="205" spans="1:15" x14ac:dyDescent="0.25">
      <c r="A205" s="290"/>
      <c r="B205" s="689"/>
      <c r="D205" s="270"/>
      <c r="G205" s="39">
        <f t="shared" si="3"/>
        <v>0</v>
      </c>
      <c r="I205" s="752"/>
      <c r="M205" s="195"/>
      <c r="N205" s="195"/>
      <c r="O205" s="195"/>
    </row>
    <row r="206" spans="1:15" x14ac:dyDescent="0.25">
      <c r="A206" s="306"/>
      <c r="B206" s="689"/>
      <c r="C206" s="796"/>
      <c r="D206" s="270"/>
      <c r="G206" s="39">
        <f t="shared" si="3"/>
        <v>0</v>
      </c>
      <c r="I206" s="752"/>
      <c r="M206" s="195"/>
      <c r="N206" s="195"/>
      <c r="O206" s="195"/>
    </row>
    <row r="207" spans="1:15" x14ac:dyDescent="0.25">
      <c r="A207" s="306"/>
      <c r="B207" s="689"/>
      <c r="C207" s="796"/>
      <c r="D207" s="270"/>
      <c r="G207" s="39">
        <f t="shared" si="3"/>
        <v>0</v>
      </c>
      <c r="I207" s="752"/>
      <c r="M207" s="195"/>
      <c r="N207" s="195"/>
      <c r="O207" s="195"/>
    </row>
    <row r="208" spans="1:15" x14ac:dyDescent="0.25">
      <c r="A208" s="290"/>
      <c r="B208" s="689"/>
      <c r="D208" s="270"/>
      <c r="G208" s="39">
        <f t="shared" si="3"/>
        <v>0</v>
      </c>
      <c r="I208" s="752"/>
      <c r="M208" s="195"/>
      <c r="N208" s="195"/>
      <c r="O208" s="195"/>
    </row>
    <row r="209" spans="1:15" x14ac:dyDescent="0.25">
      <c r="A209" s="290"/>
      <c r="B209" s="689"/>
      <c r="D209" s="270"/>
      <c r="G209" s="39">
        <f t="shared" si="3"/>
        <v>0</v>
      </c>
      <c r="I209" s="752"/>
      <c r="M209" s="195"/>
      <c r="N209" s="195"/>
      <c r="O209" s="195"/>
    </row>
    <row r="210" spans="1:15" x14ac:dyDescent="0.25">
      <c r="A210" s="290"/>
      <c r="B210" s="689"/>
      <c r="D210" s="270"/>
      <c r="G210" s="39">
        <f t="shared" si="3"/>
        <v>0</v>
      </c>
      <c r="I210" s="752"/>
      <c r="M210" s="195"/>
      <c r="N210" s="195"/>
      <c r="O210" s="195"/>
    </row>
    <row r="211" spans="1:15" x14ac:dyDescent="0.25">
      <c r="A211" s="290"/>
      <c r="B211" s="689"/>
      <c r="D211" s="270"/>
      <c r="G211" s="39">
        <f t="shared" si="3"/>
        <v>0</v>
      </c>
      <c r="I211" s="752"/>
      <c r="M211" s="195"/>
      <c r="N211" s="195"/>
      <c r="O211" s="195"/>
    </row>
    <row r="212" spans="1:15" x14ac:dyDescent="0.25">
      <c r="A212" s="290"/>
      <c r="B212" s="689"/>
      <c r="D212" s="270"/>
      <c r="G212" s="39">
        <f t="shared" si="3"/>
        <v>0</v>
      </c>
      <c r="I212" s="752"/>
      <c r="M212" s="195"/>
      <c r="N212" s="195"/>
      <c r="O212" s="195"/>
    </row>
    <row r="213" spans="1:15" x14ac:dyDescent="0.25">
      <c r="A213" s="290"/>
      <c r="B213" s="689"/>
      <c r="D213" s="270"/>
      <c r="G213" s="39">
        <f t="shared" si="3"/>
        <v>0</v>
      </c>
      <c r="I213" s="752"/>
      <c r="M213" s="195"/>
      <c r="N213" s="195"/>
      <c r="O213" s="195"/>
    </row>
    <row r="214" spans="1:15" x14ac:dyDescent="0.25">
      <c r="A214" s="290"/>
      <c r="B214" s="689"/>
      <c r="D214" s="270"/>
      <c r="G214" s="39">
        <f t="shared" si="3"/>
        <v>0</v>
      </c>
      <c r="I214" s="752"/>
      <c r="M214" s="195"/>
      <c r="N214" s="195"/>
      <c r="O214" s="195"/>
    </row>
    <row r="215" spans="1:15" x14ac:dyDescent="0.25">
      <c r="A215" s="290"/>
      <c r="B215" s="689"/>
      <c r="D215" s="270"/>
      <c r="G215" s="39">
        <f t="shared" si="3"/>
        <v>0</v>
      </c>
      <c r="I215" s="752"/>
      <c r="M215" s="195"/>
      <c r="N215" s="195"/>
      <c r="O215" s="195"/>
    </row>
    <row r="216" spans="1:15" x14ac:dyDescent="0.25">
      <c r="A216" s="290"/>
      <c r="B216" s="689"/>
      <c r="D216" s="270"/>
      <c r="G216" s="39">
        <f t="shared" si="3"/>
        <v>0</v>
      </c>
      <c r="I216" s="752"/>
      <c r="M216" s="195"/>
      <c r="N216" s="195"/>
      <c r="O216" s="195"/>
    </row>
    <row r="217" spans="1:15" x14ac:dyDescent="0.25">
      <c r="A217" s="290"/>
      <c r="B217" s="689"/>
      <c r="D217" s="270"/>
      <c r="G217" s="39">
        <f t="shared" si="3"/>
        <v>0</v>
      </c>
      <c r="I217" s="752"/>
      <c r="M217" s="195"/>
      <c r="N217" s="195"/>
      <c r="O217" s="195"/>
    </row>
    <row r="218" spans="1:15" x14ac:dyDescent="0.25">
      <c r="A218" s="290"/>
      <c r="B218" s="689"/>
      <c r="D218" s="270"/>
      <c r="G218" s="39">
        <f t="shared" si="3"/>
        <v>0</v>
      </c>
      <c r="I218" s="752"/>
      <c r="M218" s="195"/>
      <c r="N218" s="195"/>
      <c r="O218" s="195"/>
    </row>
    <row r="219" spans="1:15" x14ac:dyDescent="0.25">
      <c r="A219" s="290"/>
      <c r="B219" s="689"/>
      <c r="D219" s="270"/>
      <c r="G219" s="39">
        <f t="shared" si="3"/>
        <v>0</v>
      </c>
      <c r="I219" s="752"/>
      <c r="M219" s="195"/>
      <c r="N219" s="195"/>
      <c r="O219" s="195"/>
    </row>
    <row r="220" spans="1:15" x14ac:dyDescent="0.25">
      <c r="A220" s="290"/>
      <c r="B220" s="689"/>
      <c r="D220" s="270"/>
      <c r="G220" s="39">
        <f t="shared" si="3"/>
        <v>0</v>
      </c>
      <c r="I220" s="752"/>
      <c r="M220" s="195"/>
      <c r="N220" s="195"/>
      <c r="O220" s="195"/>
    </row>
    <row r="221" spans="1:15" x14ac:dyDescent="0.25">
      <c r="A221" s="290"/>
      <c r="B221" s="689"/>
      <c r="D221" s="270"/>
      <c r="G221" s="39">
        <f t="shared" si="3"/>
        <v>0</v>
      </c>
      <c r="I221" s="752"/>
      <c r="M221" s="195"/>
      <c r="N221" s="195"/>
      <c r="O221" s="195"/>
    </row>
    <row r="222" spans="1:15" x14ac:dyDescent="0.25">
      <c r="A222" s="290"/>
      <c r="B222" s="689"/>
      <c r="D222" s="270"/>
      <c r="G222" s="39">
        <f t="shared" si="3"/>
        <v>0</v>
      </c>
      <c r="I222" s="752"/>
      <c r="M222" s="195"/>
      <c r="N222" s="195"/>
      <c r="O222" s="195"/>
    </row>
    <row r="223" spans="1:15" x14ac:dyDescent="0.25">
      <c r="A223" s="290"/>
      <c r="B223" s="689"/>
      <c r="D223" s="270"/>
      <c r="G223" s="39">
        <f t="shared" si="3"/>
        <v>0</v>
      </c>
      <c r="I223" s="752"/>
      <c r="K223" s="8"/>
      <c r="M223" s="195"/>
      <c r="N223" s="195"/>
      <c r="O223" s="195"/>
    </row>
    <row r="224" spans="1:15" x14ac:dyDescent="0.25">
      <c r="A224" s="290"/>
      <c r="B224" s="689"/>
      <c r="D224" s="270"/>
      <c r="G224" s="39">
        <f t="shared" si="3"/>
        <v>0</v>
      </c>
      <c r="I224" s="752"/>
      <c r="K224" s="8"/>
      <c r="M224" s="195"/>
      <c r="N224" s="195"/>
      <c r="O224" s="195"/>
    </row>
    <row r="225" spans="1:15" x14ac:dyDescent="0.25">
      <c r="A225" s="290"/>
      <c r="B225" s="689"/>
      <c r="D225" s="270"/>
      <c r="G225" s="39">
        <f t="shared" si="3"/>
        <v>0</v>
      </c>
      <c r="I225" s="752"/>
      <c r="K225" s="8"/>
      <c r="M225" s="195"/>
      <c r="N225" s="195"/>
      <c r="O225" s="195"/>
    </row>
    <row r="226" spans="1:15" x14ac:dyDescent="0.25">
      <c r="A226" s="290"/>
      <c r="B226" s="689"/>
      <c r="D226" s="270"/>
      <c r="G226" s="39">
        <f t="shared" si="3"/>
        <v>0</v>
      </c>
      <c r="I226" s="752"/>
      <c r="K226" s="8"/>
      <c r="M226" s="195"/>
      <c r="N226" s="195"/>
      <c r="O226" s="195"/>
    </row>
    <row r="227" spans="1:15" x14ac:dyDescent="0.25">
      <c r="A227" s="290"/>
      <c r="B227" s="689"/>
      <c r="D227" s="270"/>
      <c r="G227" s="39">
        <f t="shared" si="3"/>
        <v>0</v>
      </c>
      <c r="I227" s="752"/>
      <c r="M227" s="195"/>
      <c r="N227" s="195"/>
      <c r="O227" s="195"/>
    </row>
    <row r="228" spans="1:15" x14ac:dyDescent="0.25">
      <c r="A228" s="290"/>
      <c r="B228" s="689"/>
      <c r="D228" s="270"/>
      <c r="G228" s="39">
        <f t="shared" si="3"/>
        <v>0</v>
      </c>
      <c r="I228" s="752"/>
      <c r="M228" s="195"/>
      <c r="N228" s="195"/>
      <c r="O228" s="195"/>
    </row>
    <row r="229" spans="1:15" x14ac:dyDescent="0.25">
      <c r="A229" s="290"/>
      <c r="B229" s="689"/>
      <c r="D229" s="270"/>
      <c r="G229" s="39">
        <f t="shared" si="3"/>
        <v>0</v>
      </c>
      <c r="I229" s="752"/>
      <c r="M229" s="195"/>
      <c r="N229" s="195"/>
      <c r="O229" s="195"/>
    </row>
    <row r="230" spans="1:15" x14ac:dyDescent="0.25">
      <c r="A230" s="290"/>
      <c r="B230" s="689"/>
      <c r="D230" s="270"/>
      <c r="G230" s="39">
        <f t="shared" si="3"/>
        <v>0</v>
      </c>
      <c r="I230" s="752"/>
      <c r="M230" s="195"/>
      <c r="N230" s="195"/>
      <c r="O230" s="195"/>
    </row>
    <row r="231" spans="1:15" x14ac:dyDescent="0.25">
      <c r="A231" s="290"/>
      <c r="B231" s="689"/>
      <c r="D231" s="270"/>
      <c r="G231" s="39">
        <f t="shared" si="3"/>
        <v>0</v>
      </c>
      <c r="I231" s="752"/>
      <c r="M231" s="195"/>
      <c r="N231" s="195"/>
      <c r="O231" s="195"/>
    </row>
    <row r="232" spans="1:15" x14ac:dyDescent="0.25">
      <c r="A232" s="290"/>
      <c r="B232" s="689"/>
      <c r="D232" s="270"/>
      <c r="G232" s="39">
        <f t="shared" si="3"/>
        <v>0</v>
      </c>
      <c r="I232" s="752"/>
      <c r="M232" s="195"/>
      <c r="N232" s="195"/>
      <c r="O232" s="195"/>
    </row>
    <row r="233" spans="1:15" x14ac:dyDescent="0.25">
      <c r="A233" s="288"/>
      <c r="B233" s="689"/>
      <c r="D233" s="270"/>
      <c r="G233" s="39">
        <f t="shared" si="3"/>
        <v>0</v>
      </c>
      <c r="I233" s="752"/>
      <c r="M233" s="195"/>
      <c r="N233" s="195"/>
      <c r="O233" s="195"/>
    </row>
    <row r="234" spans="1:15" x14ac:dyDescent="0.25">
      <c r="A234" s="290"/>
      <c r="B234" s="689"/>
      <c r="D234" s="270"/>
      <c r="G234" s="39">
        <f t="shared" si="3"/>
        <v>0</v>
      </c>
      <c r="I234" s="752"/>
      <c r="M234" s="195"/>
      <c r="N234" s="195"/>
      <c r="O234" s="195"/>
    </row>
    <row r="235" spans="1:15" x14ac:dyDescent="0.25">
      <c r="A235" s="290"/>
      <c r="B235" s="689"/>
      <c r="D235" s="270"/>
      <c r="G235" s="39">
        <f t="shared" si="3"/>
        <v>0</v>
      </c>
      <c r="I235" s="752"/>
      <c r="M235" s="195"/>
      <c r="N235" s="195"/>
      <c r="O235" s="195"/>
    </row>
    <row r="236" spans="1:15" x14ac:dyDescent="0.25">
      <c r="A236" s="290"/>
      <c r="B236" s="689"/>
      <c r="D236" s="270"/>
      <c r="G236" s="39">
        <f t="shared" si="3"/>
        <v>0</v>
      </c>
      <c r="I236" s="752"/>
      <c r="M236" s="195"/>
      <c r="N236" s="195"/>
      <c r="O236" s="195"/>
    </row>
    <row r="237" spans="1:15" x14ac:dyDescent="0.25">
      <c r="A237" s="290"/>
      <c r="B237" s="689"/>
      <c r="D237" s="270"/>
      <c r="G237" s="39">
        <f t="shared" si="3"/>
        <v>0</v>
      </c>
      <c r="I237" s="752"/>
      <c r="M237" s="195"/>
      <c r="N237" s="195"/>
      <c r="O237" s="195"/>
    </row>
    <row r="238" spans="1:15" x14ac:dyDescent="0.25">
      <c r="A238" s="290"/>
      <c r="B238" s="689"/>
      <c r="D238" s="270"/>
      <c r="G238" s="39">
        <f t="shared" si="3"/>
        <v>0</v>
      </c>
      <c r="I238" s="752"/>
      <c r="M238" s="195"/>
      <c r="N238" s="195"/>
      <c r="O238" s="195"/>
    </row>
    <row r="239" spans="1:15" x14ac:dyDescent="0.25">
      <c r="A239" s="290"/>
      <c r="B239" s="689"/>
      <c r="D239" s="270"/>
      <c r="G239" s="39">
        <f t="shared" si="3"/>
        <v>0</v>
      </c>
      <c r="I239" s="752"/>
      <c r="M239" s="195"/>
      <c r="N239" s="195"/>
      <c r="O239" s="195"/>
    </row>
    <row r="240" spans="1:15" x14ac:dyDescent="0.25">
      <c r="A240" s="290"/>
      <c r="B240" s="689"/>
      <c r="D240" s="270"/>
      <c r="G240" s="39">
        <f t="shared" si="3"/>
        <v>0</v>
      </c>
      <c r="I240" s="752"/>
      <c r="M240" s="195"/>
      <c r="N240" s="195"/>
      <c r="O240" s="195"/>
    </row>
    <row r="241" spans="1:15" x14ac:dyDescent="0.25">
      <c r="A241" s="290"/>
      <c r="B241" s="689"/>
      <c r="D241" s="270"/>
      <c r="G241" s="39">
        <f t="shared" si="3"/>
        <v>0</v>
      </c>
      <c r="I241" s="752"/>
      <c r="M241" s="195"/>
      <c r="N241" s="195"/>
      <c r="O241" s="195"/>
    </row>
    <row r="242" spans="1:15" x14ac:dyDescent="0.25">
      <c r="A242" s="290"/>
      <c r="B242" s="689"/>
      <c r="D242" s="270"/>
      <c r="G242" s="39">
        <f t="shared" si="3"/>
        <v>0</v>
      </c>
      <c r="I242" s="752"/>
      <c r="M242" s="195"/>
      <c r="N242" s="195"/>
      <c r="O242" s="195"/>
    </row>
    <row r="243" spans="1:15" x14ac:dyDescent="0.25">
      <c r="A243" s="288"/>
      <c r="B243" s="689"/>
      <c r="D243" s="270"/>
      <c r="G243" s="39">
        <f t="shared" si="3"/>
        <v>0</v>
      </c>
      <c r="I243" s="752"/>
      <c r="M243" s="195"/>
      <c r="N243" s="195"/>
      <c r="O243" s="195"/>
    </row>
    <row r="244" spans="1:15" x14ac:dyDescent="0.25">
      <c r="A244" s="290"/>
      <c r="B244" s="689"/>
      <c r="D244" s="270"/>
      <c r="G244" s="39">
        <f t="shared" ref="G244:G272" si="4">F244*E244</f>
        <v>0</v>
      </c>
      <c r="I244" s="752"/>
      <c r="M244" s="195"/>
      <c r="N244" s="195"/>
      <c r="O244" s="195"/>
    </row>
    <row r="245" spans="1:15" x14ac:dyDescent="0.25">
      <c r="A245" s="290"/>
      <c r="B245" s="689"/>
      <c r="D245" s="270"/>
      <c r="G245" s="39">
        <f t="shared" si="4"/>
        <v>0</v>
      </c>
      <c r="I245" s="752"/>
      <c r="M245" s="195"/>
      <c r="N245" s="195"/>
      <c r="O245" s="195"/>
    </row>
    <row r="246" spans="1:15" x14ac:dyDescent="0.25">
      <c r="A246" s="290"/>
      <c r="B246" s="689"/>
      <c r="D246" s="270"/>
      <c r="G246" s="39">
        <f t="shared" si="4"/>
        <v>0</v>
      </c>
      <c r="I246" s="752"/>
      <c r="M246" s="195"/>
      <c r="N246" s="195"/>
      <c r="O246" s="195"/>
    </row>
    <row r="247" spans="1:15" x14ac:dyDescent="0.25">
      <c r="A247" s="290"/>
      <c r="B247" s="689"/>
      <c r="D247" s="270"/>
      <c r="G247" s="39">
        <f t="shared" si="4"/>
        <v>0</v>
      </c>
      <c r="I247" s="752"/>
      <c r="M247" s="195"/>
      <c r="N247" s="195"/>
      <c r="O247" s="195"/>
    </row>
    <row r="248" spans="1:15" x14ac:dyDescent="0.25">
      <c r="A248" s="288"/>
      <c r="B248" s="689"/>
      <c r="D248" s="270"/>
      <c r="G248" s="39">
        <f t="shared" si="4"/>
        <v>0</v>
      </c>
      <c r="I248" s="752"/>
      <c r="M248" s="195"/>
      <c r="N248" s="195"/>
      <c r="O248" s="195"/>
    </row>
    <row r="249" spans="1:15" x14ac:dyDescent="0.25">
      <c r="A249" s="290"/>
      <c r="B249" s="689"/>
      <c r="D249" s="270"/>
      <c r="G249" s="39">
        <f t="shared" si="4"/>
        <v>0</v>
      </c>
      <c r="I249" s="752"/>
      <c r="M249" s="195"/>
      <c r="N249" s="195"/>
      <c r="O249" s="195"/>
    </row>
    <row r="250" spans="1:15" x14ac:dyDescent="0.25">
      <c r="A250" s="290"/>
      <c r="B250" s="689"/>
      <c r="D250" s="270"/>
      <c r="G250" s="39">
        <f t="shared" si="4"/>
        <v>0</v>
      </c>
      <c r="I250" s="752"/>
      <c r="M250" s="195"/>
      <c r="N250" s="195"/>
      <c r="O250" s="195"/>
    </row>
    <row r="251" spans="1:15" x14ac:dyDescent="0.25">
      <c r="A251" s="290"/>
      <c r="B251" s="689"/>
      <c r="D251" s="270"/>
      <c r="G251" s="39">
        <f t="shared" si="4"/>
        <v>0</v>
      </c>
      <c r="I251" s="752"/>
      <c r="M251" s="195"/>
      <c r="N251" s="195"/>
      <c r="O251" s="195"/>
    </row>
    <row r="252" spans="1:15" x14ac:dyDescent="0.25">
      <c r="A252" s="290"/>
      <c r="B252" s="689"/>
      <c r="D252" s="270"/>
      <c r="G252" s="39">
        <f t="shared" si="4"/>
        <v>0</v>
      </c>
      <c r="I252" s="752"/>
      <c r="M252" s="195"/>
      <c r="N252" s="195"/>
      <c r="O252" s="195"/>
    </row>
    <row r="253" spans="1:15" x14ac:dyDescent="0.25">
      <c r="A253" s="290"/>
      <c r="B253" s="689"/>
      <c r="D253" s="270"/>
      <c r="G253" s="39">
        <f t="shared" si="4"/>
        <v>0</v>
      </c>
      <c r="I253" s="752"/>
      <c r="M253" s="195"/>
      <c r="N253" s="195"/>
      <c r="O253" s="195"/>
    </row>
    <row r="254" spans="1:15" x14ac:dyDescent="0.25">
      <c r="A254" s="290"/>
      <c r="B254" s="689"/>
      <c r="D254" s="270"/>
      <c r="G254" s="39">
        <f t="shared" si="4"/>
        <v>0</v>
      </c>
      <c r="I254" s="752"/>
      <c r="M254" s="195"/>
      <c r="N254" s="195"/>
      <c r="O254" s="195"/>
    </row>
    <row r="255" spans="1:15" x14ac:dyDescent="0.25">
      <c r="A255" s="290"/>
      <c r="B255" s="689"/>
      <c r="D255" s="270"/>
      <c r="G255" s="39">
        <f t="shared" si="4"/>
        <v>0</v>
      </c>
      <c r="I255" s="752"/>
      <c r="M255" s="195"/>
      <c r="N255" s="195"/>
      <c r="O255" s="195"/>
    </row>
    <row r="256" spans="1:15" x14ac:dyDescent="0.25">
      <c r="A256" s="290"/>
      <c r="B256" s="689"/>
      <c r="D256" s="270"/>
      <c r="G256" s="39">
        <f t="shared" si="4"/>
        <v>0</v>
      </c>
      <c r="I256" s="752"/>
      <c r="M256" s="195"/>
      <c r="N256" s="195"/>
      <c r="O256" s="195"/>
    </row>
    <row r="257" spans="1:15" x14ac:dyDescent="0.25">
      <c r="A257" s="290"/>
      <c r="B257" s="689"/>
      <c r="D257" s="270"/>
      <c r="G257" s="39">
        <f t="shared" si="4"/>
        <v>0</v>
      </c>
      <c r="I257" s="752"/>
      <c r="M257" s="195"/>
      <c r="N257" s="195"/>
      <c r="O257" s="195"/>
    </row>
    <row r="258" spans="1:15" x14ac:dyDescent="0.25">
      <c r="A258" s="290"/>
      <c r="B258" s="689"/>
      <c r="D258" s="270"/>
      <c r="G258" s="39">
        <f t="shared" si="4"/>
        <v>0</v>
      </c>
      <c r="I258" s="752"/>
      <c r="M258" s="195"/>
      <c r="N258" s="195"/>
      <c r="O258" s="195"/>
    </row>
    <row r="259" spans="1:15" x14ac:dyDescent="0.25">
      <c r="A259" s="290"/>
      <c r="B259" s="689"/>
      <c r="D259" s="270"/>
      <c r="G259" s="39">
        <f t="shared" si="4"/>
        <v>0</v>
      </c>
      <c r="I259" s="752"/>
      <c r="M259" s="195"/>
      <c r="N259" s="195"/>
      <c r="O259" s="195"/>
    </row>
    <row r="260" spans="1:15" x14ac:dyDescent="0.25">
      <c r="A260" s="290"/>
      <c r="B260" s="689"/>
      <c r="D260" s="270"/>
      <c r="G260" s="39">
        <f t="shared" si="4"/>
        <v>0</v>
      </c>
      <c r="I260" s="752"/>
      <c r="M260" s="195"/>
      <c r="N260" s="195"/>
      <c r="O260" s="195"/>
    </row>
    <row r="261" spans="1:15" x14ac:dyDescent="0.25">
      <c r="A261" s="290"/>
      <c r="B261" s="689"/>
      <c r="D261" s="270"/>
      <c r="G261" s="39">
        <f t="shared" si="4"/>
        <v>0</v>
      </c>
      <c r="I261" s="752"/>
      <c r="M261" s="195"/>
      <c r="N261" s="195"/>
      <c r="O261" s="195"/>
    </row>
    <row r="262" spans="1:15" x14ac:dyDescent="0.25">
      <c r="A262" s="290"/>
      <c r="B262" s="689"/>
      <c r="D262" s="270"/>
      <c r="G262" s="39">
        <f t="shared" si="4"/>
        <v>0</v>
      </c>
      <c r="I262" s="752"/>
      <c r="M262" s="195"/>
      <c r="N262" s="195"/>
      <c r="O262" s="195"/>
    </row>
    <row r="263" spans="1:15" x14ac:dyDescent="0.25">
      <c r="A263" s="290"/>
      <c r="B263" s="689"/>
      <c r="D263" s="270"/>
      <c r="G263" s="39">
        <f t="shared" si="4"/>
        <v>0</v>
      </c>
      <c r="I263" s="752"/>
      <c r="M263" s="195"/>
      <c r="N263" s="195"/>
      <c r="O263" s="195"/>
    </row>
    <row r="264" spans="1:15" x14ac:dyDescent="0.25">
      <c r="A264" s="290"/>
      <c r="B264" s="689"/>
      <c r="D264" s="270"/>
      <c r="G264" s="39">
        <f t="shared" si="4"/>
        <v>0</v>
      </c>
      <c r="I264" s="752"/>
      <c r="M264" s="195"/>
      <c r="N264" s="195"/>
      <c r="O264" s="195"/>
    </row>
    <row r="265" spans="1:15" x14ac:dyDescent="0.25">
      <c r="A265" s="290"/>
      <c r="B265" s="689"/>
      <c r="D265" s="270"/>
      <c r="G265" s="39">
        <f t="shared" si="4"/>
        <v>0</v>
      </c>
      <c r="I265" s="752"/>
      <c r="M265" s="195"/>
      <c r="N265" s="195"/>
      <c r="O265" s="195"/>
    </row>
    <row r="266" spans="1:15" x14ac:dyDescent="0.25">
      <c r="A266" s="290"/>
      <c r="B266" s="689"/>
      <c r="D266" s="270"/>
      <c r="G266" s="39">
        <f t="shared" si="4"/>
        <v>0</v>
      </c>
      <c r="I266" s="752"/>
      <c r="M266" s="195"/>
      <c r="N266" s="195"/>
      <c r="O266" s="195"/>
    </row>
    <row r="267" spans="1:15" x14ac:dyDescent="0.25">
      <c r="A267" s="290"/>
      <c r="B267" s="689"/>
      <c r="D267" s="270"/>
      <c r="G267" s="39">
        <f t="shared" si="4"/>
        <v>0</v>
      </c>
      <c r="I267" s="752"/>
      <c r="M267" s="195"/>
      <c r="N267" s="195"/>
      <c r="O267" s="195"/>
    </row>
    <row r="268" spans="1:15" x14ac:dyDescent="0.25">
      <c r="A268" s="290"/>
      <c r="B268" s="689"/>
      <c r="D268" s="270"/>
      <c r="G268" s="39">
        <f t="shared" si="4"/>
        <v>0</v>
      </c>
      <c r="I268" s="752"/>
      <c r="M268" s="195"/>
      <c r="N268" s="195"/>
      <c r="O268" s="195"/>
    </row>
    <row r="269" spans="1:15" x14ac:dyDescent="0.25">
      <c r="A269" s="290"/>
      <c r="B269" s="689"/>
      <c r="D269" s="270"/>
      <c r="G269" s="39">
        <f t="shared" si="4"/>
        <v>0</v>
      </c>
      <c r="I269" s="752"/>
      <c r="M269" s="195"/>
      <c r="N269" s="195"/>
      <c r="O269" s="195"/>
    </row>
    <row r="270" spans="1:15" x14ac:dyDescent="0.25">
      <c r="A270" s="288"/>
      <c r="B270" s="693"/>
      <c r="C270" s="309"/>
      <c r="D270" s="270"/>
      <c r="G270" s="39">
        <f t="shared" si="4"/>
        <v>0</v>
      </c>
      <c r="I270" s="752"/>
      <c r="M270" s="195"/>
      <c r="N270" s="195"/>
      <c r="O270" s="195"/>
    </row>
    <row r="271" spans="1:15" x14ac:dyDescent="0.25">
      <c r="A271" s="288"/>
      <c r="B271" s="693"/>
      <c r="C271" s="309"/>
      <c r="D271" s="270"/>
      <c r="G271" s="39">
        <f t="shared" si="4"/>
        <v>0</v>
      </c>
      <c r="I271" s="752"/>
      <c r="M271" s="195"/>
      <c r="N271" s="195"/>
      <c r="O271" s="195"/>
    </row>
    <row r="272" spans="1:15" ht="16.5" thickBot="1" x14ac:dyDescent="0.3">
      <c r="A272" s="288"/>
      <c r="B272" s="693"/>
      <c r="C272" s="309"/>
      <c r="D272" s="310"/>
      <c r="E272" s="311"/>
      <c r="G272" s="39">
        <f t="shared" si="4"/>
        <v>0</v>
      </c>
      <c r="I272" s="784"/>
      <c r="M272" s="195"/>
      <c r="N272" s="195"/>
      <c r="O272" s="195"/>
    </row>
    <row r="273" spans="1:12" ht="19.5" thickBot="1" x14ac:dyDescent="0.35">
      <c r="A273" s="290"/>
      <c r="B273" s="689"/>
      <c r="D273" s="314"/>
      <c r="E273" s="891" t="s">
        <v>30</v>
      </c>
      <c r="F273" s="892"/>
      <c r="G273" s="214">
        <f>SUM(G74:G272)</f>
        <v>1069250.3860000002</v>
      </c>
      <c r="I273" s="785"/>
    </row>
    <row r="274" spans="1:12" x14ac:dyDescent="0.25">
      <c r="A274" s="290"/>
      <c r="B274" s="689"/>
      <c r="D274" s="314"/>
      <c r="E274" s="311"/>
      <c r="F274" s="316"/>
      <c r="G274" s="39"/>
      <c r="I274" s="785"/>
    </row>
    <row r="275" spans="1:12" x14ac:dyDescent="0.25">
      <c r="A275" s="290"/>
      <c r="B275" s="689"/>
      <c r="D275" s="314"/>
      <c r="E275" s="311"/>
      <c r="F275" s="316"/>
      <c r="G275" s="39"/>
      <c r="I275" s="785"/>
    </row>
    <row r="276" spans="1:12" x14ac:dyDescent="0.25">
      <c r="A276" s="290"/>
      <c r="B276" s="689"/>
      <c r="D276" s="314"/>
      <c r="E276" s="311"/>
      <c r="F276" s="316"/>
      <c r="G276" s="39"/>
      <c r="I276" s="785"/>
    </row>
    <row r="277" spans="1:12" ht="18.75" x14ac:dyDescent="0.25">
      <c r="A277" s="290"/>
      <c r="B277" s="689"/>
      <c r="D277" s="317"/>
      <c r="E277" s="318"/>
      <c r="F277" s="319"/>
      <c r="G277" s="320"/>
      <c r="I277" s="785"/>
    </row>
    <row r="278" spans="1:12" ht="18.75" x14ac:dyDescent="0.25">
      <c r="A278" s="290"/>
      <c r="B278" s="689"/>
      <c r="D278" s="317"/>
      <c r="E278" s="318"/>
      <c r="F278" s="319"/>
      <c r="G278" s="320"/>
      <c r="I278" s="785"/>
    </row>
    <row r="279" spans="1:12" x14ac:dyDescent="0.25">
      <c r="A279" s="290"/>
      <c r="B279" s="689"/>
      <c r="D279" s="317"/>
      <c r="E279" s="321"/>
      <c r="F279" s="322"/>
      <c r="G279" s="323"/>
      <c r="I279" s="785"/>
      <c r="L279"/>
    </row>
    <row r="280" spans="1:12" x14ac:dyDescent="0.25">
      <c r="A280" s="290"/>
      <c r="B280" s="689"/>
      <c r="D280" s="317"/>
      <c r="E280" s="321"/>
      <c r="F280" s="322"/>
      <c r="G280" s="323"/>
      <c r="I280" s="785"/>
      <c r="L280"/>
    </row>
    <row r="281" spans="1:12" x14ac:dyDescent="0.25">
      <c r="A281" s="290"/>
      <c r="B281" s="689"/>
      <c r="D281" s="317"/>
      <c r="E281" s="321"/>
      <c r="F281" s="322"/>
      <c r="G281" s="323"/>
      <c r="I281" s="785"/>
      <c r="L281"/>
    </row>
    <row r="282" spans="1:12" x14ac:dyDescent="0.25">
      <c r="A282" s="290"/>
      <c r="B282" s="689"/>
      <c r="D282" s="317"/>
      <c r="E282" s="321"/>
      <c r="F282" s="322"/>
      <c r="G282" s="323"/>
      <c r="I282" s="785"/>
      <c r="L282"/>
    </row>
    <row r="283" spans="1:12" x14ac:dyDescent="0.25">
      <c r="A283" s="290"/>
      <c r="B283" s="689"/>
      <c r="D283" s="317"/>
      <c r="E283" s="321"/>
      <c r="F283" s="322"/>
      <c r="G283" s="323"/>
      <c r="I283" s="785"/>
      <c r="L283"/>
    </row>
    <row r="284" spans="1:12" x14ac:dyDescent="0.25">
      <c r="A284" s="290"/>
      <c r="B284" s="689"/>
      <c r="D284" s="317"/>
      <c r="E284" s="321"/>
      <c r="F284" s="322"/>
      <c r="G284" s="323"/>
      <c r="I284" s="785"/>
      <c r="L284"/>
    </row>
    <row r="285" spans="1:12" x14ac:dyDescent="0.25">
      <c r="A285" s="290"/>
      <c r="B285" s="689"/>
      <c r="D285" s="317"/>
      <c r="E285" s="321"/>
      <c r="F285" s="322"/>
      <c r="G285" s="323"/>
      <c r="I285" s="785"/>
      <c r="L285"/>
    </row>
    <row r="286" spans="1:12" x14ac:dyDescent="0.25">
      <c r="A286" s="290"/>
      <c r="B286" s="694"/>
      <c r="D286" s="260"/>
      <c r="E286" s="325"/>
      <c r="F286" s="326"/>
      <c r="G286" s="39"/>
      <c r="I286" s="785"/>
      <c r="L286"/>
    </row>
    <row r="287" spans="1:12" x14ac:dyDescent="0.25">
      <c r="A287" s="290"/>
      <c r="B287" s="694"/>
      <c r="D287" s="260"/>
      <c r="E287" s="325"/>
      <c r="F287" s="326"/>
      <c r="G287" s="39"/>
      <c r="I287" s="785"/>
      <c r="L287"/>
    </row>
    <row r="288" spans="1:12" x14ac:dyDescent="0.25">
      <c r="A288" s="290"/>
      <c r="B288" s="694"/>
      <c r="D288" s="260"/>
      <c r="E288" s="325"/>
      <c r="F288" s="326"/>
      <c r="G288" s="39"/>
      <c r="I288" s="785"/>
      <c r="L288"/>
    </row>
    <row r="289" spans="1:12" x14ac:dyDescent="0.25">
      <c r="A289" s="290"/>
      <c r="B289" s="694"/>
      <c r="D289" s="260"/>
      <c r="E289" s="325"/>
      <c r="F289" s="326"/>
      <c r="G289" s="39"/>
      <c r="I289" s="785"/>
      <c r="L289"/>
    </row>
    <row r="290" spans="1:12" x14ac:dyDescent="0.25">
      <c r="A290" s="290"/>
      <c r="B290" s="694"/>
      <c r="D290" s="260"/>
      <c r="E290" s="325"/>
      <c r="F290" s="326"/>
      <c r="G290" s="39"/>
      <c r="I290" s="785"/>
      <c r="L290"/>
    </row>
    <row r="291" spans="1:12" x14ac:dyDescent="0.25">
      <c r="A291" s="290"/>
      <c r="B291" s="694"/>
      <c r="D291" s="260"/>
      <c r="E291" s="325"/>
      <c r="F291" s="326"/>
      <c r="G291" s="39"/>
      <c r="I291" s="785"/>
      <c r="L291"/>
    </row>
    <row r="292" spans="1:12" x14ac:dyDescent="0.25">
      <c r="A292" s="290"/>
      <c r="B292" s="694"/>
      <c r="D292" s="260"/>
      <c r="E292" s="325"/>
      <c r="F292" s="326"/>
      <c r="G292" s="39"/>
      <c r="I292" s="785"/>
      <c r="L292"/>
    </row>
    <row r="293" spans="1:12" x14ac:dyDescent="0.25">
      <c r="A293" s="290"/>
      <c r="B293" s="694"/>
      <c r="D293" s="260"/>
      <c r="E293" s="325"/>
      <c r="F293" s="326"/>
      <c r="G293" s="39"/>
      <c r="I293" s="785"/>
      <c r="L293"/>
    </row>
    <row r="294" spans="1:12" x14ac:dyDescent="0.25">
      <c r="A294" s="290"/>
      <c r="B294" s="694"/>
      <c r="D294" s="260"/>
      <c r="E294" s="325"/>
      <c r="F294" s="326"/>
      <c r="G294" s="39"/>
      <c r="I294" s="785"/>
      <c r="L294"/>
    </row>
    <row r="295" spans="1:12" x14ac:dyDescent="0.25">
      <c r="A295" s="290"/>
      <c r="B295" s="694"/>
      <c r="D295" s="260"/>
      <c r="E295" s="325"/>
      <c r="F295" s="326"/>
      <c r="G295" s="39"/>
      <c r="I295" s="785"/>
      <c r="L295"/>
    </row>
    <row r="296" spans="1:12" x14ac:dyDescent="0.25">
      <c r="A296" s="290"/>
      <c r="B296" s="694"/>
      <c r="D296" s="260"/>
      <c r="E296" s="327"/>
      <c r="F296" s="328"/>
      <c r="G296" s="39"/>
      <c r="I296" s="785"/>
      <c r="L296"/>
    </row>
    <row r="297" spans="1:12" x14ac:dyDescent="0.25">
      <c r="B297" s="694"/>
      <c r="C297" s="329"/>
      <c r="D297" s="260"/>
      <c r="E297" s="327"/>
      <c r="F297" s="328"/>
      <c r="G297" s="39"/>
      <c r="I297" s="785"/>
      <c r="L297"/>
    </row>
    <row r="298" spans="1:12" x14ac:dyDescent="0.25">
      <c r="B298" s="694"/>
      <c r="C298" s="329"/>
      <c r="D298" s="260"/>
      <c r="E298" s="327"/>
      <c r="F298" s="328"/>
      <c r="G298" s="39"/>
      <c r="I298" s="785"/>
      <c r="L298"/>
    </row>
    <row r="299" spans="1:12" x14ac:dyDescent="0.25">
      <c r="B299" s="694"/>
      <c r="C299" s="329"/>
      <c r="D299" s="260"/>
      <c r="E299" s="327"/>
      <c r="F299" s="328"/>
      <c r="G299" s="39"/>
      <c r="I299" s="785"/>
      <c r="L299"/>
    </row>
    <row r="300" spans="1:12" x14ac:dyDescent="0.25">
      <c r="B300" s="694"/>
      <c r="C300" s="329"/>
      <c r="D300" s="260"/>
      <c r="E300" s="327"/>
      <c r="F300" s="328"/>
      <c r="G300" s="39"/>
      <c r="I300" s="785"/>
      <c r="L300"/>
    </row>
    <row r="301" spans="1:12" x14ac:dyDescent="0.25">
      <c r="B301" s="694"/>
      <c r="C301" s="329"/>
      <c r="D301" s="260"/>
      <c r="E301" s="327"/>
      <c r="F301" s="328"/>
      <c r="G301" s="39"/>
      <c r="I301" s="785"/>
      <c r="L301"/>
    </row>
    <row r="302" spans="1:12" x14ac:dyDescent="0.25">
      <c r="A302" s="290"/>
      <c r="B302" s="694"/>
      <c r="C302" s="329"/>
      <c r="D302" s="260"/>
      <c r="E302" s="327"/>
      <c r="F302" s="328"/>
      <c r="G302" s="27"/>
      <c r="I302" s="785"/>
      <c r="L302"/>
    </row>
    <row r="303" spans="1:12" x14ac:dyDescent="0.25">
      <c r="B303" s="694"/>
      <c r="C303" s="329"/>
      <c r="D303" s="260"/>
      <c r="E303" s="327"/>
      <c r="F303" s="328"/>
      <c r="G303" s="330"/>
      <c r="I303" s="785"/>
      <c r="L303"/>
    </row>
    <row r="304" spans="1:12" x14ac:dyDescent="0.25">
      <c r="B304" s="689"/>
      <c r="C304" s="329"/>
      <c r="D304" s="331"/>
      <c r="E304" s="311"/>
      <c r="F304" s="316"/>
      <c r="G304" s="330"/>
      <c r="I304" s="785"/>
      <c r="L304"/>
    </row>
    <row r="305" spans="2:12" x14ac:dyDescent="0.25">
      <c r="B305" s="689"/>
      <c r="C305" s="329"/>
      <c r="D305" s="331"/>
      <c r="E305" s="311"/>
      <c r="F305" s="316"/>
      <c r="G305" s="330"/>
      <c r="I305" s="785"/>
      <c r="L305"/>
    </row>
    <row r="306" spans="2:12" x14ac:dyDescent="0.25">
      <c r="B306" s="689"/>
      <c r="C306" s="329"/>
      <c r="D306" s="331"/>
      <c r="E306" s="311"/>
      <c r="F306" s="316"/>
      <c r="G306" s="330"/>
      <c r="I306" s="785"/>
      <c r="L306"/>
    </row>
    <row r="307" spans="2:12" x14ac:dyDescent="0.25">
      <c r="B307" s="689"/>
      <c r="C307" s="329"/>
      <c r="D307" s="331"/>
      <c r="E307" s="311"/>
      <c r="F307" s="316"/>
      <c r="G307" s="330"/>
      <c r="I307" s="785"/>
      <c r="L307"/>
    </row>
    <row r="308" spans="2:12" x14ac:dyDescent="0.25">
      <c r="B308" s="689"/>
      <c r="C308" s="329"/>
      <c r="D308" s="331"/>
      <c r="E308" s="311"/>
      <c r="F308" s="316"/>
      <c r="G308" s="330"/>
      <c r="I308" s="785"/>
      <c r="L308"/>
    </row>
    <row r="309" spans="2:12" x14ac:dyDescent="0.25">
      <c r="B309" s="689"/>
      <c r="C309" s="329"/>
      <c r="D309" s="331"/>
      <c r="E309" s="311"/>
      <c r="F309" s="316"/>
      <c r="G309" s="330"/>
      <c r="I309" s="785"/>
      <c r="L309"/>
    </row>
    <row r="310" spans="2:12" x14ac:dyDescent="0.25">
      <c r="B310" s="689"/>
      <c r="C310" s="329"/>
      <c r="D310" s="331"/>
      <c r="E310" s="311"/>
      <c r="F310" s="316"/>
      <c r="G310" s="330"/>
      <c r="I310" s="785"/>
      <c r="L310"/>
    </row>
  </sheetData>
  <mergeCells count="2">
    <mergeCell ref="A1:G1"/>
    <mergeCell ref="E273:F27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6FF99"/>
  </sheetPr>
  <dimension ref="A1:HA109"/>
  <sheetViews>
    <sheetView topLeftCell="J1" workbookViewId="0">
      <pane xSplit="4" ySplit="3" topLeftCell="N13" activePane="bottomRight" state="frozen"/>
      <selection activeCell="J1" sqref="J1"/>
      <selection pane="topRight" activeCell="N1" sqref="N1"/>
      <selection pane="bottomLeft" activeCell="J4" sqref="J4"/>
      <selection pane="bottomRight" activeCell="O9" sqref="O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196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556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386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387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39" t="s">
        <v>16</v>
      </c>
      <c r="L3" s="540" t="s">
        <v>17</v>
      </c>
      <c r="M3" s="541" t="s">
        <v>18</v>
      </c>
      <c r="N3" s="542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388"/>
      <c r="GZ3" s="55"/>
    </row>
    <row r="4" spans="1:208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557</v>
      </c>
      <c r="K4" s="449" t="s">
        <v>59</v>
      </c>
      <c r="L4" s="538">
        <v>23880</v>
      </c>
      <c r="M4" s="102">
        <v>42918</v>
      </c>
      <c r="N4" s="103" t="s">
        <v>611</v>
      </c>
      <c r="O4" s="631">
        <v>26580</v>
      </c>
      <c r="P4" s="60">
        <f t="shared" ref="P4:P69" si="0">O4-L4</f>
        <v>2700</v>
      </c>
      <c r="Q4" s="333">
        <v>30</v>
      </c>
      <c r="R4" s="905"/>
      <c r="S4" s="906"/>
      <c r="T4" s="39">
        <f>Q4*O4</f>
        <v>797400</v>
      </c>
      <c r="U4" s="61" t="s">
        <v>612</v>
      </c>
      <c r="V4" s="62">
        <v>42940</v>
      </c>
      <c r="W4" s="63">
        <v>17342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508">
        <v>42940</v>
      </c>
      <c r="GU4" s="543">
        <v>19800</v>
      </c>
      <c r="GV4" s="544" t="s">
        <v>997</v>
      </c>
      <c r="GW4" s="31"/>
      <c r="GX4" s="31"/>
      <c r="GY4" s="387" t="s">
        <v>692</v>
      </c>
      <c r="GZ4" s="521">
        <v>4408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558</v>
      </c>
      <c r="K5" s="407" t="s">
        <v>154</v>
      </c>
      <c r="L5" s="77"/>
      <c r="M5" s="71">
        <v>42918</v>
      </c>
      <c r="N5" s="56" t="s">
        <v>613</v>
      </c>
      <c r="O5" s="632">
        <v>3280</v>
      </c>
      <c r="P5" s="60">
        <f t="shared" si="0"/>
        <v>3280</v>
      </c>
      <c r="Q5" s="29">
        <v>30</v>
      </c>
      <c r="R5" s="57"/>
      <c r="S5" s="57"/>
      <c r="T5" s="39">
        <f>Q5*O5</f>
        <v>98400</v>
      </c>
      <c r="U5" s="336" t="s">
        <v>612</v>
      </c>
      <c r="V5" s="166">
        <v>42940</v>
      </c>
      <c r="W5" s="86">
        <v>2262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42940</v>
      </c>
      <c r="GU5" s="518">
        <v>0</v>
      </c>
      <c r="GV5" s="630" t="s">
        <v>997</v>
      </c>
      <c r="GW5" s="66"/>
      <c r="GX5" s="66"/>
      <c r="GY5" s="389" t="s">
        <v>692</v>
      </c>
      <c r="GZ5" s="404">
        <v>2088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559</v>
      </c>
      <c r="K6" s="407" t="s">
        <v>59</v>
      </c>
      <c r="L6" s="77">
        <v>21130</v>
      </c>
      <c r="M6" s="71">
        <v>42919</v>
      </c>
      <c r="N6" s="56" t="s">
        <v>617</v>
      </c>
      <c r="O6" s="632">
        <v>26495</v>
      </c>
      <c r="P6" s="60">
        <f t="shared" si="0"/>
        <v>5365</v>
      </c>
      <c r="Q6" s="29">
        <v>30</v>
      </c>
      <c r="R6" s="57"/>
      <c r="S6" s="57"/>
      <c r="T6" s="39">
        <f t="shared" ref="T6:T71" si="1">Q6*O6</f>
        <v>794850</v>
      </c>
      <c r="U6" s="336" t="s">
        <v>612</v>
      </c>
      <c r="V6" s="166">
        <v>42941</v>
      </c>
      <c r="W6" s="86">
        <v>17342</v>
      </c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>
        <v>42941</v>
      </c>
      <c r="GU6" s="64">
        <v>22176</v>
      </c>
      <c r="GV6" s="65" t="s">
        <v>586</v>
      </c>
      <c r="GW6" s="66"/>
      <c r="GX6" s="66"/>
      <c r="GY6" s="389"/>
      <c r="GZ6" s="67">
        <v>0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44</v>
      </c>
      <c r="K7" s="407" t="s">
        <v>40</v>
      </c>
      <c r="L7" s="70">
        <v>19530</v>
      </c>
      <c r="M7" s="71">
        <v>42920</v>
      </c>
      <c r="N7" s="56" t="s">
        <v>618</v>
      </c>
      <c r="O7" s="633">
        <v>24605</v>
      </c>
      <c r="P7" s="60">
        <f t="shared" si="0"/>
        <v>5075</v>
      </c>
      <c r="Q7" s="64">
        <v>30</v>
      </c>
      <c r="R7" s="57"/>
      <c r="S7" s="57"/>
      <c r="T7" s="39">
        <f t="shared" si="1"/>
        <v>738150</v>
      </c>
      <c r="U7" s="82" t="s">
        <v>612</v>
      </c>
      <c r="V7" s="339">
        <v>42942</v>
      </c>
      <c r="W7" s="340">
        <v>16588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42942</v>
      </c>
      <c r="GU7" s="73">
        <v>22176</v>
      </c>
      <c r="GV7" s="65" t="s">
        <v>587</v>
      </c>
      <c r="GW7" s="74"/>
      <c r="GX7" s="74"/>
      <c r="GY7" s="391" t="s">
        <v>692</v>
      </c>
      <c r="GZ7" s="522">
        <v>4408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560</v>
      </c>
      <c r="K8" s="407" t="s">
        <v>39</v>
      </c>
      <c r="L8" s="77">
        <v>19350</v>
      </c>
      <c r="M8" s="71">
        <v>42921</v>
      </c>
      <c r="N8" s="56" t="s">
        <v>619</v>
      </c>
      <c r="O8" s="634">
        <v>24375</v>
      </c>
      <c r="P8" s="60">
        <f t="shared" si="0"/>
        <v>5025</v>
      </c>
      <c r="Q8" s="79">
        <v>30</v>
      </c>
      <c r="R8" s="80"/>
      <c r="S8" s="81"/>
      <c r="T8" s="39">
        <f t="shared" si="1"/>
        <v>731250</v>
      </c>
      <c r="U8" s="82" t="s">
        <v>612</v>
      </c>
      <c r="V8" s="339">
        <v>42943</v>
      </c>
      <c r="W8" s="340">
        <v>16512.599999999999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515">
        <v>42943</v>
      </c>
      <c r="GU8" s="73">
        <v>22176</v>
      </c>
      <c r="GV8" s="84" t="s">
        <v>588</v>
      </c>
      <c r="GW8" s="74"/>
      <c r="GX8" s="74"/>
      <c r="GY8" s="391" t="s">
        <v>692</v>
      </c>
      <c r="GZ8" s="404">
        <v>4408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559</v>
      </c>
      <c r="K9" s="407" t="s">
        <v>35</v>
      </c>
      <c r="L9" s="77">
        <v>12760</v>
      </c>
      <c r="M9" s="71">
        <v>42922</v>
      </c>
      <c r="N9" s="56" t="s">
        <v>623</v>
      </c>
      <c r="O9" s="634">
        <v>15695</v>
      </c>
      <c r="P9" s="60">
        <f t="shared" si="0"/>
        <v>2935</v>
      </c>
      <c r="Q9" s="79">
        <v>30</v>
      </c>
      <c r="R9" s="64"/>
      <c r="S9" s="89"/>
      <c r="T9" s="39">
        <f t="shared" si="1"/>
        <v>470850</v>
      </c>
      <c r="U9" s="90" t="s">
        <v>612</v>
      </c>
      <c r="V9" s="83">
        <v>42944</v>
      </c>
      <c r="W9" s="91">
        <v>9802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97">
        <v>42944</v>
      </c>
      <c r="GU9" s="98">
        <v>17584</v>
      </c>
      <c r="GV9" s="65" t="s">
        <v>590</v>
      </c>
      <c r="GW9" s="74"/>
      <c r="GX9" s="74"/>
      <c r="GY9" s="391" t="s">
        <v>692</v>
      </c>
      <c r="GZ9" s="404">
        <v>2552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153</v>
      </c>
      <c r="K10" s="407" t="s">
        <v>41</v>
      </c>
      <c r="L10" s="77">
        <v>21060</v>
      </c>
      <c r="M10" s="71">
        <v>42922</v>
      </c>
      <c r="N10" s="56" t="s">
        <v>622</v>
      </c>
      <c r="O10" s="634">
        <v>26395</v>
      </c>
      <c r="P10" s="60">
        <f t="shared" si="0"/>
        <v>5335</v>
      </c>
      <c r="Q10" s="79">
        <v>30</v>
      </c>
      <c r="R10" s="64"/>
      <c r="S10" s="89"/>
      <c r="T10" s="39">
        <f t="shared" si="1"/>
        <v>791850</v>
      </c>
      <c r="U10" s="90" t="s">
        <v>612</v>
      </c>
      <c r="V10" s="83">
        <v>42944</v>
      </c>
      <c r="W10" s="91">
        <v>18850</v>
      </c>
      <c r="X10" s="17"/>
      <c r="Y10" s="20"/>
      <c r="Z10" s="92"/>
      <c r="AA10" s="93"/>
      <c r="AB10" s="92"/>
      <c r="AC10" s="94"/>
      <c r="AD10" s="95"/>
      <c r="AE10" s="17"/>
      <c r="AF10" s="17"/>
      <c r="AG10" s="17"/>
      <c r="AH10" s="20"/>
      <c r="AI10" s="92"/>
      <c r="AJ10" s="93"/>
      <c r="AK10" s="92"/>
      <c r="AL10" s="94"/>
      <c r="AM10" s="95"/>
      <c r="AN10" s="17"/>
      <c r="AO10" s="17"/>
      <c r="AP10" s="17"/>
      <c r="AQ10" s="20"/>
      <c r="AR10" s="92"/>
      <c r="AS10" s="93"/>
      <c r="AT10" s="92"/>
      <c r="AU10" s="94"/>
      <c r="AV10" s="95"/>
      <c r="AW10" s="17"/>
      <c r="AX10" s="17"/>
      <c r="AY10" s="17"/>
      <c r="AZ10" s="20"/>
      <c r="BA10" s="92"/>
      <c r="BB10" s="93"/>
      <c r="BC10" s="92"/>
      <c r="BD10" s="94"/>
      <c r="BE10" s="95"/>
      <c r="BF10" s="17"/>
      <c r="BG10" s="17"/>
      <c r="BH10" s="17"/>
      <c r="BI10" s="20"/>
      <c r="BJ10" s="92"/>
      <c r="BK10" s="93"/>
      <c r="BL10" s="92"/>
      <c r="BM10" s="94"/>
      <c r="BN10" s="95"/>
      <c r="BO10" s="17"/>
      <c r="BP10" s="17"/>
      <c r="BQ10" s="17"/>
      <c r="BR10" s="20"/>
      <c r="BS10" s="92"/>
      <c r="BT10" s="93"/>
      <c r="BU10" s="92"/>
      <c r="BV10" s="94"/>
      <c r="BW10" s="95"/>
      <c r="BX10" s="17"/>
      <c r="BY10" s="17"/>
      <c r="BZ10" s="17"/>
      <c r="CA10" s="20"/>
      <c r="CB10" s="92"/>
      <c r="CC10" s="93"/>
      <c r="CD10" s="92"/>
      <c r="CE10" s="94"/>
      <c r="CF10" s="95"/>
      <c r="CG10" s="17"/>
      <c r="CH10" s="17"/>
      <c r="CI10" s="17"/>
      <c r="CJ10" s="20"/>
      <c r="CK10" s="92"/>
      <c r="CL10" s="93"/>
      <c r="CM10" s="92"/>
      <c r="CN10" s="94"/>
      <c r="CO10" s="95"/>
      <c r="CP10" s="17"/>
      <c r="CQ10" s="17"/>
      <c r="CR10" s="17"/>
      <c r="CS10" s="20"/>
      <c r="CT10" s="92"/>
      <c r="CU10" s="93"/>
      <c r="CV10" s="96"/>
      <c r="CW10" s="94"/>
      <c r="CX10" s="95"/>
      <c r="CY10" s="17"/>
      <c r="CZ10" s="17"/>
      <c r="DA10" s="17"/>
      <c r="DB10" s="20"/>
      <c r="DC10" s="92"/>
      <c r="DD10" s="93"/>
      <c r="DE10" s="92"/>
      <c r="DF10" s="94"/>
      <c r="DG10" s="95"/>
      <c r="DH10" s="17"/>
      <c r="DI10" s="17"/>
      <c r="DJ10" s="17"/>
      <c r="DK10" s="20"/>
      <c r="DL10" s="92"/>
      <c r="DM10" s="93"/>
      <c r="DN10" s="92"/>
      <c r="DO10" s="94"/>
      <c r="DP10" s="95"/>
      <c r="DQ10" s="17"/>
      <c r="DR10" s="17"/>
      <c r="DS10" s="17"/>
      <c r="DT10" s="20"/>
      <c r="DU10" s="92"/>
      <c r="DV10" s="93"/>
      <c r="DW10" s="92"/>
      <c r="DX10" s="94"/>
      <c r="DY10" s="95"/>
      <c r="DZ10" s="17"/>
      <c r="EA10" s="17"/>
      <c r="EB10" s="17"/>
      <c r="EC10" s="20"/>
      <c r="ED10" s="92"/>
      <c r="EE10" s="93"/>
      <c r="EF10" s="92"/>
      <c r="EG10" s="94"/>
      <c r="EH10" s="95"/>
      <c r="EI10" s="17"/>
      <c r="EJ10" s="17"/>
      <c r="EK10" s="17"/>
      <c r="EL10" s="20"/>
      <c r="EM10" s="92"/>
      <c r="EN10" s="93"/>
      <c r="EO10" s="92"/>
      <c r="EP10" s="94"/>
      <c r="EQ10" s="95"/>
      <c r="ER10" s="17"/>
      <c r="ES10" s="17"/>
      <c r="ET10" s="17"/>
      <c r="EU10" s="20"/>
      <c r="EV10" s="92"/>
      <c r="EW10" s="93"/>
      <c r="EX10" s="92"/>
      <c r="EY10" s="94"/>
      <c r="EZ10" s="95"/>
      <c r="FA10" s="17"/>
      <c r="FB10" s="17"/>
      <c r="FC10" s="17"/>
      <c r="FD10" s="20"/>
      <c r="FE10" s="92"/>
      <c r="FF10" s="93"/>
      <c r="FG10" s="92"/>
      <c r="FH10" s="94"/>
      <c r="FI10" s="95"/>
      <c r="FJ10" s="17"/>
      <c r="FK10" s="17"/>
      <c r="FL10" s="17"/>
      <c r="FM10" s="20"/>
      <c r="FN10" s="92"/>
      <c r="FO10" s="93"/>
      <c r="FP10" s="92"/>
      <c r="FQ10" s="94"/>
      <c r="FR10" s="95"/>
      <c r="FS10" s="17"/>
      <c r="FT10" s="17"/>
      <c r="FU10" s="17"/>
      <c r="FV10" s="20"/>
      <c r="FW10" s="92"/>
      <c r="FX10" s="93"/>
      <c r="FY10" s="92"/>
      <c r="FZ10" s="94"/>
      <c r="GA10" s="95"/>
      <c r="GB10" s="17"/>
      <c r="GC10" s="17"/>
      <c r="GD10" s="17"/>
      <c r="GE10" s="20"/>
      <c r="GF10" s="92"/>
      <c r="GG10" s="93"/>
      <c r="GH10" s="92"/>
      <c r="GI10" s="94"/>
      <c r="GJ10" s="95"/>
      <c r="GK10" s="17"/>
      <c r="GL10" s="17"/>
      <c r="GM10" s="17"/>
      <c r="GN10" s="20"/>
      <c r="GO10" s="92"/>
      <c r="GP10" s="93"/>
      <c r="GQ10" s="92"/>
      <c r="GR10" s="94"/>
      <c r="GS10" s="95"/>
      <c r="GT10" s="97">
        <v>42944</v>
      </c>
      <c r="GU10" s="98">
        <v>22176</v>
      </c>
      <c r="GV10" s="65" t="s">
        <v>589</v>
      </c>
      <c r="GW10" s="74"/>
      <c r="GX10" s="74"/>
      <c r="GY10" s="391" t="s">
        <v>692</v>
      </c>
      <c r="GZ10" s="404">
        <v>4408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153</v>
      </c>
      <c r="K11" s="407" t="s">
        <v>159</v>
      </c>
      <c r="L11" s="70">
        <v>11180</v>
      </c>
      <c r="M11" s="71">
        <v>42923</v>
      </c>
      <c r="N11" s="56" t="s">
        <v>639</v>
      </c>
      <c r="O11" s="72">
        <v>12785</v>
      </c>
      <c r="P11" s="60">
        <f t="shared" si="0"/>
        <v>1605</v>
      </c>
      <c r="Q11" s="64">
        <v>30</v>
      </c>
      <c r="R11" s="64"/>
      <c r="S11" s="99"/>
      <c r="T11" s="39">
        <f t="shared" si="1"/>
        <v>383550</v>
      </c>
      <c r="U11" s="90" t="s">
        <v>612</v>
      </c>
      <c r="V11" s="83">
        <v>42947</v>
      </c>
      <c r="W11" s="91">
        <v>9651.2000000000007</v>
      </c>
      <c r="X11" s="17"/>
      <c r="Y11" s="20"/>
      <c r="Z11" s="92"/>
      <c r="AA11" s="93"/>
      <c r="AB11" s="92"/>
      <c r="AC11" s="94"/>
      <c r="AD11" s="95"/>
      <c r="AE11" s="17"/>
      <c r="AF11" s="17"/>
      <c r="AG11" s="17"/>
      <c r="AH11" s="20"/>
      <c r="AI11" s="92"/>
      <c r="AJ11" s="93"/>
      <c r="AK11" s="92"/>
      <c r="AL11" s="94"/>
      <c r="AM11" s="95"/>
      <c r="AN11" s="17"/>
      <c r="AO11" s="17"/>
      <c r="AP11" s="17"/>
      <c r="AQ11" s="20"/>
      <c r="AR11" s="92"/>
      <c r="AS11" s="93"/>
      <c r="AT11" s="92"/>
      <c r="AU11" s="94"/>
      <c r="AV11" s="95"/>
      <c r="AW11" s="17"/>
      <c r="AX11" s="17"/>
      <c r="AY11" s="17"/>
      <c r="AZ11" s="20"/>
      <c r="BA11" s="92"/>
      <c r="BB11" s="93"/>
      <c r="BC11" s="92"/>
      <c r="BD11" s="94"/>
      <c r="BE11" s="95"/>
      <c r="BF11" s="17"/>
      <c r="BG11" s="17"/>
      <c r="BH11" s="17"/>
      <c r="BI11" s="20"/>
      <c r="BJ11" s="92"/>
      <c r="BK11" s="93"/>
      <c r="BL11" s="92"/>
      <c r="BM11" s="94"/>
      <c r="BN11" s="95"/>
      <c r="BO11" s="17"/>
      <c r="BP11" s="17"/>
      <c r="BQ11" s="17"/>
      <c r="BR11" s="20"/>
      <c r="BS11" s="92"/>
      <c r="BT11" s="93"/>
      <c r="BU11" s="92"/>
      <c r="BV11" s="94"/>
      <c r="BW11" s="95"/>
      <c r="BX11" s="17"/>
      <c r="BY11" s="17"/>
      <c r="BZ11" s="17"/>
      <c r="CA11" s="20"/>
      <c r="CB11" s="92"/>
      <c r="CC11" s="93"/>
      <c r="CD11" s="92"/>
      <c r="CE11" s="94"/>
      <c r="CF11" s="95"/>
      <c r="CG11" s="17"/>
      <c r="CH11" s="17"/>
      <c r="CI11" s="17"/>
      <c r="CJ11" s="20"/>
      <c r="CK11" s="92"/>
      <c r="CL11" s="93"/>
      <c r="CM11" s="92"/>
      <c r="CN11" s="94"/>
      <c r="CO11" s="95"/>
      <c r="CP11" s="17"/>
      <c r="CQ11" s="17"/>
      <c r="CR11" s="17"/>
      <c r="CS11" s="20"/>
      <c r="CT11" s="92"/>
      <c r="CU11" s="93"/>
      <c r="CV11" s="96"/>
      <c r="CW11" s="94"/>
      <c r="CX11" s="95"/>
      <c r="CY11" s="17"/>
      <c r="CZ11" s="17"/>
      <c r="DA11" s="17"/>
      <c r="DB11" s="20"/>
      <c r="DC11" s="92"/>
      <c r="DD11" s="93"/>
      <c r="DE11" s="92"/>
      <c r="DF11" s="94"/>
      <c r="DG11" s="95"/>
      <c r="DH11" s="17"/>
      <c r="DI11" s="17"/>
      <c r="DJ11" s="17"/>
      <c r="DK11" s="20"/>
      <c r="DL11" s="92"/>
      <c r="DM11" s="93"/>
      <c r="DN11" s="92"/>
      <c r="DO11" s="94"/>
      <c r="DP11" s="95"/>
      <c r="DQ11" s="17"/>
      <c r="DR11" s="17"/>
      <c r="DS11" s="17"/>
      <c r="DT11" s="20"/>
      <c r="DU11" s="92"/>
      <c r="DV11" s="93"/>
      <c r="DW11" s="92"/>
      <c r="DX11" s="94"/>
      <c r="DY11" s="95"/>
      <c r="DZ11" s="17"/>
      <c r="EA11" s="17"/>
      <c r="EB11" s="17"/>
      <c r="EC11" s="20"/>
      <c r="ED11" s="92"/>
      <c r="EE11" s="93"/>
      <c r="EF11" s="92"/>
      <c r="EG11" s="94"/>
      <c r="EH11" s="95"/>
      <c r="EI11" s="17"/>
      <c r="EJ11" s="17"/>
      <c r="EK11" s="17"/>
      <c r="EL11" s="20"/>
      <c r="EM11" s="92"/>
      <c r="EN11" s="93"/>
      <c r="EO11" s="92"/>
      <c r="EP11" s="94"/>
      <c r="EQ11" s="95"/>
      <c r="ER11" s="17"/>
      <c r="ES11" s="17"/>
      <c r="ET11" s="17"/>
      <c r="EU11" s="20"/>
      <c r="EV11" s="92"/>
      <c r="EW11" s="93"/>
      <c r="EX11" s="92"/>
      <c r="EY11" s="94"/>
      <c r="EZ11" s="95"/>
      <c r="FA11" s="17"/>
      <c r="FB11" s="17"/>
      <c r="FC11" s="17"/>
      <c r="FD11" s="20"/>
      <c r="FE11" s="92"/>
      <c r="FF11" s="93"/>
      <c r="FG11" s="92"/>
      <c r="FH11" s="94"/>
      <c r="FI11" s="95"/>
      <c r="FJ11" s="17"/>
      <c r="FK11" s="17"/>
      <c r="FL11" s="17"/>
      <c r="FM11" s="20"/>
      <c r="FN11" s="92"/>
      <c r="FO11" s="93"/>
      <c r="FP11" s="92"/>
      <c r="FQ11" s="94"/>
      <c r="FR11" s="95"/>
      <c r="FS11" s="17"/>
      <c r="FT11" s="17"/>
      <c r="FU11" s="17"/>
      <c r="FV11" s="20"/>
      <c r="FW11" s="92"/>
      <c r="FX11" s="93"/>
      <c r="FY11" s="92"/>
      <c r="FZ11" s="94"/>
      <c r="GA11" s="95"/>
      <c r="GB11" s="17"/>
      <c r="GC11" s="17"/>
      <c r="GD11" s="17"/>
      <c r="GE11" s="20"/>
      <c r="GF11" s="92"/>
      <c r="GG11" s="93"/>
      <c r="GH11" s="92"/>
      <c r="GI11" s="94"/>
      <c r="GJ11" s="95"/>
      <c r="GK11" s="17"/>
      <c r="GL11" s="17"/>
      <c r="GM11" s="17"/>
      <c r="GN11" s="20"/>
      <c r="GO11" s="92"/>
      <c r="GP11" s="93"/>
      <c r="GQ11" s="92"/>
      <c r="GR11" s="94"/>
      <c r="GS11" s="95"/>
      <c r="GT11" s="97">
        <v>42947</v>
      </c>
      <c r="GU11" s="98">
        <v>17584</v>
      </c>
      <c r="GV11" s="65" t="s">
        <v>601</v>
      </c>
      <c r="GW11" s="74"/>
      <c r="GX11" s="74"/>
      <c r="GY11" s="391" t="s">
        <v>692</v>
      </c>
      <c r="GZ11" s="404">
        <v>2552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559</v>
      </c>
      <c r="K12" s="449" t="s">
        <v>37</v>
      </c>
      <c r="L12" s="101">
        <v>16440</v>
      </c>
      <c r="M12" s="102">
        <v>42923</v>
      </c>
      <c r="N12" s="103" t="s">
        <v>638</v>
      </c>
      <c r="O12" s="104">
        <v>22230</v>
      </c>
      <c r="P12" s="60">
        <f t="shared" si="0"/>
        <v>5790</v>
      </c>
      <c r="Q12" s="29">
        <v>30</v>
      </c>
      <c r="R12" s="105"/>
      <c r="S12" s="106"/>
      <c r="T12" s="39">
        <f t="shared" si="1"/>
        <v>666900</v>
      </c>
      <c r="U12" s="107" t="s">
        <v>612</v>
      </c>
      <c r="V12" s="108">
        <v>42947</v>
      </c>
      <c r="W12" s="109">
        <v>15080</v>
      </c>
      <c r="X12" s="17"/>
      <c r="Y12" s="20"/>
      <c r="Z12" s="92"/>
      <c r="AA12" s="93"/>
      <c r="AB12" s="92"/>
      <c r="AC12" s="94"/>
      <c r="AD12" s="95"/>
      <c r="AE12" s="17"/>
      <c r="AF12" s="17"/>
      <c r="AG12" s="17"/>
      <c r="AH12" s="20"/>
      <c r="AI12" s="92"/>
      <c r="AJ12" s="93"/>
      <c r="AK12" s="92"/>
      <c r="AL12" s="94"/>
      <c r="AM12" s="95"/>
      <c r="AN12" s="17"/>
      <c r="AO12" s="17"/>
      <c r="AP12" s="17"/>
      <c r="AQ12" s="20"/>
      <c r="AR12" s="92"/>
      <c r="AS12" s="93"/>
      <c r="AT12" s="92"/>
      <c r="AU12" s="94"/>
      <c r="AV12" s="95"/>
      <c r="AW12" s="17"/>
      <c r="AX12" s="17"/>
      <c r="AY12" s="17"/>
      <c r="AZ12" s="20"/>
      <c r="BA12" s="92"/>
      <c r="BB12" s="93"/>
      <c r="BC12" s="92"/>
      <c r="BD12" s="94"/>
      <c r="BE12" s="95"/>
      <c r="BF12" s="17"/>
      <c r="BG12" s="17"/>
      <c r="BH12" s="17"/>
      <c r="BI12" s="20"/>
      <c r="BJ12" s="92"/>
      <c r="BK12" s="93"/>
      <c r="BL12" s="92"/>
      <c r="BM12" s="94"/>
      <c r="BN12" s="95"/>
      <c r="BO12" s="17"/>
      <c r="BP12" s="17"/>
      <c r="BQ12" s="17"/>
      <c r="BR12" s="20"/>
      <c r="BS12" s="92"/>
      <c r="BT12" s="93"/>
      <c r="BU12" s="92"/>
      <c r="BV12" s="94"/>
      <c r="BW12" s="95"/>
      <c r="BX12" s="17"/>
      <c r="BY12" s="17"/>
      <c r="BZ12" s="17"/>
      <c r="CA12" s="20"/>
      <c r="CB12" s="92"/>
      <c r="CC12" s="93"/>
      <c r="CD12" s="92"/>
      <c r="CE12" s="94"/>
      <c r="CF12" s="95"/>
      <c r="CG12" s="17"/>
      <c r="CH12" s="17"/>
      <c r="CI12" s="17"/>
      <c r="CJ12" s="20"/>
      <c r="CK12" s="92"/>
      <c r="CL12" s="93"/>
      <c r="CM12" s="92"/>
      <c r="CN12" s="94"/>
      <c r="CO12" s="95"/>
      <c r="CP12" s="17"/>
      <c r="CQ12" s="17"/>
      <c r="CR12" s="17"/>
      <c r="CS12" s="20"/>
      <c r="CT12" s="92"/>
      <c r="CU12" s="93"/>
      <c r="CV12" s="96"/>
      <c r="CW12" s="94"/>
      <c r="CX12" s="95"/>
      <c r="CY12" s="17"/>
      <c r="CZ12" s="17"/>
      <c r="DA12" s="17"/>
      <c r="DB12" s="20"/>
      <c r="DC12" s="92"/>
      <c r="DD12" s="93"/>
      <c r="DE12" s="92"/>
      <c r="DF12" s="94"/>
      <c r="DG12" s="95"/>
      <c r="DH12" s="17"/>
      <c r="DI12" s="17"/>
      <c r="DJ12" s="17"/>
      <c r="DK12" s="20"/>
      <c r="DL12" s="92"/>
      <c r="DM12" s="93"/>
      <c r="DN12" s="92"/>
      <c r="DO12" s="94"/>
      <c r="DP12" s="95"/>
      <c r="DQ12" s="17"/>
      <c r="DR12" s="17"/>
      <c r="DS12" s="17"/>
      <c r="DT12" s="20"/>
      <c r="DU12" s="92"/>
      <c r="DV12" s="93"/>
      <c r="DW12" s="92"/>
      <c r="DX12" s="94"/>
      <c r="DY12" s="95"/>
      <c r="DZ12" s="17"/>
      <c r="EA12" s="17"/>
      <c r="EB12" s="17"/>
      <c r="EC12" s="20"/>
      <c r="ED12" s="92"/>
      <c r="EE12" s="93"/>
      <c r="EF12" s="92"/>
      <c r="EG12" s="94"/>
      <c r="EH12" s="95"/>
      <c r="EI12" s="17"/>
      <c r="EJ12" s="17"/>
      <c r="EK12" s="17"/>
      <c r="EL12" s="20"/>
      <c r="EM12" s="92"/>
      <c r="EN12" s="93"/>
      <c r="EO12" s="92"/>
      <c r="EP12" s="94"/>
      <c r="EQ12" s="95"/>
      <c r="ER12" s="17"/>
      <c r="ES12" s="17"/>
      <c r="ET12" s="17"/>
      <c r="EU12" s="20"/>
      <c r="EV12" s="92"/>
      <c r="EW12" s="93"/>
      <c r="EX12" s="92"/>
      <c r="EY12" s="94"/>
      <c r="EZ12" s="95"/>
      <c r="FA12" s="17"/>
      <c r="FB12" s="17"/>
      <c r="FC12" s="17"/>
      <c r="FD12" s="20"/>
      <c r="FE12" s="92"/>
      <c r="FF12" s="93"/>
      <c r="FG12" s="92"/>
      <c r="FH12" s="94"/>
      <c r="FI12" s="95"/>
      <c r="FJ12" s="17"/>
      <c r="FK12" s="17"/>
      <c r="FL12" s="17"/>
      <c r="FM12" s="20"/>
      <c r="FN12" s="92"/>
      <c r="FO12" s="93"/>
      <c r="FP12" s="92"/>
      <c r="FQ12" s="94"/>
      <c r="FR12" s="95"/>
      <c r="FS12" s="17"/>
      <c r="FT12" s="17"/>
      <c r="FU12" s="17"/>
      <c r="FV12" s="20"/>
      <c r="FW12" s="92"/>
      <c r="FX12" s="93"/>
      <c r="FY12" s="92"/>
      <c r="FZ12" s="94"/>
      <c r="GA12" s="95"/>
      <c r="GB12" s="17"/>
      <c r="GC12" s="17"/>
      <c r="GD12" s="17"/>
      <c r="GE12" s="20"/>
      <c r="GF12" s="92"/>
      <c r="GG12" s="93"/>
      <c r="GH12" s="92"/>
      <c r="GI12" s="94"/>
      <c r="GJ12" s="95"/>
      <c r="GK12" s="17"/>
      <c r="GL12" s="17"/>
      <c r="GM12" s="17"/>
      <c r="GN12" s="20"/>
      <c r="GO12" s="92"/>
      <c r="GP12" s="93"/>
      <c r="GQ12" s="92"/>
      <c r="GR12" s="94"/>
      <c r="GS12" s="95"/>
      <c r="GT12" s="97">
        <v>42947</v>
      </c>
      <c r="GU12" s="98">
        <v>22176</v>
      </c>
      <c r="GV12" s="65" t="s">
        <v>602</v>
      </c>
      <c r="GW12" s="74"/>
      <c r="GX12" s="74"/>
      <c r="GY12" s="391" t="s">
        <v>692</v>
      </c>
      <c r="GZ12" s="404">
        <v>4408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68" t="s">
        <v>45</v>
      </c>
      <c r="K13" s="407" t="s">
        <v>561</v>
      </c>
      <c r="L13" s="110">
        <v>17730</v>
      </c>
      <c r="M13" s="71">
        <v>42925</v>
      </c>
      <c r="N13" s="56" t="s">
        <v>640</v>
      </c>
      <c r="O13" s="72">
        <v>22360</v>
      </c>
      <c r="P13" s="60">
        <f t="shared" si="0"/>
        <v>4630</v>
      </c>
      <c r="Q13" s="64">
        <v>30.5</v>
      </c>
      <c r="R13" s="64"/>
      <c r="S13" s="111"/>
      <c r="T13" s="39">
        <f t="shared" si="1"/>
        <v>681980</v>
      </c>
      <c r="U13" s="90" t="s">
        <v>612</v>
      </c>
      <c r="V13" s="112">
        <v>42947</v>
      </c>
      <c r="W13" s="109">
        <v>15758.6</v>
      </c>
      <c r="X13" s="17"/>
      <c r="Y13" s="20"/>
      <c r="Z13" s="92"/>
      <c r="AA13" s="93"/>
      <c r="AB13" s="92"/>
      <c r="AC13" s="94"/>
      <c r="AD13" s="95"/>
      <c r="AE13" s="17"/>
      <c r="AF13" s="17"/>
      <c r="AG13" s="17"/>
      <c r="AH13" s="20"/>
      <c r="AI13" s="92"/>
      <c r="AJ13" s="93"/>
      <c r="AK13" s="92"/>
      <c r="AL13" s="94"/>
      <c r="AM13" s="95"/>
      <c r="AN13" s="17"/>
      <c r="AO13" s="17"/>
      <c r="AP13" s="17"/>
      <c r="AQ13" s="20"/>
      <c r="AR13" s="92"/>
      <c r="AS13" s="93"/>
      <c r="AT13" s="92"/>
      <c r="AU13" s="94"/>
      <c r="AV13" s="95"/>
      <c r="AW13" s="17"/>
      <c r="AX13" s="17"/>
      <c r="AY13" s="17"/>
      <c r="AZ13" s="20"/>
      <c r="BA13" s="92"/>
      <c r="BB13" s="93"/>
      <c r="BC13" s="92"/>
      <c r="BD13" s="94"/>
      <c r="BE13" s="95"/>
      <c r="BF13" s="17"/>
      <c r="BG13" s="17"/>
      <c r="BH13" s="17"/>
      <c r="BI13" s="20"/>
      <c r="BJ13" s="92"/>
      <c r="BK13" s="93"/>
      <c r="BL13" s="92"/>
      <c r="BM13" s="94"/>
      <c r="BN13" s="95"/>
      <c r="BO13" s="17"/>
      <c r="BP13" s="17"/>
      <c r="BQ13" s="17"/>
      <c r="BR13" s="20"/>
      <c r="BS13" s="92"/>
      <c r="BT13" s="93"/>
      <c r="BU13" s="92"/>
      <c r="BV13" s="94"/>
      <c r="BW13" s="95"/>
      <c r="BX13" s="17"/>
      <c r="BY13" s="17"/>
      <c r="BZ13" s="17"/>
      <c r="CA13" s="20"/>
      <c r="CB13" s="92"/>
      <c r="CC13" s="93"/>
      <c r="CD13" s="92"/>
      <c r="CE13" s="94"/>
      <c r="CF13" s="95"/>
      <c r="CG13" s="17"/>
      <c r="CH13" s="17"/>
      <c r="CI13" s="17"/>
      <c r="CJ13" s="20"/>
      <c r="CK13" s="92"/>
      <c r="CL13" s="93"/>
      <c r="CM13" s="92"/>
      <c r="CN13" s="94"/>
      <c r="CO13" s="95"/>
      <c r="CP13" s="17"/>
      <c r="CQ13" s="17"/>
      <c r="CR13" s="17"/>
      <c r="CS13" s="20"/>
      <c r="CT13" s="92"/>
      <c r="CU13" s="93"/>
      <c r="CV13" s="96"/>
      <c r="CW13" s="94"/>
      <c r="CX13" s="95"/>
      <c r="CY13" s="17"/>
      <c r="CZ13" s="17"/>
      <c r="DA13" s="17"/>
      <c r="DB13" s="20"/>
      <c r="DC13" s="92"/>
      <c r="DD13" s="93"/>
      <c r="DE13" s="92"/>
      <c r="DF13" s="94"/>
      <c r="DG13" s="95"/>
      <c r="DH13" s="17"/>
      <c r="DI13" s="17"/>
      <c r="DJ13" s="17"/>
      <c r="DK13" s="20"/>
      <c r="DL13" s="92"/>
      <c r="DM13" s="93"/>
      <c r="DN13" s="92"/>
      <c r="DO13" s="94"/>
      <c r="DP13" s="95"/>
      <c r="DQ13" s="17"/>
      <c r="DR13" s="17"/>
      <c r="DS13" s="17"/>
      <c r="DT13" s="20"/>
      <c r="DU13" s="92"/>
      <c r="DV13" s="93"/>
      <c r="DW13" s="92"/>
      <c r="DX13" s="94"/>
      <c r="DY13" s="95"/>
      <c r="DZ13" s="17"/>
      <c r="EA13" s="17"/>
      <c r="EB13" s="17"/>
      <c r="EC13" s="20"/>
      <c r="ED13" s="92"/>
      <c r="EE13" s="93"/>
      <c r="EF13" s="92"/>
      <c r="EG13" s="94"/>
      <c r="EH13" s="95"/>
      <c r="EI13" s="17"/>
      <c r="EJ13" s="17"/>
      <c r="EK13" s="17"/>
      <c r="EL13" s="20"/>
      <c r="EM13" s="92"/>
      <c r="EN13" s="93"/>
      <c r="EO13" s="92"/>
      <c r="EP13" s="94"/>
      <c r="EQ13" s="95"/>
      <c r="ER13" s="17"/>
      <c r="ES13" s="17"/>
      <c r="ET13" s="17"/>
      <c r="EU13" s="20"/>
      <c r="EV13" s="92"/>
      <c r="EW13" s="93"/>
      <c r="EX13" s="92"/>
      <c r="EY13" s="94"/>
      <c r="EZ13" s="95"/>
      <c r="FA13" s="17"/>
      <c r="FB13" s="17"/>
      <c r="FC13" s="17"/>
      <c r="FD13" s="20"/>
      <c r="FE13" s="92"/>
      <c r="FF13" s="93"/>
      <c r="FG13" s="92"/>
      <c r="FH13" s="94"/>
      <c r="FI13" s="95"/>
      <c r="FJ13" s="17"/>
      <c r="FK13" s="17"/>
      <c r="FL13" s="17"/>
      <c r="FM13" s="20"/>
      <c r="FN13" s="92"/>
      <c r="FO13" s="93"/>
      <c r="FP13" s="92"/>
      <c r="FQ13" s="94"/>
      <c r="FR13" s="95"/>
      <c r="FS13" s="17"/>
      <c r="FT13" s="17"/>
      <c r="FU13" s="17"/>
      <c r="FV13" s="20"/>
      <c r="FW13" s="92"/>
      <c r="FX13" s="93"/>
      <c r="FY13" s="92"/>
      <c r="FZ13" s="94"/>
      <c r="GA13" s="95"/>
      <c r="GB13" s="17"/>
      <c r="GC13" s="17"/>
      <c r="GD13" s="17"/>
      <c r="GE13" s="20"/>
      <c r="GF13" s="92"/>
      <c r="GG13" s="93"/>
      <c r="GH13" s="92"/>
      <c r="GI13" s="94"/>
      <c r="GJ13" s="95"/>
      <c r="GK13" s="17"/>
      <c r="GL13" s="17"/>
      <c r="GM13" s="17"/>
      <c r="GN13" s="20"/>
      <c r="GO13" s="92"/>
      <c r="GP13" s="93"/>
      <c r="GQ13" s="92"/>
      <c r="GR13" s="94"/>
      <c r="GS13" s="95"/>
      <c r="GT13" s="97">
        <v>42947</v>
      </c>
      <c r="GU13" s="549">
        <v>19800</v>
      </c>
      <c r="GV13" s="550" t="s">
        <v>997</v>
      </c>
      <c r="GW13" s="74"/>
      <c r="GX13" s="74"/>
      <c r="GY13" s="389" t="s">
        <v>692</v>
      </c>
      <c r="GZ13" s="404">
        <v>4408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559</v>
      </c>
      <c r="K14" s="407" t="s">
        <v>85</v>
      </c>
      <c r="L14" s="110">
        <v>20920</v>
      </c>
      <c r="M14" s="71">
        <v>42926</v>
      </c>
      <c r="N14" s="380" t="s">
        <v>657</v>
      </c>
      <c r="O14" s="72">
        <v>26245</v>
      </c>
      <c r="P14" s="60">
        <f t="shared" si="0"/>
        <v>5325</v>
      </c>
      <c r="Q14" s="64">
        <v>30.5</v>
      </c>
      <c r="R14" s="905"/>
      <c r="S14" s="906"/>
      <c r="T14" s="39">
        <f t="shared" si="1"/>
        <v>800472.5</v>
      </c>
      <c r="U14" s="352" t="s">
        <v>612</v>
      </c>
      <c r="V14" s="353">
        <v>42950</v>
      </c>
      <c r="W14" s="354">
        <v>17266.599999999999</v>
      </c>
      <c r="X14" s="355"/>
      <c r="Y14" s="356"/>
      <c r="Z14" s="357"/>
      <c r="AA14" s="358"/>
      <c r="AB14" s="357"/>
      <c r="AC14" s="359"/>
      <c r="AD14" s="360"/>
      <c r="AE14" s="355"/>
      <c r="AF14" s="355"/>
      <c r="AG14" s="355"/>
      <c r="AH14" s="356"/>
      <c r="AI14" s="357"/>
      <c r="AJ14" s="358"/>
      <c r="AK14" s="357"/>
      <c r="AL14" s="359"/>
      <c r="AM14" s="360"/>
      <c r="AN14" s="355"/>
      <c r="AO14" s="355"/>
      <c r="AP14" s="355"/>
      <c r="AQ14" s="356"/>
      <c r="AR14" s="357"/>
      <c r="AS14" s="358"/>
      <c r="AT14" s="357"/>
      <c r="AU14" s="359"/>
      <c r="AV14" s="360"/>
      <c r="AW14" s="355"/>
      <c r="AX14" s="355"/>
      <c r="AY14" s="355"/>
      <c r="AZ14" s="356"/>
      <c r="BA14" s="357"/>
      <c r="BB14" s="358"/>
      <c r="BC14" s="357"/>
      <c r="BD14" s="359"/>
      <c r="BE14" s="360"/>
      <c r="BF14" s="355"/>
      <c r="BG14" s="355"/>
      <c r="BH14" s="355"/>
      <c r="BI14" s="356"/>
      <c r="BJ14" s="357"/>
      <c r="BK14" s="358"/>
      <c r="BL14" s="357"/>
      <c r="BM14" s="359"/>
      <c r="BN14" s="360"/>
      <c r="BO14" s="355"/>
      <c r="BP14" s="355"/>
      <c r="BQ14" s="355"/>
      <c r="BR14" s="356"/>
      <c r="BS14" s="357"/>
      <c r="BT14" s="358"/>
      <c r="BU14" s="357"/>
      <c r="BV14" s="359"/>
      <c r="BW14" s="360"/>
      <c r="BX14" s="355"/>
      <c r="BY14" s="355"/>
      <c r="BZ14" s="355"/>
      <c r="CA14" s="356"/>
      <c r="CB14" s="357"/>
      <c r="CC14" s="358"/>
      <c r="CD14" s="357"/>
      <c r="CE14" s="359"/>
      <c r="CF14" s="360"/>
      <c r="CG14" s="355"/>
      <c r="CH14" s="355"/>
      <c r="CI14" s="355"/>
      <c r="CJ14" s="356"/>
      <c r="CK14" s="357"/>
      <c r="CL14" s="358"/>
      <c r="CM14" s="357"/>
      <c r="CN14" s="359"/>
      <c r="CO14" s="360"/>
      <c r="CP14" s="355"/>
      <c r="CQ14" s="355"/>
      <c r="CR14" s="355"/>
      <c r="CS14" s="356"/>
      <c r="CT14" s="357"/>
      <c r="CU14" s="358"/>
      <c r="CV14" s="361"/>
      <c r="CW14" s="359"/>
      <c r="CX14" s="360"/>
      <c r="CY14" s="355"/>
      <c r="CZ14" s="355"/>
      <c r="DA14" s="355"/>
      <c r="DB14" s="356"/>
      <c r="DC14" s="357"/>
      <c r="DD14" s="358"/>
      <c r="DE14" s="357"/>
      <c r="DF14" s="359"/>
      <c r="DG14" s="360"/>
      <c r="DH14" s="355"/>
      <c r="DI14" s="355"/>
      <c r="DJ14" s="355"/>
      <c r="DK14" s="356"/>
      <c r="DL14" s="357"/>
      <c r="DM14" s="358"/>
      <c r="DN14" s="357"/>
      <c r="DO14" s="359"/>
      <c r="DP14" s="360"/>
      <c r="DQ14" s="355"/>
      <c r="DR14" s="355"/>
      <c r="DS14" s="355"/>
      <c r="DT14" s="356"/>
      <c r="DU14" s="357"/>
      <c r="DV14" s="358"/>
      <c r="DW14" s="357"/>
      <c r="DX14" s="359"/>
      <c r="DY14" s="360"/>
      <c r="DZ14" s="355"/>
      <c r="EA14" s="355"/>
      <c r="EB14" s="355"/>
      <c r="EC14" s="356"/>
      <c r="ED14" s="357"/>
      <c r="EE14" s="358"/>
      <c r="EF14" s="357"/>
      <c r="EG14" s="359"/>
      <c r="EH14" s="360"/>
      <c r="EI14" s="355"/>
      <c r="EJ14" s="355"/>
      <c r="EK14" s="355"/>
      <c r="EL14" s="356"/>
      <c r="EM14" s="357"/>
      <c r="EN14" s="358"/>
      <c r="EO14" s="357"/>
      <c r="EP14" s="359"/>
      <c r="EQ14" s="360"/>
      <c r="ER14" s="355"/>
      <c r="ES14" s="355"/>
      <c r="ET14" s="355"/>
      <c r="EU14" s="356"/>
      <c r="EV14" s="357"/>
      <c r="EW14" s="358"/>
      <c r="EX14" s="357"/>
      <c r="EY14" s="359"/>
      <c r="EZ14" s="360"/>
      <c r="FA14" s="355"/>
      <c r="FB14" s="355"/>
      <c r="FC14" s="355"/>
      <c r="FD14" s="356"/>
      <c r="FE14" s="357"/>
      <c r="FF14" s="358"/>
      <c r="FG14" s="357"/>
      <c r="FH14" s="359"/>
      <c r="FI14" s="360"/>
      <c r="FJ14" s="355"/>
      <c r="FK14" s="355"/>
      <c r="FL14" s="355"/>
      <c r="FM14" s="356"/>
      <c r="FN14" s="357"/>
      <c r="FO14" s="358"/>
      <c r="FP14" s="357"/>
      <c r="FQ14" s="359"/>
      <c r="FR14" s="360"/>
      <c r="FS14" s="355"/>
      <c r="FT14" s="355"/>
      <c r="FU14" s="355"/>
      <c r="FV14" s="356"/>
      <c r="FW14" s="357"/>
      <c r="FX14" s="358"/>
      <c r="FY14" s="357"/>
      <c r="FZ14" s="359"/>
      <c r="GA14" s="360"/>
      <c r="GB14" s="355"/>
      <c r="GC14" s="355"/>
      <c r="GD14" s="355"/>
      <c r="GE14" s="356"/>
      <c r="GF14" s="357"/>
      <c r="GG14" s="358"/>
      <c r="GH14" s="357"/>
      <c r="GI14" s="359"/>
      <c r="GJ14" s="360"/>
      <c r="GK14" s="355"/>
      <c r="GL14" s="355"/>
      <c r="GM14" s="355"/>
      <c r="GN14" s="356"/>
      <c r="GO14" s="357"/>
      <c r="GP14" s="358"/>
      <c r="GQ14" s="357"/>
      <c r="GR14" s="359"/>
      <c r="GS14" s="360"/>
      <c r="GT14" s="362">
        <v>42950</v>
      </c>
      <c r="GU14" s="114">
        <v>22176</v>
      </c>
      <c r="GV14" s="65" t="s">
        <v>603</v>
      </c>
      <c r="GW14" s="74"/>
      <c r="GX14" s="74"/>
      <c r="GY14" s="391" t="s">
        <v>692</v>
      </c>
      <c r="GZ14" s="404">
        <v>4408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68" t="s">
        <v>45</v>
      </c>
      <c r="K15" s="407" t="s">
        <v>562</v>
      </c>
      <c r="L15" s="110">
        <v>22340</v>
      </c>
      <c r="M15" s="71">
        <v>42927</v>
      </c>
      <c r="N15" s="380" t="s">
        <v>658</v>
      </c>
      <c r="O15" s="72">
        <v>27485</v>
      </c>
      <c r="P15" s="113">
        <f t="shared" si="0"/>
        <v>5145</v>
      </c>
      <c r="Q15" s="64">
        <v>30.5</v>
      </c>
      <c r="R15" s="64"/>
      <c r="S15" s="64"/>
      <c r="T15" s="39">
        <f t="shared" si="1"/>
        <v>838292.5</v>
      </c>
      <c r="U15" s="352" t="s">
        <v>612</v>
      </c>
      <c r="V15" s="353">
        <v>42951</v>
      </c>
      <c r="W15" s="354">
        <v>16211</v>
      </c>
      <c r="X15" s="355"/>
      <c r="Y15" s="356"/>
      <c r="Z15" s="357"/>
      <c r="AA15" s="358"/>
      <c r="AB15" s="357"/>
      <c r="AC15" s="359"/>
      <c r="AD15" s="360"/>
      <c r="AE15" s="355"/>
      <c r="AF15" s="355"/>
      <c r="AG15" s="355"/>
      <c r="AH15" s="356"/>
      <c r="AI15" s="357"/>
      <c r="AJ15" s="358"/>
      <c r="AK15" s="357"/>
      <c r="AL15" s="359"/>
      <c r="AM15" s="360"/>
      <c r="AN15" s="355"/>
      <c r="AO15" s="355"/>
      <c r="AP15" s="355"/>
      <c r="AQ15" s="356"/>
      <c r="AR15" s="357"/>
      <c r="AS15" s="358"/>
      <c r="AT15" s="357"/>
      <c r="AU15" s="359"/>
      <c r="AV15" s="360"/>
      <c r="AW15" s="355"/>
      <c r="AX15" s="355"/>
      <c r="AY15" s="355"/>
      <c r="AZ15" s="356"/>
      <c r="BA15" s="357"/>
      <c r="BB15" s="358"/>
      <c r="BC15" s="357"/>
      <c r="BD15" s="359"/>
      <c r="BE15" s="360"/>
      <c r="BF15" s="355"/>
      <c r="BG15" s="355"/>
      <c r="BH15" s="355"/>
      <c r="BI15" s="356"/>
      <c r="BJ15" s="357"/>
      <c r="BK15" s="358"/>
      <c r="BL15" s="357"/>
      <c r="BM15" s="359"/>
      <c r="BN15" s="360"/>
      <c r="BO15" s="355"/>
      <c r="BP15" s="355"/>
      <c r="BQ15" s="355"/>
      <c r="BR15" s="356"/>
      <c r="BS15" s="357"/>
      <c r="BT15" s="358"/>
      <c r="BU15" s="357"/>
      <c r="BV15" s="359"/>
      <c r="BW15" s="360"/>
      <c r="BX15" s="355"/>
      <c r="BY15" s="355"/>
      <c r="BZ15" s="355"/>
      <c r="CA15" s="356"/>
      <c r="CB15" s="357"/>
      <c r="CC15" s="358"/>
      <c r="CD15" s="357"/>
      <c r="CE15" s="359"/>
      <c r="CF15" s="360"/>
      <c r="CG15" s="355"/>
      <c r="CH15" s="355"/>
      <c r="CI15" s="355"/>
      <c r="CJ15" s="356"/>
      <c r="CK15" s="357"/>
      <c r="CL15" s="358"/>
      <c r="CM15" s="357"/>
      <c r="CN15" s="359"/>
      <c r="CO15" s="360"/>
      <c r="CP15" s="355"/>
      <c r="CQ15" s="355"/>
      <c r="CR15" s="355"/>
      <c r="CS15" s="356"/>
      <c r="CT15" s="357"/>
      <c r="CU15" s="358"/>
      <c r="CV15" s="361"/>
      <c r="CW15" s="359"/>
      <c r="CX15" s="360"/>
      <c r="CY15" s="355"/>
      <c r="CZ15" s="355"/>
      <c r="DA15" s="355"/>
      <c r="DB15" s="356"/>
      <c r="DC15" s="357"/>
      <c r="DD15" s="358"/>
      <c r="DE15" s="357"/>
      <c r="DF15" s="359"/>
      <c r="DG15" s="360"/>
      <c r="DH15" s="355"/>
      <c r="DI15" s="355"/>
      <c r="DJ15" s="355"/>
      <c r="DK15" s="356"/>
      <c r="DL15" s="357"/>
      <c r="DM15" s="358"/>
      <c r="DN15" s="357"/>
      <c r="DO15" s="359"/>
      <c r="DP15" s="360"/>
      <c r="DQ15" s="355"/>
      <c r="DR15" s="355"/>
      <c r="DS15" s="355"/>
      <c r="DT15" s="356"/>
      <c r="DU15" s="357"/>
      <c r="DV15" s="358"/>
      <c r="DW15" s="357"/>
      <c r="DX15" s="359"/>
      <c r="DY15" s="360"/>
      <c r="DZ15" s="355"/>
      <c r="EA15" s="355"/>
      <c r="EB15" s="355"/>
      <c r="EC15" s="356"/>
      <c r="ED15" s="357"/>
      <c r="EE15" s="358"/>
      <c r="EF15" s="357"/>
      <c r="EG15" s="359"/>
      <c r="EH15" s="360"/>
      <c r="EI15" s="355"/>
      <c r="EJ15" s="355"/>
      <c r="EK15" s="355"/>
      <c r="EL15" s="356"/>
      <c r="EM15" s="357"/>
      <c r="EN15" s="358"/>
      <c r="EO15" s="357"/>
      <c r="EP15" s="359"/>
      <c r="EQ15" s="360"/>
      <c r="ER15" s="355"/>
      <c r="ES15" s="355"/>
      <c r="ET15" s="355"/>
      <c r="EU15" s="356"/>
      <c r="EV15" s="357"/>
      <c r="EW15" s="358"/>
      <c r="EX15" s="357"/>
      <c r="EY15" s="359"/>
      <c r="EZ15" s="360"/>
      <c r="FA15" s="355"/>
      <c r="FB15" s="355"/>
      <c r="FC15" s="355"/>
      <c r="FD15" s="356"/>
      <c r="FE15" s="357"/>
      <c r="FF15" s="358"/>
      <c r="FG15" s="357"/>
      <c r="FH15" s="359"/>
      <c r="FI15" s="360"/>
      <c r="FJ15" s="355"/>
      <c r="FK15" s="355"/>
      <c r="FL15" s="355"/>
      <c r="FM15" s="356"/>
      <c r="FN15" s="357"/>
      <c r="FO15" s="358"/>
      <c r="FP15" s="357"/>
      <c r="FQ15" s="359"/>
      <c r="FR15" s="360"/>
      <c r="FS15" s="355"/>
      <c r="FT15" s="355"/>
      <c r="FU15" s="355"/>
      <c r="FV15" s="356"/>
      <c r="FW15" s="357"/>
      <c r="FX15" s="358"/>
      <c r="FY15" s="357"/>
      <c r="FZ15" s="359"/>
      <c r="GA15" s="360"/>
      <c r="GB15" s="355"/>
      <c r="GC15" s="355"/>
      <c r="GD15" s="355"/>
      <c r="GE15" s="356"/>
      <c r="GF15" s="357"/>
      <c r="GG15" s="358"/>
      <c r="GH15" s="357"/>
      <c r="GI15" s="359"/>
      <c r="GJ15" s="360"/>
      <c r="GK15" s="355"/>
      <c r="GL15" s="355"/>
      <c r="GM15" s="355"/>
      <c r="GN15" s="356"/>
      <c r="GO15" s="357"/>
      <c r="GP15" s="358"/>
      <c r="GQ15" s="357"/>
      <c r="GR15" s="359"/>
      <c r="GS15" s="360"/>
      <c r="GT15" s="362">
        <v>42951</v>
      </c>
      <c r="GU15" s="549">
        <v>19800</v>
      </c>
      <c r="GV15" s="550" t="s">
        <v>997</v>
      </c>
      <c r="GW15" s="74"/>
      <c r="GX15" s="74"/>
      <c r="GY15" s="391" t="s">
        <v>692</v>
      </c>
      <c r="GZ15" s="404">
        <v>4408</v>
      </c>
    </row>
    <row r="16" spans="1:208" ht="30" x14ac:dyDescent="0.25">
      <c r="C16" s="87"/>
      <c r="D16" s="35"/>
      <c r="E16" s="36"/>
      <c r="F16" s="37"/>
      <c r="G16" s="38"/>
      <c r="H16" s="39"/>
      <c r="I16" s="40"/>
      <c r="J16" s="455" t="s">
        <v>33</v>
      </c>
      <c r="K16" s="407" t="s">
        <v>40</v>
      </c>
      <c r="L16" s="110">
        <v>18780</v>
      </c>
      <c r="M16" s="71">
        <v>42928</v>
      </c>
      <c r="N16" s="548" t="s">
        <v>666</v>
      </c>
      <c r="O16" s="72">
        <v>23815</v>
      </c>
      <c r="P16" s="113">
        <f t="shared" si="0"/>
        <v>5035</v>
      </c>
      <c r="Q16" s="64">
        <v>30.5</v>
      </c>
      <c r="R16" s="64"/>
      <c r="S16" s="64"/>
      <c r="T16" s="39">
        <f t="shared" si="1"/>
        <v>726357.5</v>
      </c>
      <c r="U16" s="352" t="s">
        <v>612</v>
      </c>
      <c r="V16" s="353">
        <v>42954</v>
      </c>
      <c r="W16" s="546">
        <f>1658.8+14929.2</f>
        <v>16588</v>
      </c>
      <c r="X16" s="355"/>
      <c r="Y16" s="356"/>
      <c r="Z16" s="357"/>
      <c r="AA16" s="358"/>
      <c r="AB16" s="357"/>
      <c r="AC16" s="359"/>
      <c r="AD16" s="360"/>
      <c r="AE16" s="355"/>
      <c r="AF16" s="355"/>
      <c r="AG16" s="355"/>
      <c r="AH16" s="356"/>
      <c r="AI16" s="357"/>
      <c r="AJ16" s="358"/>
      <c r="AK16" s="357"/>
      <c r="AL16" s="359"/>
      <c r="AM16" s="360"/>
      <c r="AN16" s="355"/>
      <c r="AO16" s="355"/>
      <c r="AP16" s="355"/>
      <c r="AQ16" s="356"/>
      <c r="AR16" s="357"/>
      <c r="AS16" s="358"/>
      <c r="AT16" s="357"/>
      <c r="AU16" s="359"/>
      <c r="AV16" s="360"/>
      <c r="AW16" s="355"/>
      <c r="AX16" s="355"/>
      <c r="AY16" s="355"/>
      <c r="AZ16" s="356"/>
      <c r="BA16" s="357"/>
      <c r="BB16" s="358"/>
      <c r="BC16" s="357"/>
      <c r="BD16" s="359"/>
      <c r="BE16" s="360"/>
      <c r="BF16" s="355"/>
      <c r="BG16" s="355"/>
      <c r="BH16" s="355"/>
      <c r="BI16" s="356"/>
      <c r="BJ16" s="357"/>
      <c r="BK16" s="358"/>
      <c r="BL16" s="357"/>
      <c r="BM16" s="359"/>
      <c r="BN16" s="360"/>
      <c r="BO16" s="355"/>
      <c r="BP16" s="355"/>
      <c r="BQ16" s="355"/>
      <c r="BR16" s="356"/>
      <c r="BS16" s="357"/>
      <c r="BT16" s="358"/>
      <c r="BU16" s="357"/>
      <c r="BV16" s="359"/>
      <c r="BW16" s="360"/>
      <c r="BX16" s="355"/>
      <c r="BY16" s="355"/>
      <c r="BZ16" s="355"/>
      <c r="CA16" s="356"/>
      <c r="CB16" s="357"/>
      <c r="CC16" s="358"/>
      <c r="CD16" s="357"/>
      <c r="CE16" s="359"/>
      <c r="CF16" s="360"/>
      <c r="CG16" s="355"/>
      <c r="CH16" s="355"/>
      <c r="CI16" s="355"/>
      <c r="CJ16" s="356"/>
      <c r="CK16" s="357"/>
      <c r="CL16" s="358"/>
      <c r="CM16" s="357"/>
      <c r="CN16" s="359"/>
      <c r="CO16" s="360"/>
      <c r="CP16" s="355"/>
      <c r="CQ16" s="355"/>
      <c r="CR16" s="355"/>
      <c r="CS16" s="356"/>
      <c r="CT16" s="357"/>
      <c r="CU16" s="358"/>
      <c r="CV16" s="361"/>
      <c r="CW16" s="359"/>
      <c r="CX16" s="360"/>
      <c r="CY16" s="355"/>
      <c r="CZ16" s="355"/>
      <c r="DA16" s="355"/>
      <c r="DB16" s="356"/>
      <c r="DC16" s="357"/>
      <c r="DD16" s="358"/>
      <c r="DE16" s="357"/>
      <c r="DF16" s="359"/>
      <c r="DG16" s="360"/>
      <c r="DH16" s="355"/>
      <c r="DI16" s="355"/>
      <c r="DJ16" s="355"/>
      <c r="DK16" s="356"/>
      <c r="DL16" s="357"/>
      <c r="DM16" s="358"/>
      <c r="DN16" s="357"/>
      <c r="DO16" s="359"/>
      <c r="DP16" s="360"/>
      <c r="DQ16" s="355"/>
      <c r="DR16" s="355"/>
      <c r="DS16" s="355"/>
      <c r="DT16" s="356"/>
      <c r="DU16" s="357"/>
      <c r="DV16" s="358"/>
      <c r="DW16" s="357"/>
      <c r="DX16" s="359"/>
      <c r="DY16" s="360"/>
      <c r="DZ16" s="355"/>
      <c r="EA16" s="355"/>
      <c r="EB16" s="355"/>
      <c r="EC16" s="356"/>
      <c r="ED16" s="357"/>
      <c r="EE16" s="358"/>
      <c r="EF16" s="357"/>
      <c r="EG16" s="359"/>
      <c r="EH16" s="360"/>
      <c r="EI16" s="355"/>
      <c r="EJ16" s="355"/>
      <c r="EK16" s="355"/>
      <c r="EL16" s="356"/>
      <c r="EM16" s="357"/>
      <c r="EN16" s="358"/>
      <c r="EO16" s="357"/>
      <c r="EP16" s="359"/>
      <c r="EQ16" s="360"/>
      <c r="ER16" s="355"/>
      <c r="ES16" s="355"/>
      <c r="ET16" s="355"/>
      <c r="EU16" s="356"/>
      <c r="EV16" s="357"/>
      <c r="EW16" s="358"/>
      <c r="EX16" s="357"/>
      <c r="EY16" s="359"/>
      <c r="EZ16" s="360"/>
      <c r="FA16" s="355"/>
      <c r="FB16" s="355"/>
      <c r="FC16" s="355"/>
      <c r="FD16" s="356"/>
      <c r="FE16" s="357"/>
      <c r="FF16" s="358"/>
      <c r="FG16" s="357"/>
      <c r="FH16" s="359"/>
      <c r="FI16" s="360"/>
      <c r="FJ16" s="355"/>
      <c r="FK16" s="355"/>
      <c r="FL16" s="355"/>
      <c r="FM16" s="356"/>
      <c r="FN16" s="357"/>
      <c r="FO16" s="358"/>
      <c r="FP16" s="357"/>
      <c r="FQ16" s="359"/>
      <c r="FR16" s="360"/>
      <c r="FS16" s="355"/>
      <c r="FT16" s="355"/>
      <c r="FU16" s="355"/>
      <c r="FV16" s="356"/>
      <c r="FW16" s="357"/>
      <c r="FX16" s="358"/>
      <c r="FY16" s="357"/>
      <c r="FZ16" s="359"/>
      <c r="GA16" s="360"/>
      <c r="GB16" s="355"/>
      <c r="GC16" s="355"/>
      <c r="GD16" s="355"/>
      <c r="GE16" s="356"/>
      <c r="GF16" s="357"/>
      <c r="GG16" s="358"/>
      <c r="GH16" s="357"/>
      <c r="GI16" s="359"/>
      <c r="GJ16" s="360"/>
      <c r="GK16" s="355"/>
      <c r="GL16" s="355"/>
      <c r="GM16" s="355"/>
      <c r="GN16" s="356"/>
      <c r="GO16" s="357"/>
      <c r="GP16" s="358"/>
      <c r="GQ16" s="357"/>
      <c r="GR16" s="359"/>
      <c r="GS16" s="360"/>
      <c r="GT16" s="547" t="s">
        <v>667</v>
      </c>
      <c r="GU16" s="98">
        <v>22176</v>
      </c>
      <c r="GV16" s="65" t="s">
        <v>604</v>
      </c>
      <c r="GW16" s="74"/>
      <c r="GX16" s="74"/>
      <c r="GY16" s="391" t="s">
        <v>692</v>
      </c>
      <c r="GZ16" s="404">
        <v>4408</v>
      </c>
    </row>
    <row r="17" spans="1:209" x14ac:dyDescent="0.25">
      <c r="C17" s="87"/>
      <c r="D17" s="35"/>
      <c r="E17" s="36"/>
      <c r="F17" s="37"/>
      <c r="G17" s="38"/>
      <c r="H17" s="39"/>
      <c r="I17" s="40"/>
      <c r="J17" s="455" t="s">
        <v>563</v>
      </c>
      <c r="K17" s="407" t="s">
        <v>315</v>
      </c>
      <c r="L17" s="110">
        <v>21750</v>
      </c>
      <c r="M17" s="71">
        <v>42929</v>
      </c>
      <c r="N17" s="380" t="s">
        <v>664</v>
      </c>
      <c r="O17" s="72">
        <v>27265</v>
      </c>
      <c r="P17" s="113">
        <v>0</v>
      </c>
      <c r="Q17" s="64">
        <v>30.5</v>
      </c>
      <c r="R17" s="905"/>
      <c r="S17" s="906"/>
      <c r="T17" s="39">
        <f t="shared" si="1"/>
        <v>831582.5</v>
      </c>
      <c r="U17" s="352" t="s">
        <v>612</v>
      </c>
      <c r="V17" s="353">
        <v>42954</v>
      </c>
      <c r="W17" s="354">
        <v>18774.599999999999</v>
      </c>
      <c r="X17" s="355"/>
      <c r="Y17" s="356"/>
      <c r="Z17" s="357"/>
      <c r="AA17" s="358"/>
      <c r="AB17" s="357"/>
      <c r="AC17" s="359"/>
      <c r="AD17" s="360"/>
      <c r="AE17" s="355"/>
      <c r="AF17" s="355"/>
      <c r="AG17" s="355"/>
      <c r="AH17" s="356"/>
      <c r="AI17" s="357"/>
      <c r="AJ17" s="358"/>
      <c r="AK17" s="357"/>
      <c r="AL17" s="359"/>
      <c r="AM17" s="360"/>
      <c r="AN17" s="355"/>
      <c r="AO17" s="355"/>
      <c r="AP17" s="355"/>
      <c r="AQ17" s="356"/>
      <c r="AR17" s="357"/>
      <c r="AS17" s="358"/>
      <c r="AT17" s="357"/>
      <c r="AU17" s="359"/>
      <c r="AV17" s="360"/>
      <c r="AW17" s="355"/>
      <c r="AX17" s="355"/>
      <c r="AY17" s="355"/>
      <c r="AZ17" s="356"/>
      <c r="BA17" s="357"/>
      <c r="BB17" s="358"/>
      <c r="BC17" s="357"/>
      <c r="BD17" s="359"/>
      <c r="BE17" s="360"/>
      <c r="BF17" s="355"/>
      <c r="BG17" s="355"/>
      <c r="BH17" s="355"/>
      <c r="BI17" s="356"/>
      <c r="BJ17" s="357"/>
      <c r="BK17" s="358"/>
      <c r="BL17" s="357"/>
      <c r="BM17" s="359"/>
      <c r="BN17" s="360"/>
      <c r="BO17" s="355"/>
      <c r="BP17" s="355"/>
      <c r="BQ17" s="355"/>
      <c r="BR17" s="356"/>
      <c r="BS17" s="357"/>
      <c r="BT17" s="358"/>
      <c r="BU17" s="357"/>
      <c r="BV17" s="359"/>
      <c r="BW17" s="360"/>
      <c r="BX17" s="355"/>
      <c r="BY17" s="355"/>
      <c r="BZ17" s="355"/>
      <c r="CA17" s="356"/>
      <c r="CB17" s="357"/>
      <c r="CC17" s="358"/>
      <c r="CD17" s="357"/>
      <c r="CE17" s="359"/>
      <c r="CF17" s="360"/>
      <c r="CG17" s="355"/>
      <c r="CH17" s="355"/>
      <c r="CI17" s="355"/>
      <c r="CJ17" s="356"/>
      <c r="CK17" s="357"/>
      <c r="CL17" s="358"/>
      <c r="CM17" s="357"/>
      <c r="CN17" s="359"/>
      <c r="CO17" s="360"/>
      <c r="CP17" s="355"/>
      <c r="CQ17" s="355"/>
      <c r="CR17" s="355"/>
      <c r="CS17" s="356"/>
      <c r="CT17" s="357"/>
      <c r="CU17" s="358"/>
      <c r="CV17" s="361"/>
      <c r="CW17" s="359"/>
      <c r="CX17" s="360"/>
      <c r="CY17" s="355"/>
      <c r="CZ17" s="355"/>
      <c r="DA17" s="355"/>
      <c r="DB17" s="356"/>
      <c r="DC17" s="357"/>
      <c r="DD17" s="358"/>
      <c r="DE17" s="357"/>
      <c r="DF17" s="359"/>
      <c r="DG17" s="360"/>
      <c r="DH17" s="355"/>
      <c r="DI17" s="355"/>
      <c r="DJ17" s="355"/>
      <c r="DK17" s="356"/>
      <c r="DL17" s="357"/>
      <c r="DM17" s="358"/>
      <c r="DN17" s="357"/>
      <c r="DO17" s="359"/>
      <c r="DP17" s="360"/>
      <c r="DQ17" s="355"/>
      <c r="DR17" s="355"/>
      <c r="DS17" s="355"/>
      <c r="DT17" s="356"/>
      <c r="DU17" s="357"/>
      <c r="DV17" s="358"/>
      <c r="DW17" s="357"/>
      <c r="DX17" s="359"/>
      <c r="DY17" s="360"/>
      <c r="DZ17" s="355"/>
      <c r="EA17" s="355"/>
      <c r="EB17" s="355"/>
      <c r="EC17" s="356"/>
      <c r="ED17" s="357"/>
      <c r="EE17" s="358"/>
      <c r="EF17" s="357"/>
      <c r="EG17" s="359"/>
      <c r="EH17" s="360"/>
      <c r="EI17" s="355"/>
      <c r="EJ17" s="355"/>
      <c r="EK17" s="355"/>
      <c r="EL17" s="356"/>
      <c r="EM17" s="357"/>
      <c r="EN17" s="358"/>
      <c r="EO17" s="357"/>
      <c r="EP17" s="359"/>
      <c r="EQ17" s="360"/>
      <c r="ER17" s="355"/>
      <c r="ES17" s="355"/>
      <c r="ET17" s="355"/>
      <c r="EU17" s="356"/>
      <c r="EV17" s="357"/>
      <c r="EW17" s="358"/>
      <c r="EX17" s="357"/>
      <c r="EY17" s="359"/>
      <c r="EZ17" s="360"/>
      <c r="FA17" s="355"/>
      <c r="FB17" s="355"/>
      <c r="FC17" s="355"/>
      <c r="FD17" s="356"/>
      <c r="FE17" s="357"/>
      <c r="FF17" s="358"/>
      <c r="FG17" s="357"/>
      <c r="FH17" s="359"/>
      <c r="FI17" s="360"/>
      <c r="FJ17" s="355"/>
      <c r="FK17" s="355"/>
      <c r="FL17" s="355"/>
      <c r="FM17" s="356"/>
      <c r="FN17" s="357"/>
      <c r="FO17" s="358"/>
      <c r="FP17" s="357"/>
      <c r="FQ17" s="359"/>
      <c r="FR17" s="360"/>
      <c r="FS17" s="355"/>
      <c r="FT17" s="355"/>
      <c r="FU17" s="355"/>
      <c r="FV17" s="356"/>
      <c r="FW17" s="357"/>
      <c r="FX17" s="358"/>
      <c r="FY17" s="357"/>
      <c r="FZ17" s="359"/>
      <c r="GA17" s="360"/>
      <c r="GB17" s="355"/>
      <c r="GC17" s="355"/>
      <c r="GD17" s="355"/>
      <c r="GE17" s="356"/>
      <c r="GF17" s="357"/>
      <c r="GG17" s="358"/>
      <c r="GH17" s="357"/>
      <c r="GI17" s="359"/>
      <c r="GJ17" s="360"/>
      <c r="GK17" s="355"/>
      <c r="GL17" s="355"/>
      <c r="GM17" s="355"/>
      <c r="GN17" s="356"/>
      <c r="GO17" s="357"/>
      <c r="GP17" s="358"/>
      <c r="GQ17" s="357"/>
      <c r="GR17" s="359"/>
      <c r="GS17" s="360"/>
      <c r="GT17" s="362">
        <v>42954</v>
      </c>
      <c r="GU17" s="549">
        <v>19800</v>
      </c>
      <c r="GV17" s="550" t="s">
        <v>997</v>
      </c>
      <c r="GW17" s="74"/>
      <c r="GX17" s="74"/>
      <c r="GY17" s="391" t="s">
        <v>692</v>
      </c>
      <c r="GZ17" s="67">
        <v>4408</v>
      </c>
    </row>
    <row r="18" spans="1:209" x14ac:dyDescent="0.25">
      <c r="C18" s="87"/>
      <c r="D18" s="35"/>
      <c r="E18" s="36"/>
      <c r="F18" s="37"/>
      <c r="G18" s="38"/>
      <c r="H18" s="39"/>
      <c r="I18" s="40"/>
      <c r="J18" s="68" t="s">
        <v>564</v>
      </c>
      <c r="K18" s="407" t="s">
        <v>65</v>
      </c>
      <c r="L18" s="70">
        <v>11600</v>
      </c>
      <c r="M18" s="71">
        <v>42929</v>
      </c>
      <c r="N18" s="56" t="s">
        <v>641</v>
      </c>
      <c r="O18" s="72">
        <v>14660</v>
      </c>
      <c r="P18" s="113">
        <f t="shared" si="0"/>
        <v>3060</v>
      </c>
      <c r="Q18" s="64">
        <v>30.5</v>
      </c>
      <c r="R18" s="64"/>
      <c r="S18" s="64"/>
      <c r="T18" s="39">
        <f t="shared" si="1"/>
        <v>447130</v>
      </c>
      <c r="U18" s="115" t="s">
        <v>612</v>
      </c>
      <c r="V18" s="112">
        <v>42947</v>
      </c>
      <c r="W18" s="440">
        <v>9802</v>
      </c>
      <c r="X18" s="17"/>
      <c r="Y18" s="20"/>
      <c r="Z18" s="92"/>
      <c r="AA18" s="93"/>
      <c r="AB18" s="92"/>
      <c r="AC18" s="94"/>
      <c r="AD18" s="95"/>
      <c r="AE18" s="17"/>
      <c r="AF18" s="17"/>
      <c r="AG18" s="17"/>
      <c r="AH18" s="20"/>
      <c r="AI18" s="92"/>
      <c r="AJ18" s="93"/>
      <c r="AK18" s="92"/>
      <c r="AL18" s="94"/>
      <c r="AM18" s="95"/>
      <c r="AN18" s="17"/>
      <c r="AO18" s="17"/>
      <c r="AP18" s="17"/>
      <c r="AQ18" s="20"/>
      <c r="AR18" s="92"/>
      <c r="AS18" s="93"/>
      <c r="AT18" s="92"/>
      <c r="AU18" s="94"/>
      <c r="AV18" s="95"/>
      <c r="AW18" s="17"/>
      <c r="AX18" s="17"/>
      <c r="AY18" s="17"/>
      <c r="AZ18" s="20"/>
      <c r="BA18" s="92"/>
      <c r="BB18" s="93"/>
      <c r="BC18" s="92"/>
      <c r="BD18" s="94"/>
      <c r="BE18" s="95"/>
      <c r="BF18" s="17"/>
      <c r="BG18" s="17"/>
      <c r="BH18" s="17"/>
      <c r="BI18" s="20"/>
      <c r="BJ18" s="92"/>
      <c r="BK18" s="93"/>
      <c r="BL18" s="92"/>
      <c r="BM18" s="94"/>
      <c r="BN18" s="95"/>
      <c r="BO18" s="17"/>
      <c r="BP18" s="17"/>
      <c r="BQ18" s="17"/>
      <c r="BR18" s="20"/>
      <c r="BS18" s="92"/>
      <c r="BT18" s="93"/>
      <c r="BU18" s="92"/>
      <c r="BV18" s="94"/>
      <c r="BW18" s="95"/>
      <c r="BX18" s="17"/>
      <c r="BY18" s="17"/>
      <c r="BZ18" s="17"/>
      <c r="CA18" s="20"/>
      <c r="CB18" s="92"/>
      <c r="CC18" s="93"/>
      <c r="CD18" s="92"/>
      <c r="CE18" s="94"/>
      <c r="CF18" s="95"/>
      <c r="CG18" s="17"/>
      <c r="CH18" s="17"/>
      <c r="CI18" s="17"/>
      <c r="CJ18" s="20"/>
      <c r="CK18" s="92"/>
      <c r="CL18" s="93"/>
      <c r="CM18" s="92"/>
      <c r="CN18" s="94"/>
      <c r="CO18" s="95"/>
      <c r="CP18" s="17"/>
      <c r="CQ18" s="17"/>
      <c r="CR18" s="17"/>
      <c r="CS18" s="20"/>
      <c r="CT18" s="92"/>
      <c r="CU18" s="93"/>
      <c r="CV18" s="96"/>
      <c r="CW18" s="94"/>
      <c r="CX18" s="95"/>
      <c r="CY18" s="17"/>
      <c r="CZ18" s="17"/>
      <c r="DA18" s="17"/>
      <c r="DB18" s="20"/>
      <c r="DC18" s="92"/>
      <c r="DD18" s="93"/>
      <c r="DE18" s="92"/>
      <c r="DF18" s="94"/>
      <c r="DG18" s="95"/>
      <c r="DH18" s="17"/>
      <c r="DI18" s="17"/>
      <c r="DJ18" s="17"/>
      <c r="DK18" s="20"/>
      <c r="DL18" s="92"/>
      <c r="DM18" s="93"/>
      <c r="DN18" s="92"/>
      <c r="DO18" s="94"/>
      <c r="DP18" s="95"/>
      <c r="DQ18" s="17"/>
      <c r="DR18" s="17"/>
      <c r="DS18" s="17"/>
      <c r="DT18" s="20"/>
      <c r="DU18" s="92"/>
      <c r="DV18" s="93"/>
      <c r="DW18" s="92"/>
      <c r="DX18" s="94"/>
      <c r="DY18" s="95"/>
      <c r="DZ18" s="17"/>
      <c r="EA18" s="17"/>
      <c r="EB18" s="17"/>
      <c r="EC18" s="20"/>
      <c r="ED18" s="92"/>
      <c r="EE18" s="93"/>
      <c r="EF18" s="92"/>
      <c r="EG18" s="94"/>
      <c r="EH18" s="95"/>
      <c r="EI18" s="17"/>
      <c r="EJ18" s="17"/>
      <c r="EK18" s="17"/>
      <c r="EL18" s="20"/>
      <c r="EM18" s="92"/>
      <c r="EN18" s="93"/>
      <c r="EO18" s="92"/>
      <c r="EP18" s="94"/>
      <c r="EQ18" s="95"/>
      <c r="ER18" s="17"/>
      <c r="ES18" s="17"/>
      <c r="ET18" s="17"/>
      <c r="EU18" s="20"/>
      <c r="EV18" s="92"/>
      <c r="EW18" s="93"/>
      <c r="EX18" s="92"/>
      <c r="EY18" s="94"/>
      <c r="EZ18" s="95"/>
      <c r="FA18" s="17"/>
      <c r="FB18" s="17"/>
      <c r="FC18" s="17"/>
      <c r="FD18" s="20"/>
      <c r="FE18" s="92"/>
      <c r="FF18" s="93"/>
      <c r="FG18" s="92"/>
      <c r="FH18" s="94"/>
      <c r="FI18" s="95"/>
      <c r="FJ18" s="17"/>
      <c r="FK18" s="17"/>
      <c r="FL18" s="17"/>
      <c r="FM18" s="20"/>
      <c r="FN18" s="92"/>
      <c r="FO18" s="93"/>
      <c r="FP18" s="92"/>
      <c r="FQ18" s="94"/>
      <c r="FR18" s="95"/>
      <c r="FS18" s="17"/>
      <c r="FT18" s="17"/>
      <c r="FU18" s="17"/>
      <c r="FV18" s="20"/>
      <c r="FW18" s="92"/>
      <c r="FX18" s="93"/>
      <c r="FY18" s="92"/>
      <c r="FZ18" s="94"/>
      <c r="GA18" s="95"/>
      <c r="GB18" s="17"/>
      <c r="GC18" s="17"/>
      <c r="GD18" s="17"/>
      <c r="GE18" s="20"/>
      <c r="GF18" s="92"/>
      <c r="GG18" s="93"/>
      <c r="GH18" s="92"/>
      <c r="GI18" s="94"/>
      <c r="GJ18" s="95"/>
      <c r="GK18" s="17"/>
      <c r="GL18" s="17"/>
      <c r="GM18" s="17"/>
      <c r="GN18" s="20"/>
      <c r="GO18" s="92"/>
      <c r="GP18" s="93"/>
      <c r="GQ18" s="92"/>
      <c r="GR18" s="94"/>
      <c r="GS18" s="95"/>
      <c r="GT18" s="97">
        <v>42947</v>
      </c>
      <c r="GU18" s="98">
        <v>17584</v>
      </c>
      <c r="GV18" s="65" t="s">
        <v>614</v>
      </c>
      <c r="GW18" s="74"/>
      <c r="GX18" s="74"/>
      <c r="GY18" s="391" t="s">
        <v>692</v>
      </c>
      <c r="GZ18" s="404">
        <v>2552</v>
      </c>
    </row>
    <row r="19" spans="1:209" x14ac:dyDescent="0.25">
      <c r="C19" s="87"/>
      <c r="D19" s="35"/>
      <c r="E19" s="36"/>
      <c r="F19" s="37"/>
      <c r="G19" s="38"/>
      <c r="H19" s="39"/>
      <c r="I19" s="40"/>
      <c r="J19" s="68" t="s">
        <v>565</v>
      </c>
      <c r="K19" s="407" t="s">
        <v>633</v>
      </c>
      <c r="L19" s="70">
        <v>18300</v>
      </c>
      <c r="M19" s="71">
        <v>42930</v>
      </c>
      <c r="N19" s="380" t="s">
        <v>665</v>
      </c>
      <c r="O19" s="72">
        <v>22705</v>
      </c>
      <c r="P19" s="113">
        <f t="shared" si="0"/>
        <v>4405</v>
      </c>
      <c r="Q19" s="64">
        <v>30.5</v>
      </c>
      <c r="R19" s="64"/>
      <c r="S19" s="64"/>
      <c r="T19" s="39">
        <f t="shared" si="1"/>
        <v>692502.5</v>
      </c>
      <c r="U19" s="363" t="s">
        <v>612</v>
      </c>
      <c r="V19" s="353">
        <v>42954</v>
      </c>
      <c r="W19" s="364">
        <v>14929.2</v>
      </c>
      <c r="X19" s="355"/>
      <c r="Y19" s="356"/>
      <c r="Z19" s="357"/>
      <c r="AA19" s="358"/>
      <c r="AB19" s="357"/>
      <c r="AC19" s="359"/>
      <c r="AD19" s="360"/>
      <c r="AE19" s="355"/>
      <c r="AF19" s="355"/>
      <c r="AG19" s="355"/>
      <c r="AH19" s="356"/>
      <c r="AI19" s="357"/>
      <c r="AJ19" s="358"/>
      <c r="AK19" s="357"/>
      <c r="AL19" s="359"/>
      <c r="AM19" s="360"/>
      <c r="AN19" s="355"/>
      <c r="AO19" s="355"/>
      <c r="AP19" s="355"/>
      <c r="AQ19" s="356"/>
      <c r="AR19" s="357"/>
      <c r="AS19" s="358"/>
      <c r="AT19" s="357"/>
      <c r="AU19" s="359"/>
      <c r="AV19" s="360"/>
      <c r="AW19" s="355"/>
      <c r="AX19" s="355"/>
      <c r="AY19" s="355"/>
      <c r="AZ19" s="356"/>
      <c r="BA19" s="357"/>
      <c r="BB19" s="358"/>
      <c r="BC19" s="357"/>
      <c r="BD19" s="359"/>
      <c r="BE19" s="360"/>
      <c r="BF19" s="355"/>
      <c r="BG19" s="355"/>
      <c r="BH19" s="355"/>
      <c r="BI19" s="356"/>
      <c r="BJ19" s="357"/>
      <c r="BK19" s="358"/>
      <c r="BL19" s="357"/>
      <c r="BM19" s="359"/>
      <c r="BN19" s="360"/>
      <c r="BO19" s="355"/>
      <c r="BP19" s="355"/>
      <c r="BQ19" s="355"/>
      <c r="BR19" s="356"/>
      <c r="BS19" s="357"/>
      <c r="BT19" s="358"/>
      <c r="BU19" s="357"/>
      <c r="BV19" s="359"/>
      <c r="BW19" s="360"/>
      <c r="BX19" s="355"/>
      <c r="BY19" s="355"/>
      <c r="BZ19" s="355"/>
      <c r="CA19" s="356"/>
      <c r="CB19" s="357"/>
      <c r="CC19" s="358"/>
      <c r="CD19" s="357"/>
      <c r="CE19" s="359"/>
      <c r="CF19" s="360"/>
      <c r="CG19" s="355"/>
      <c r="CH19" s="355"/>
      <c r="CI19" s="355"/>
      <c r="CJ19" s="356"/>
      <c r="CK19" s="357"/>
      <c r="CL19" s="358"/>
      <c r="CM19" s="357"/>
      <c r="CN19" s="359"/>
      <c r="CO19" s="360"/>
      <c r="CP19" s="355"/>
      <c r="CQ19" s="355"/>
      <c r="CR19" s="355"/>
      <c r="CS19" s="356"/>
      <c r="CT19" s="357"/>
      <c r="CU19" s="358"/>
      <c r="CV19" s="361"/>
      <c r="CW19" s="359"/>
      <c r="CX19" s="360"/>
      <c r="CY19" s="355"/>
      <c r="CZ19" s="355"/>
      <c r="DA19" s="355"/>
      <c r="DB19" s="356"/>
      <c r="DC19" s="357"/>
      <c r="DD19" s="358"/>
      <c r="DE19" s="357"/>
      <c r="DF19" s="359"/>
      <c r="DG19" s="360"/>
      <c r="DH19" s="355"/>
      <c r="DI19" s="355"/>
      <c r="DJ19" s="355"/>
      <c r="DK19" s="356"/>
      <c r="DL19" s="357"/>
      <c r="DM19" s="358"/>
      <c r="DN19" s="357"/>
      <c r="DO19" s="359"/>
      <c r="DP19" s="360"/>
      <c r="DQ19" s="355"/>
      <c r="DR19" s="355"/>
      <c r="DS19" s="355"/>
      <c r="DT19" s="356"/>
      <c r="DU19" s="357"/>
      <c r="DV19" s="358"/>
      <c r="DW19" s="357"/>
      <c r="DX19" s="359"/>
      <c r="DY19" s="360"/>
      <c r="DZ19" s="355"/>
      <c r="EA19" s="355"/>
      <c r="EB19" s="355"/>
      <c r="EC19" s="356"/>
      <c r="ED19" s="357"/>
      <c r="EE19" s="358"/>
      <c r="EF19" s="357"/>
      <c r="EG19" s="359"/>
      <c r="EH19" s="360"/>
      <c r="EI19" s="355"/>
      <c r="EJ19" s="355"/>
      <c r="EK19" s="355"/>
      <c r="EL19" s="356"/>
      <c r="EM19" s="357"/>
      <c r="EN19" s="358"/>
      <c r="EO19" s="357"/>
      <c r="EP19" s="359"/>
      <c r="EQ19" s="360"/>
      <c r="ER19" s="355"/>
      <c r="ES19" s="355"/>
      <c r="ET19" s="355"/>
      <c r="EU19" s="356"/>
      <c r="EV19" s="357"/>
      <c r="EW19" s="358"/>
      <c r="EX19" s="357"/>
      <c r="EY19" s="359"/>
      <c r="EZ19" s="360"/>
      <c r="FA19" s="355"/>
      <c r="FB19" s="355"/>
      <c r="FC19" s="355"/>
      <c r="FD19" s="356"/>
      <c r="FE19" s="357"/>
      <c r="FF19" s="358"/>
      <c r="FG19" s="357"/>
      <c r="FH19" s="359"/>
      <c r="FI19" s="360"/>
      <c r="FJ19" s="355"/>
      <c r="FK19" s="355"/>
      <c r="FL19" s="355"/>
      <c r="FM19" s="356"/>
      <c r="FN19" s="357"/>
      <c r="FO19" s="358"/>
      <c r="FP19" s="357"/>
      <c r="FQ19" s="359"/>
      <c r="FR19" s="360"/>
      <c r="FS19" s="355"/>
      <c r="FT19" s="355"/>
      <c r="FU19" s="355"/>
      <c r="FV19" s="356"/>
      <c r="FW19" s="357"/>
      <c r="FX19" s="358"/>
      <c r="FY19" s="357"/>
      <c r="FZ19" s="359"/>
      <c r="GA19" s="360"/>
      <c r="GB19" s="355"/>
      <c r="GC19" s="355"/>
      <c r="GD19" s="355"/>
      <c r="GE19" s="356"/>
      <c r="GF19" s="357"/>
      <c r="GG19" s="358"/>
      <c r="GH19" s="357"/>
      <c r="GI19" s="359"/>
      <c r="GJ19" s="360"/>
      <c r="GK19" s="355"/>
      <c r="GL19" s="355"/>
      <c r="GM19" s="355"/>
      <c r="GN19" s="356"/>
      <c r="GO19" s="357"/>
      <c r="GP19" s="358"/>
      <c r="GQ19" s="357"/>
      <c r="GR19" s="359"/>
      <c r="GS19" s="360"/>
      <c r="GT19" s="362">
        <v>42954</v>
      </c>
      <c r="GU19" s="98">
        <v>22176</v>
      </c>
      <c r="GV19" s="84" t="s">
        <v>616</v>
      </c>
      <c r="GW19" s="74"/>
      <c r="GX19" s="74"/>
      <c r="GY19" s="389" t="s">
        <v>692</v>
      </c>
      <c r="GZ19" s="404">
        <v>4408</v>
      </c>
    </row>
    <row r="20" spans="1:209" x14ac:dyDescent="0.25">
      <c r="C20" s="87"/>
      <c r="D20" s="35"/>
      <c r="E20" s="36"/>
      <c r="F20" s="37"/>
      <c r="G20" s="38"/>
      <c r="H20" s="39"/>
      <c r="I20" s="40"/>
      <c r="J20" s="76" t="s">
        <v>566</v>
      </c>
      <c r="K20" s="407" t="s">
        <v>35</v>
      </c>
      <c r="L20" s="70">
        <v>11000</v>
      </c>
      <c r="M20" s="71">
        <v>42930</v>
      </c>
      <c r="N20" s="380" t="s">
        <v>668</v>
      </c>
      <c r="O20" s="72">
        <v>14140</v>
      </c>
      <c r="P20" s="113">
        <f t="shared" si="0"/>
        <v>3140</v>
      </c>
      <c r="Q20" s="64">
        <v>30.5</v>
      </c>
      <c r="R20" s="64"/>
      <c r="S20" s="64"/>
      <c r="T20" s="39">
        <f t="shared" si="1"/>
        <v>431270</v>
      </c>
      <c r="U20" s="363" t="s">
        <v>612</v>
      </c>
      <c r="V20" s="353">
        <v>42955</v>
      </c>
      <c r="W20" s="364">
        <v>9802</v>
      </c>
      <c r="X20" s="355"/>
      <c r="Y20" s="356"/>
      <c r="Z20" s="357"/>
      <c r="AA20" s="358"/>
      <c r="AB20" s="357"/>
      <c r="AC20" s="359"/>
      <c r="AD20" s="360"/>
      <c r="AE20" s="355"/>
      <c r="AF20" s="355"/>
      <c r="AG20" s="355"/>
      <c r="AH20" s="356"/>
      <c r="AI20" s="357"/>
      <c r="AJ20" s="358"/>
      <c r="AK20" s="357"/>
      <c r="AL20" s="359"/>
      <c r="AM20" s="360"/>
      <c r="AN20" s="355"/>
      <c r="AO20" s="355"/>
      <c r="AP20" s="355"/>
      <c r="AQ20" s="356"/>
      <c r="AR20" s="357"/>
      <c r="AS20" s="358"/>
      <c r="AT20" s="357"/>
      <c r="AU20" s="359"/>
      <c r="AV20" s="360"/>
      <c r="AW20" s="355"/>
      <c r="AX20" s="355"/>
      <c r="AY20" s="355"/>
      <c r="AZ20" s="356"/>
      <c r="BA20" s="357"/>
      <c r="BB20" s="358"/>
      <c r="BC20" s="357"/>
      <c r="BD20" s="359"/>
      <c r="BE20" s="360"/>
      <c r="BF20" s="355"/>
      <c r="BG20" s="355"/>
      <c r="BH20" s="355"/>
      <c r="BI20" s="356"/>
      <c r="BJ20" s="357"/>
      <c r="BK20" s="358"/>
      <c r="BL20" s="357"/>
      <c r="BM20" s="359"/>
      <c r="BN20" s="360"/>
      <c r="BO20" s="355"/>
      <c r="BP20" s="355"/>
      <c r="BQ20" s="355"/>
      <c r="BR20" s="356"/>
      <c r="BS20" s="357"/>
      <c r="BT20" s="358"/>
      <c r="BU20" s="357"/>
      <c r="BV20" s="359"/>
      <c r="BW20" s="360"/>
      <c r="BX20" s="355"/>
      <c r="BY20" s="355"/>
      <c r="BZ20" s="355"/>
      <c r="CA20" s="356"/>
      <c r="CB20" s="357"/>
      <c r="CC20" s="358"/>
      <c r="CD20" s="357"/>
      <c r="CE20" s="359"/>
      <c r="CF20" s="360"/>
      <c r="CG20" s="355"/>
      <c r="CH20" s="355"/>
      <c r="CI20" s="355"/>
      <c r="CJ20" s="356"/>
      <c r="CK20" s="357"/>
      <c r="CL20" s="358"/>
      <c r="CM20" s="357"/>
      <c r="CN20" s="359"/>
      <c r="CO20" s="360"/>
      <c r="CP20" s="355"/>
      <c r="CQ20" s="355"/>
      <c r="CR20" s="355"/>
      <c r="CS20" s="356"/>
      <c r="CT20" s="357"/>
      <c r="CU20" s="358"/>
      <c r="CV20" s="361"/>
      <c r="CW20" s="359"/>
      <c r="CX20" s="360"/>
      <c r="CY20" s="355"/>
      <c r="CZ20" s="355"/>
      <c r="DA20" s="355"/>
      <c r="DB20" s="356"/>
      <c r="DC20" s="357"/>
      <c r="DD20" s="358"/>
      <c r="DE20" s="357"/>
      <c r="DF20" s="359"/>
      <c r="DG20" s="360"/>
      <c r="DH20" s="355"/>
      <c r="DI20" s="355"/>
      <c r="DJ20" s="355"/>
      <c r="DK20" s="356"/>
      <c r="DL20" s="357"/>
      <c r="DM20" s="358"/>
      <c r="DN20" s="357"/>
      <c r="DO20" s="359"/>
      <c r="DP20" s="360"/>
      <c r="DQ20" s="355"/>
      <c r="DR20" s="355"/>
      <c r="DS20" s="355"/>
      <c r="DT20" s="356"/>
      <c r="DU20" s="357"/>
      <c r="DV20" s="358"/>
      <c r="DW20" s="357"/>
      <c r="DX20" s="359"/>
      <c r="DY20" s="360"/>
      <c r="DZ20" s="355"/>
      <c r="EA20" s="355"/>
      <c r="EB20" s="355"/>
      <c r="EC20" s="356"/>
      <c r="ED20" s="357"/>
      <c r="EE20" s="358"/>
      <c r="EF20" s="357"/>
      <c r="EG20" s="359"/>
      <c r="EH20" s="360"/>
      <c r="EI20" s="355"/>
      <c r="EJ20" s="355"/>
      <c r="EK20" s="355"/>
      <c r="EL20" s="356"/>
      <c r="EM20" s="357"/>
      <c r="EN20" s="358"/>
      <c r="EO20" s="357"/>
      <c r="EP20" s="359"/>
      <c r="EQ20" s="360"/>
      <c r="ER20" s="355"/>
      <c r="ES20" s="355"/>
      <c r="ET20" s="355"/>
      <c r="EU20" s="356"/>
      <c r="EV20" s="357"/>
      <c r="EW20" s="358"/>
      <c r="EX20" s="357"/>
      <c r="EY20" s="359"/>
      <c r="EZ20" s="360"/>
      <c r="FA20" s="355"/>
      <c r="FB20" s="355"/>
      <c r="FC20" s="355"/>
      <c r="FD20" s="356"/>
      <c r="FE20" s="357"/>
      <c r="FF20" s="358"/>
      <c r="FG20" s="357"/>
      <c r="FH20" s="359"/>
      <c r="FI20" s="360"/>
      <c r="FJ20" s="355"/>
      <c r="FK20" s="355"/>
      <c r="FL20" s="355"/>
      <c r="FM20" s="356"/>
      <c r="FN20" s="357"/>
      <c r="FO20" s="358"/>
      <c r="FP20" s="357"/>
      <c r="FQ20" s="359"/>
      <c r="FR20" s="360"/>
      <c r="FS20" s="355"/>
      <c r="FT20" s="355"/>
      <c r="FU20" s="355"/>
      <c r="FV20" s="356"/>
      <c r="FW20" s="357"/>
      <c r="FX20" s="358"/>
      <c r="FY20" s="357"/>
      <c r="FZ20" s="359"/>
      <c r="GA20" s="360"/>
      <c r="GB20" s="355"/>
      <c r="GC20" s="355"/>
      <c r="GD20" s="355"/>
      <c r="GE20" s="356"/>
      <c r="GF20" s="357"/>
      <c r="GG20" s="358"/>
      <c r="GH20" s="357"/>
      <c r="GI20" s="359"/>
      <c r="GJ20" s="360"/>
      <c r="GK20" s="355"/>
      <c r="GL20" s="355"/>
      <c r="GM20" s="355"/>
      <c r="GN20" s="356"/>
      <c r="GO20" s="357"/>
      <c r="GP20" s="358"/>
      <c r="GQ20" s="357"/>
      <c r="GR20" s="359"/>
      <c r="GS20" s="360"/>
      <c r="GT20" s="362">
        <v>42955</v>
      </c>
      <c r="GU20" s="98">
        <v>17584</v>
      </c>
      <c r="GV20" s="84" t="s">
        <v>615</v>
      </c>
      <c r="GW20" s="74"/>
      <c r="GX20" s="74"/>
      <c r="GY20" s="389" t="s">
        <v>692</v>
      </c>
      <c r="GZ20" s="404"/>
      <c r="HA20">
        <v>2552</v>
      </c>
    </row>
    <row r="21" spans="1:209" ht="30" x14ac:dyDescent="0.25">
      <c r="C21" s="87"/>
      <c r="D21" s="35"/>
      <c r="E21" s="36"/>
      <c r="F21" s="37"/>
      <c r="G21" s="38"/>
      <c r="H21" s="39"/>
      <c r="I21" s="40"/>
      <c r="J21" s="76" t="s">
        <v>567</v>
      </c>
      <c r="K21" s="407" t="s">
        <v>673</v>
      </c>
      <c r="L21" s="70">
        <v>17230</v>
      </c>
      <c r="M21" s="71">
        <v>42932</v>
      </c>
      <c r="N21" s="380" t="s">
        <v>672</v>
      </c>
      <c r="O21" s="72">
        <f>21860-104.59</f>
        <v>21755.41</v>
      </c>
      <c r="P21" s="113">
        <f t="shared" si="0"/>
        <v>4525.41</v>
      </c>
      <c r="Q21" s="64">
        <v>30.5</v>
      </c>
      <c r="R21" s="64"/>
      <c r="S21" s="64"/>
      <c r="T21" s="39">
        <f t="shared" si="1"/>
        <v>663540.005</v>
      </c>
      <c r="U21" s="363" t="s">
        <v>612</v>
      </c>
      <c r="V21" s="353">
        <v>42956</v>
      </c>
      <c r="W21" s="364">
        <v>15758.6</v>
      </c>
      <c r="X21" s="355"/>
      <c r="Y21" s="356"/>
      <c r="Z21" s="357"/>
      <c r="AA21" s="358"/>
      <c r="AB21" s="357"/>
      <c r="AC21" s="359"/>
      <c r="AD21" s="360"/>
      <c r="AE21" s="355"/>
      <c r="AF21" s="355"/>
      <c r="AG21" s="355"/>
      <c r="AH21" s="356"/>
      <c r="AI21" s="357"/>
      <c r="AJ21" s="358"/>
      <c r="AK21" s="357"/>
      <c r="AL21" s="359"/>
      <c r="AM21" s="360"/>
      <c r="AN21" s="355"/>
      <c r="AO21" s="355"/>
      <c r="AP21" s="355"/>
      <c r="AQ21" s="356"/>
      <c r="AR21" s="357"/>
      <c r="AS21" s="358"/>
      <c r="AT21" s="357"/>
      <c r="AU21" s="359"/>
      <c r="AV21" s="360"/>
      <c r="AW21" s="355"/>
      <c r="AX21" s="355"/>
      <c r="AY21" s="355"/>
      <c r="AZ21" s="356"/>
      <c r="BA21" s="357"/>
      <c r="BB21" s="358"/>
      <c r="BC21" s="357"/>
      <c r="BD21" s="359"/>
      <c r="BE21" s="360"/>
      <c r="BF21" s="355"/>
      <c r="BG21" s="355"/>
      <c r="BH21" s="355"/>
      <c r="BI21" s="356"/>
      <c r="BJ21" s="357"/>
      <c r="BK21" s="358"/>
      <c r="BL21" s="357"/>
      <c r="BM21" s="359"/>
      <c r="BN21" s="360"/>
      <c r="BO21" s="355"/>
      <c r="BP21" s="355"/>
      <c r="BQ21" s="355"/>
      <c r="BR21" s="356"/>
      <c r="BS21" s="357"/>
      <c r="BT21" s="358"/>
      <c r="BU21" s="357"/>
      <c r="BV21" s="359"/>
      <c r="BW21" s="360"/>
      <c r="BX21" s="355"/>
      <c r="BY21" s="355"/>
      <c r="BZ21" s="355"/>
      <c r="CA21" s="356"/>
      <c r="CB21" s="357"/>
      <c r="CC21" s="358"/>
      <c r="CD21" s="357"/>
      <c r="CE21" s="359"/>
      <c r="CF21" s="360"/>
      <c r="CG21" s="355"/>
      <c r="CH21" s="355"/>
      <c r="CI21" s="355"/>
      <c r="CJ21" s="356"/>
      <c r="CK21" s="357"/>
      <c r="CL21" s="358"/>
      <c r="CM21" s="357"/>
      <c r="CN21" s="359"/>
      <c r="CO21" s="360"/>
      <c r="CP21" s="355"/>
      <c r="CQ21" s="355"/>
      <c r="CR21" s="355"/>
      <c r="CS21" s="356"/>
      <c r="CT21" s="357"/>
      <c r="CU21" s="358"/>
      <c r="CV21" s="361"/>
      <c r="CW21" s="359"/>
      <c r="CX21" s="360"/>
      <c r="CY21" s="355"/>
      <c r="CZ21" s="355"/>
      <c r="DA21" s="355"/>
      <c r="DB21" s="356"/>
      <c r="DC21" s="357"/>
      <c r="DD21" s="358"/>
      <c r="DE21" s="357"/>
      <c r="DF21" s="359"/>
      <c r="DG21" s="360"/>
      <c r="DH21" s="355"/>
      <c r="DI21" s="355"/>
      <c r="DJ21" s="355"/>
      <c r="DK21" s="356"/>
      <c r="DL21" s="357"/>
      <c r="DM21" s="358"/>
      <c r="DN21" s="357"/>
      <c r="DO21" s="359"/>
      <c r="DP21" s="360"/>
      <c r="DQ21" s="355"/>
      <c r="DR21" s="355"/>
      <c r="DS21" s="355"/>
      <c r="DT21" s="356"/>
      <c r="DU21" s="357"/>
      <c r="DV21" s="358"/>
      <c r="DW21" s="357"/>
      <c r="DX21" s="359"/>
      <c r="DY21" s="360"/>
      <c r="DZ21" s="355"/>
      <c r="EA21" s="355"/>
      <c r="EB21" s="355"/>
      <c r="EC21" s="356"/>
      <c r="ED21" s="357"/>
      <c r="EE21" s="358"/>
      <c r="EF21" s="357"/>
      <c r="EG21" s="359"/>
      <c r="EH21" s="360"/>
      <c r="EI21" s="355"/>
      <c r="EJ21" s="355"/>
      <c r="EK21" s="355"/>
      <c r="EL21" s="356"/>
      <c r="EM21" s="357"/>
      <c r="EN21" s="358"/>
      <c r="EO21" s="357"/>
      <c r="EP21" s="359"/>
      <c r="EQ21" s="360"/>
      <c r="ER21" s="355"/>
      <c r="ES21" s="355"/>
      <c r="ET21" s="355"/>
      <c r="EU21" s="356"/>
      <c r="EV21" s="357"/>
      <c r="EW21" s="358"/>
      <c r="EX21" s="357"/>
      <c r="EY21" s="359"/>
      <c r="EZ21" s="360"/>
      <c r="FA21" s="355"/>
      <c r="FB21" s="355"/>
      <c r="FC21" s="355"/>
      <c r="FD21" s="356"/>
      <c r="FE21" s="357"/>
      <c r="FF21" s="358"/>
      <c r="FG21" s="357"/>
      <c r="FH21" s="359"/>
      <c r="FI21" s="360"/>
      <c r="FJ21" s="355"/>
      <c r="FK21" s="355"/>
      <c r="FL21" s="355"/>
      <c r="FM21" s="356"/>
      <c r="FN21" s="357"/>
      <c r="FO21" s="358"/>
      <c r="FP21" s="357"/>
      <c r="FQ21" s="359"/>
      <c r="FR21" s="360"/>
      <c r="FS21" s="355"/>
      <c r="FT21" s="355"/>
      <c r="FU21" s="355"/>
      <c r="FV21" s="356"/>
      <c r="FW21" s="357"/>
      <c r="FX21" s="358"/>
      <c r="FY21" s="357"/>
      <c r="FZ21" s="359"/>
      <c r="GA21" s="360"/>
      <c r="GB21" s="355"/>
      <c r="GC21" s="355"/>
      <c r="GD21" s="355"/>
      <c r="GE21" s="356"/>
      <c r="GF21" s="357"/>
      <c r="GG21" s="358"/>
      <c r="GH21" s="357"/>
      <c r="GI21" s="359"/>
      <c r="GJ21" s="360"/>
      <c r="GK21" s="355"/>
      <c r="GL21" s="355"/>
      <c r="GM21" s="355"/>
      <c r="GN21" s="356"/>
      <c r="GO21" s="357"/>
      <c r="GP21" s="358"/>
      <c r="GQ21" s="357"/>
      <c r="GR21" s="359"/>
      <c r="GS21" s="360"/>
      <c r="GT21" s="362">
        <v>42956</v>
      </c>
      <c r="GU21" s="549">
        <v>19800</v>
      </c>
      <c r="GV21" s="550" t="s">
        <v>997</v>
      </c>
      <c r="GW21" s="74"/>
      <c r="GX21" s="74"/>
      <c r="GY21" s="563" t="s">
        <v>723</v>
      </c>
      <c r="GZ21" s="564">
        <v>4408</v>
      </c>
    </row>
    <row r="22" spans="1:209" x14ac:dyDescent="0.25">
      <c r="C22" s="87"/>
      <c r="D22" s="35"/>
      <c r="E22" s="36"/>
      <c r="F22" s="37"/>
      <c r="G22" s="38"/>
      <c r="H22" s="39"/>
      <c r="I22" s="40"/>
      <c r="J22" s="76" t="s">
        <v>44</v>
      </c>
      <c r="K22" s="450" t="s">
        <v>37</v>
      </c>
      <c r="L22" s="70">
        <v>17840</v>
      </c>
      <c r="M22" s="71">
        <v>42933</v>
      </c>
      <c r="N22" s="380" t="s">
        <v>671</v>
      </c>
      <c r="O22" s="72">
        <v>22590</v>
      </c>
      <c r="P22" s="113">
        <f t="shared" si="0"/>
        <v>4750</v>
      </c>
      <c r="Q22" s="64">
        <v>30.5</v>
      </c>
      <c r="R22" s="64"/>
      <c r="S22" s="64"/>
      <c r="T22" s="39">
        <f t="shared" si="1"/>
        <v>688995</v>
      </c>
      <c r="U22" s="363" t="s">
        <v>612</v>
      </c>
      <c r="V22" s="353">
        <v>42956</v>
      </c>
      <c r="W22" s="364">
        <v>15080</v>
      </c>
      <c r="X22" s="355"/>
      <c r="Y22" s="356"/>
      <c r="Z22" s="357"/>
      <c r="AA22" s="358"/>
      <c r="AB22" s="357"/>
      <c r="AC22" s="359"/>
      <c r="AD22" s="360"/>
      <c r="AE22" s="355"/>
      <c r="AF22" s="355"/>
      <c r="AG22" s="355"/>
      <c r="AH22" s="356"/>
      <c r="AI22" s="357"/>
      <c r="AJ22" s="358"/>
      <c r="AK22" s="357"/>
      <c r="AL22" s="359"/>
      <c r="AM22" s="360"/>
      <c r="AN22" s="355"/>
      <c r="AO22" s="355"/>
      <c r="AP22" s="355"/>
      <c r="AQ22" s="356"/>
      <c r="AR22" s="357"/>
      <c r="AS22" s="358"/>
      <c r="AT22" s="357"/>
      <c r="AU22" s="359"/>
      <c r="AV22" s="360"/>
      <c r="AW22" s="355"/>
      <c r="AX22" s="355"/>
      <c r="AY22" s="355"/>
      <c r="AZ22" s="356"/>
      <c r="BA22" s="357"/>
      <c r="BB22" s="358"/>
      <c r="BC22" s="357"/>
      <c r="BD22" s="359"/>
      <c r="BE22" s="360"/>
      <c r="BF22" s="355"/>
      <c r="BG22" s="355"/>
      <c r="BH22" s="355"/>
      <c r="BI22" s="356"/>
      <c r="BJ22" s="357"/>
      <c r="BK22" s="358"/>
      <c r="BL22" s="357"/>
      <c r="BM22" s="359"/>
      <c r="BN22" s="360"/>
      <c r="BO22" s="355"/>
      <c r="BP22" s="355"/>
      <c r="BQ22" s="355"/>
      <c r="BR22" s="356"/>
      <c r="BS22" s="357"/>
      <c r="BT22" s="358"/>
      <c r="BU22" s="357"/>
      <c r="BV22" s="359"/>
      <c r="BW22" s="360"/>
      <c r="BX22" s="355"/>
      <c r="BY22" s="355"/>
      <c r="BZ22" s="355"/>
      <c r="CA22" s="356"/>
      <c r="CB22" s="357"/>
      <c r="CC22" s="358"/>
      <c r="CD22" s="357"/>
      <c r="CE22" s="359"/>
      <c r="CF22" s="360"/>
      <c r="CG22" s="355"/>
      <c r="CH22" s="355"/>
      <c r="CI22" s="355"/>
      <c r="CJ22" s="356"/>
      <c r="CK22" s="357"/>
      <c r="CL22" s="358"/>
      <c r="CM22" s="357"/>
      <c r="CN22" s="359"/>
      <c r="CO22" s="360"/>
      <c r="CP22" s="355"/>
      <c r="CQ22" s="355"/>
      <c r="CR22" s="355"/>
      <c r="CS22" s="356"/>
      <c r="CT22" s="357"/>
      <c r="CU22" s="358"/>
      <c r="CV22" s="361"/>
      <c r="CW22" s="359"/>
      <c r="CX22" s="360"/>
      <c r="CY22" s="355"/>
      <c r="CZ22" s="355"/>
      <c r="DA22" s="355"/>
      <c r="DB22" s="356"/>
      <c r="DC22" s="357"/>
      <c r="DD22" s="358"/>
      <c r="DE22" s="357"/>
      <c r="DF22" s="359"/>
      <c r="DG22" s="360"/>
      <c r="DH22" s="355"/>
      <c r="DI22" s="355"/>
      <c r="DJ22" s="355"/>
      <c r="DK22" s="356"/>
      <c r="DL22" s="357"/>
      <c r="DM22" s="358"/>
      <c r="DN22" s="357"/>
      <c r="DO22" s="359"/>
      <c r="DP22" s="360"/>
      <c r="DQ22" s="355"/>
      <c r="DR22" s="355"/>
      <c r="DS22" s="355"/>
      <c r="DT22" s="356"/>
      <c r="DU22" s="357"/>
      <c r="DV22" s="358"/>
      <c r="DW22" s="357"/>
      <c r="DX22" s="359"/>
      <c r="DY22" s="360"/>
      <c r="DZ22" s="355"/>
      <c r="EA22" s="355"/>
      <c r="EB22" s="355"/>
      <c r="EC22" s="356"/>
      <c r="ED22" s="357"/>
      <c r="EE22" s="358"/>
      <c r="EF22" s="357"/>
      <c r="EG22" s="359"/>
      <c r="EH22" s="360"/>
      <c r="EI22" s="355"/>
      <c r="EJ22" s="355"/>
      <c r="EK22" s="355"/>
      <c r="EL22" s="356"/>
      <c r="EM22" s="357"/>
      <c r="EN22" s="358"/>
      <c r="EO22" s="357"/>
      <c r="EP22" s="359"/>
      <c r="EQ22" s="360"/>
      <c r="ER22" s="355"/>
      <c r="ES22" s="355"/>
      <c r="ET22" s="355"/>
      <c r="EU22" s="356"/>
      <c r="EV22" s="357"/>
      <c r="EW22" s="358"/>
      <c r="EX22" s="357"/>
      <c r="EY22" s="359"/>
      <c r="EZ22" s="360"/>
      <c r="FA22" s="355"/>
      <c r="FB22" s="355"/>
      <c r="FC22" s="355"/>
      <c r="FD22" s="356"/>
      <c r="FE22" s="357"/>
      <c r="FF22" s="358"/>
      <c r="FG22" s="357"/>
      <c r="FH22" s="359"/>
      <c r="FI22" s="360"/>
      <c r="FJ22" s="355"/>
      <c r="FK22" s="355"/>
      <c r="FL22" s="355"/>
      <c r="FM22" s="356"/>
      <c r="FN22" s="357"/>
      <c r="FO22" s="358"/>
      <c r="FP22" s="357"/>
      <c r="FQ22" s="359"/>
      <c r="FR22" s="360"/>
      <c r="FS22" s="355"/>
      <c r="FT22" s="355"/>
      <c r="FU22" s="355"/>
      <c r="FV22" s="356"/>
      <c r="FW22" s="357"/>
      <c r="FX22" s="358"/>
      <c r="FY22" s="357"/>
      <c r="FZ22" s="359"/>
      <c r="GA22" s="360"/>
      <c r="GB22" s="355"/>
      <c r="GC22" s="355"/>
      <c r="GD22" s="355"/>
      <c r="GE22" s="356"/>
      <c r="GF22" s="357"/>
      <c r="GG22" s="358"/>
      <c r="GH22" s="357"/>
      <c r="GI22" s="359"/>
      <c r="GJ22" s="360"/>
      <c r="GK22" s="355"/>
      <c r="GL22" s="355"/>
      <c r="GM22" s="355"/>
      <c r="GN22" s="356"/>
      <c r="GO22" s="357"/>
      <c r="GP22" s="358"/>
      <c r="GQ22" s="357"/>
      <c r="GR22" s="359"/>
      <c r="GS22" s="360"/>
      <c r="GT22" s="362">
        <v>42956</v>
      </c>
      <c r="GU22" s="549">
        <v>19800</v>
      </c>
      <c r="GV22" s="550" t="s">
        <v>997</v>
      </c>
      <c r="GW22" s="74"/>
      <c r="GX22" s="74"/>
      <c r="GY22" s="389" t="s">
        <v>723</v>
      </c>
      <c r="GZ22" s="67">
        <v>4408</v>
      </c>
    </row>
    <row r="23" spans="1:209" x14ac:dyDescent="0.25">
      <c r="C23" s="87"/>
      <c r="D23" s="35"/>
      <c r="E23" s="36"/>
      <c r="F23" s="37"/>
      <c r="G23" s="38"/>
      <c r="H23" s="39"/>
      <c r="I23" s="40"/>
      <c r="J23" s="76" t="s">
        <v>45</v>
      </c>
      <c r="K23" s="407" t="s">
        <v>568</v>
      </c>
      <c r="L23" s="70">
        <v>18930</v>
      </c>
      <c r="M23" s="71">
        <v>42934</v>
      </c>
      <c r="N23" s="380" t="s">
        <v>674</v>
      </c>
      <c r="O23" s="72">
        <v>23620</v>
      </c>
      <c r="P23" s="113">
        <f t="shared" si="0"/>
        <v>4690</v>
      </c>
      <c r="Q23" s="64">
        <v>30.5</v>
      </c>
      <c r="R23" s="64"/>
      <c r="S23" s="64"/>
      <c r="T23" s="39">
        <f t="shared" si="1"/>
        <v>720410</v>
      </c>
      <c r="U23" s="363" t="s">
        <v>612</v>
      </c>
      <c r="V23" s="353">
        <v>42957</v>
      </c>
      <c r="W23" s="364">
        <v>15004.6</v>
      </c>
      <c r="X23" s="355"/>
      <c r="Y23" s="356"/>
      <c r="Z23" s="357"/>
      <c r="AA23" s="358"/>
      <c r="AB23" s="357"/>
      <c r="AC23" s="359"/>
      <c r="AD23" s="360"/>
      <c r="AE23" s="355"/>
      <c r="AF23" s="355"/>
      <c r="AG23" s="355"/>
      <c r="AH23" s="356"/>
      <c r="AI23" s="357"/>
      <c r="AJ23" s="358"/>
      <c r="AK23" s="357"/>
      <c r="AL23" s="359"/>
      <c r="AM23" s="360"/>
      <c r="AN23" s="355"/>
      <c r="AO23" s="355"/>
      <c r="AP23" s="355"/>
      <c r="AQ23" s="356"/>
      <c r="AR23" s="357"/>
      <c r="AS23" s="358"/>
      <c r="AT23" s="357"/>
      <c r="AU23" s="359"/>
      <c r="AV23" s="360"/>
      <c r="AW23" s="355"/>
      <c r="AX23" s="355"/>
      <c r="AY23" s="355"/>
      <c r="AZ23" s="356"/>
      <c r="BA23" s="357"/>
      <c r="BB23" s="358"/>
      <c r="BC23" s="357"/>
      <c r="BD23" s="359"/>
      <c r="BE23" s="360"/>
      <c r="BF23" s="355"/>
      <c r="BG23" s="355"/>
      <c r="BH23" s="355"/>
      <c r="BI23" s="356"/>
      <c r="BJ23" s="357"/>
      <c r="BK23" s="358"/>
      <c r="BL23" s="357"/>
      <c r="BM23" s="359"/>
      <c r="BN23" s="360"/>
      <c r="BO23" s="355"/>
      <c r="BP23" s="355"/>
      <c r="BQ23" s="355"/>
      <c r="BR23" s="356"/>
      <c r="BS23" s="357"/>
      <c r="BT23" s="358"/>
      <c r="BU23" s="357"/>
      <c r="BV23" s="359"/>
      <c r="BW23" s="360"/>
      <c r="BX23" s="355"/>
      <c r="BY23" s="355"/>
      <c r="BZ23" s="355"/>
      <c r="CA23" s="356"/>
      <c r="CB23" s="357"/>
      <c r="CC23" s="358"/>
      <c r="CD23" s="357"/>
      <c r="CE23" s="359"/>
      <c r="CF23" s="360"/>
      <c r="CG23" s="355"/>
      <c r="CH23" s="355"/>
      <c r="CI23" s="355"/>
      <c r="CJ23" s="356"/>
      <c r="CK23" s="357"/>
      <c r="CL23" s="358"/>
      <c r="CM23" s="357"/>
      <c r="CN23" s="359"/>
      <c r="CO23" s="360"/>
      <c r="CP23" s="355"/>
      <c r="CQ23" s="355"/>
      <c r="CR23" s="355"/>
      <c r="CS23" s="356"/>
      <c r="CT23" s="357"/>
      <c r="CU23" s="358"/>
      <c r="CV23" s="361"/>
      <c r="CW23" s="359"/>
      <c r="CX23" s="360"/>
      <c r="CY23" s="355"/>
      <c r="CZ23" s="355"/>
      <c r="DA23" s="355"/>
      <c r="DB23" s="356"/>
      <c r="DC23" s="357"/>
      <c r="DD23" s="358"/>
      <c r="DE23" s="357"/>
      <c r="DF23" s="359"/>
      <c r="DG23" s="360"/>
      <c r="DH23" s="355"/>
      <c r="DI23" s="355"/>
      <c r="DJ23" s="355"/>
      <c r="DK23" s="356"/>
      <c r="DL23" s="357"/>
      <c r="DM23" s="358"/>
      <c r="DN23" s="357"/>
      <c r="DO23" s="359"/>
      <c r="DP23" s="360"/>
      <c r="DQ23" s="355"/>
      <c r="DR23" s="355"/>
      <c r="DS23" s="355"/>
      <c r="DT23" s="356"/>
      <c r="DU23" s="357"/>
      <c r="DV23" s="358"/>
      <c r="DW23" s="357"/>
      <c r="DX23" s="359"/>
      <c r="DY23" s="360"/>
      <c r="DZ23" s="355"/>
      <c r="EA23" s="355"/>
      <c r="EB23" s="355"/>
      <c r="EC23" s="356"/>
      <c r="ED23" s="357"/>
      <c r="EE23" s="358"/>
      <c r="EF23" s="357"/>
      <c r="EG23" s="359"/>
      <c r="EH23" s="360"/>
      <c r="EI23" s="355"/>
      <c r="EJ23" s="355"/>
      <c r="EK23" s="355"/>
      <c r="EL23" s="356"/>
      <c r="EM23" s="357"/>
      <c r="EN23" s="358"/>
      <c r="EO23" s="357"/>
      <c r="EP23" s="359"/>
      <c r="EQ23" s="360"/>
      <c r="ER23" s="355"/>
      <c r="ES23" s="355"/>
      <c r="ET23" s="355"/>
      <c r="EU23" s="356"/>
      <c r="EV23" s="357"/>
      <c r="EW23" s="358"/>
      <c r="EX23" s="357"/>
      <c r="EY23" s="359"/>
      <c r="EZ23" s="360"/>
      <c r="FA23" s="355"/>
      <c r="FB23" s="355"/>
      <c r="FC23" s="355"/>
      <c r="FD23" s="356"/>
      <c r="FE23" s="357"/>
      <c r="FF23" s="358"/>
      <c r="FG23" s="357"/>
      <c r="FH23" s="359"/>
      <c r="FI23" s="360"/>
      <c r="FJ23" s="355"/>
      <c r="FK23" s="355"/>
      <c r="FL23" s="355"/>
      <c r="FM23" s="356"/>
      <c r="FN23" s="357"/>
      <c r="FO23" s="358"/>
      <c r="FP23" s="357"/>
      <c r="FQ23" s="359"/>
      <c r="FR23" s="360"/>
      <c r="FS23" s="355"/>
      <c r="FT23" s="355"/>
      <c r="FU23" s="355"/>
      <c r="FV23" s="356"/>
      <c r="FW23" s="357"/>
      <c r="FX23" s="358"/>
      <c r="FY23" s="357"/>
      <c r="FZ23" s="359"/>
      <c r="GA23" s="360"/>
      <c r="GB23" s="355"/>
      <c r="GC23" s="355"/>
      <c r="GD23" s="355"/>
      <c r="GE23" s="356"/>
      <c r="GF23" s="357"/>
      <c r="GG23" s="358"/>
      <c r="GH23" s="357"/>
      <c r="GI23" s="359"/>
      <c r="GJ23" s="360"/>
      <c r="GK23" s="355"/>
      <c r="GL23" s="355"/>
      <c r="GM23" s="355"/>
      <c r="GN23" s="356"/>
      <c r="GO23" s="357"/>
      <c r="GP23" s="358"/>
      <c r="GQ23" s="357"/>
      <c r="GR23" s="359"/>
      <c r="GS23" s="360"/>
      <c r="GT23" s="365">
        <v>42957</v>
      </c>
      <c r="GU23" s="98">
        <v>22176</v>
      </c>
      <c r="GV23" s="65" t="s">
        <v>634</v>
      </c>
      <c r="GW23" s="74"/>
      <c r="GX23" s="74"/>
      <c r="GY23" s="389" t="s">
        <v>723</v>
      </c>
      <c r="GZ23" s="67">
        <v>4408</v>
      </c>
    </row>
    <row r="24" spans="1:209" x14ac:dyDescent="0.25">
      <c r="C24" s="87"/>
      <c r="D24" s="35"/>
      <c r="E24" s="36"/>
      <c r="F24" s="37"/>
      <c r="G24" s="38"/>
      <c r="H24" s="39"/>
      <c r="I24" s="40"/>
      <c r="J24" s="68" t="s">
        <v>44</v>
      </c>
      <c r="K24" s="407" t="s">
        <v>37</v>
      </c>
      <c r="L24" s="70">
        <v>18200</v>
      </c>
      <c r="M24" s="71">
        <v>42935</v>
      </c>
      <c r="N24" s="380" t="s">
        <v>675</v>
      </c>
      <c r="O24" s="72">
        <v>22895</v>
      </c>
      <c r="P24" s="113">
        <f t="shared" si="0"/>
        <v>4695</v>
      </c>
      <c r="Q24" s="64">
        <v>30.5</v>
      </c>
      <c r="R24" s="64"/>
      <c r="S24" s="64"/>
      <c r="T24" s="39">
        <f t="shared" si="1"/>
        <v>698297.5</v>
      </c>
      <c r="U24" s="363" t="s">
        <v>612</v>
      </c>
      <c r="V24" s="353">
        <v>42958</v>
      </c>
      <c r="W24" s="364">
        <v>15080</v>
      </c>
      <c r="X24" s="355"/>
      <c r="Y24" s="356"/>
      <c r="Z24" s="357"/>
      <c r="AA24" s="358"/>
      <c r="AB24" s="357"/>
      <c r="AC24" s="359"/>
      <c r="AD24" s="360"/>
      <c r="AE24" s="355"/>
      <c r="AF24" s="355"/>
      <c r="AG24" s="355"/>
      <c r="AH24" s="356"/>
      <c r="AI24" s="357"/>
      <c r="AJ24" s="358"/>
      <c r="AK24" s="357"/>
      <c r="AL24" s="359"/>
      <c r="AM24" s="360"/>
      <c r="AN24" s="355"/>
      <c r="AO24" s="355"/>
      <c r="AP24" s="355"/>
      <c r="AQ24" s="356"/>
      <c r="AR24" s="357"/>
      <c r="AS24" s="358"/>
      <c r="AT24" s="357"/>
      <c r="AU24" s="359"/>
      <c r="AV24" s="360"/>
      <c r="AW24" s="355"/>
      <c r="AX24" s="355"/>
      <c r="AY24" s="355"/>
      <c r="AZ24" s="356"/>
      <c r="BA24" s="357"/>
      <c r="BB24" s="358"/>
      <c r="BC24" s="357"/>
      <c r="BD24" s="359"/>
      <c r="BE24" s="360"/>
      <c r="BF24" s="355"/>
      <c r="BG24" s="355"/>
      <c r="BH24" s="355"/>
      <c r="BI24" s="356"/>
      <c r="BJ24" s="357"/>
      <c r="BK24" s="358"/>
      <c r="BL24" s="357"/>
      <c r="BM24" s="359"/>
      <c r="BN24" s="360"/>
      <c r="BO24" s="355"/>
      <c r="BP24" s="355"/>
      <c r="BQ24" s="355"/>
      <c r="BR24" s="356"/>
      <c r="BS24" s="357"/>
      <c r="BT24" s="358"/>
      <c r="BU24" s="357"/>
      <c r="BV24" s="359"/>
      <c r="BW24" s="360"/>
      <c r="BX24" s="355"/>
      <c r="BY24" s="355"/>
      <c r="BZ24" s="355"/>
      <c r="CA24" s="356"/>
      <c r="CB24" s="357"/>
      <c r="CC24" s="358"/>
      <c r="CD24" s="357"/>
      <c r="CE24" s="359"/>
      <c r="CF24" s="360"/>
      <c r="CG24" s="355"/>
      <c r="CH24" s="355"/>
      <c r="CI24" s="355"/>
      <c r="CJ24" s="356"/>
      <c r="CK24" s="357"/>
      <c r="CL24" s="358"/>
      <c r="CM24" s="357"/>
      <c r="CN24" s="359"/>
      <c r="CO24" s="360"/>
      <c r="CP24" s="355"/>
      <c r="CQ24" s="355"/>
      <c r="CR24" s="355"/>
      <c r="CS24" s="356"/>
      <c r="CT24" s="357"/>
      <c r="CU24" s="358"/>
      <c r="CV24" s="361"/>
      <c r="CW24" s="359"/>
      <c r="CX24" s="360"/>
      <c r="CY24" s="355"/>
      <c r="CZ24" s="355"/>
      <c r="DA24" s="355"/>
      <c r="DB24" s="356"/>
      <c r="DC24" s="357"/>
      <c r="DD24" s="358"/>
      <c r="DE24" s="357"/>
      <c r="DF24" s="359"/>
      <c r="DG24" s="360"/>
      <c r="DH24" s="355"/>
      <c r="DI24" s="355"/>
      <c r="DJ24" s="355"/>
      <c r="DK24" s="356"/>
      <c r="DL24" s="357"/>
      <c r="DM24" s="358"/>
      <c r="DN24" s="357"/>
      <c r="DO24" s="359"/>
      <c r="DP24" s="360"/>
      <c r="DQ24" s="355"/>
      <c r="DR24" s="355"/>
      <c r="DS24" s="355"/>
      <c r="DT24" s="356"/>
      <c r="DU24" s="357"/>
      <c r="DV24" s="358"/>
      <c r="DW24" s="357"/>
      <c r="DX24" s="359"/>
      <c r="DY24" s="360"/>
      <c r="DZ24" s="355"/>
      <c r="EA24" s="355"/>
      <c r="EB24" s="355"/>
      <c r="EC24" s="356"/>
      <c r="ED24" s="357"/>
      <c r="EE24" s="358"/>
      <c r="EF24" s="357"/>
      <c r="EG24" s="359"/>
      <c r="EH24" s="360"/>
      <c r="EI24" s="355"/>
      <c r="EJ24" s="355"/>
      <c r="EK24" s="355"/>
      <c r="EL24" s="356"/>
      <c r="EM24" s="357"/>
      <c r="EN24" s="358"/>
      <c r="EO24" s="357"/>
      <c r="EP24" s="359"/>
      <c r="EQ24" s="360"/>
      <c r="ER24" s="355"/>
      <c r="ES24" s="355"/>
      <c r="ET24" s="355"/>
      <c r="EU24" s="356"/>
      <c r="EV24" s="357"/>
      <c r="EW24" s="358"/>
      <c r="EX24" s="357"/>
      <c r="EY24" s="359"/>
      <c r="EZ24" s="360"/>
      <c r="FA24" s="355"/>
      <c r="FB24" s="355"/>
      <c r="FC24" s="355"/>
      <c r="FD24" s="356"/>
      <c r="FE24" s="357"/>
      <c r="FF24" s="358"/>
      <c r="FG24" s="357"/>
      <c r="FH24" s="359"/>
      <c r="FI24" s="360"/>
      <c r="FJ24" s="355"/>
      <c r="FK24" s="355"/>
      <c r="FL24" s="355"/>
      <c r="FM24" s="356"/>
      <c r="FN24" s="357"/>
      <c r="FO24" s="358"/>
      <c r="FP24" s="357"/>
      <c r="FQ24" s="359"/>
      <c r="FR24" s="360"/>
      <c r="FS24" s="355"/>
      <c r="FT24" s="355"/>
      <c r="FU24" s="355"/>
      <c r="FV24" s="356"/>
      <c r="FW24" s="357"/>
      <c r="FX24" s="358"/>
      <c r="FY24" s="357"/>
      <c r="FZ24" s="359"/>
      <c r="GA24" s="360"/>
      <c r="GB24" s="355"/>
      <c r="GC24" s="355"/>
      <c r="GD24" s="355"/>
      <c r="GE24" s="356"/>
      <c r="GF24" s="357"/>
      <c r="GG24" s="358"/>
      <c r="GH24" s="357"/>
      <c r="GI24" s="359"/>
      <c r="GJ24" s="360"/>
      <c r="GK24" s="355"/>
      <c r="GL24" s="355"/>
      <c r="GM24" s="355"/>
      <c r="GN24" s="356"/>
      <c r="GO24" s="357"/>
      <c r="GP24" s="358"/>
      <c r="GQ24" s="357"/>
      <c r="GR24" s="359"/>
      <c r="GS24" s="360"/>
      <c r="GT24" s="362">
        <v>42958</v>
      </c>
      <c r="GU24" s="98">
        <v>22176</v>
      </c>
      <c r="GV24" s="65" t="s">
        <v>635</v>
      </c>
      <c r="GW24" s="74"/>
      <c r="GX24" s="74"/>
      <c r="GY24" s="389" t="s">
        <v>723</v>
      </c>
      <c r="GZ24" s="67">
        <v>4408</v>
      </c>
    </row>
    <row r="25" spans="1:209" x14ac:dyDescent="0.25">
      <c r="A25" s="1">
        <v>23</v>
      </c>
      <c r="B25" t="e">
        <f>#REF!</f>
        <v>#REF!</v>
      </c>
      <c r="C25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68" t="s">
        <v>558</v>
      </c>
      <c r="K25" s="407" t="s">
        <v>35</v>
      </c>
      <c r="L25" s="70">
        <v>11410</v>
      </c>
      <c r="M25" s="71">
        <v>42936</v>
      </c>
      <c r="N25" s="380" t="s">
        <v>687</v>
      </c>
      <c r="O25" s="72">
        <v>12415</v>
      </c>
      <c r="P25" s="113">
        <f t="shared" si="0"/>
        <v>1005</v>
      </c>
      <c r="Q25" s="64">
        <v>30.5</v>
      </c>
      <c r="R25" s="64"/>
      <c r="S25" s="64"/>
      <c r="T25" s="39">
        <f t="shared" si="1"/>
        <v>378657.5</v>
      </c>
      <c r="U25" s="363" t="s">
        <v>612</v>
      </c>
      <c r="V25" s="366">
        <v>42961</v>
      </c>
      <c r="W25" s="367">
        <v>9802</v>
      </c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57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362">
        <v>42961</v>
      </c>
      <c r="GU25" s="98">
        <v>17584</v>
      </c>
      <c r="GV25" s="84" t="s">
        <v>636</v>
      </c>
      <c r="GW25" s="74"/>
      <c r="GX25" s="74"/>
      <c r="GY25" s="565" t="s">
        <v>723</v>
      </c>
      <c r="GZ25" s="564">
        <v>2552</v>
      </c>
    </row>
    <row r="26" spans="1:209" x14ac:dyDescent="0.25">
      <c r="D26" s="35"/>
      <c r="E26" s="36"/>
      <c r="F26" s="37"/>
      <c r="G26" s="38"/>
      <c r="H26" s="39"/>
      <c r="I26" s="40"/>
      <c r="J26" s="68" t="s">
        <v>44</v>
      </c>
      <c r="K26" s="407" t="s">
        <v>40</v>
      </c>
      <c r="L26" s="70">
        <v>18120</v>
      </c>
      <c r="M26" s="71">
        <v>42936</v>
      </c>
      <c r="N26" s="380" t="s">
        <v>688</v>
      </c>
      <c r="O26" s="72">
        <v>25120</v>
      </c>
      <c r="P26" s="113">
        <f t="shared" si="0"/>
        <v>7000</v>
      </c>
      <c r="Q26" s="117">
        <v>30.5</v>
      </c>
      <c r="R26" s="117"/>
      <c r="S26" s="117"/>
      <c r="T26" s="39">
        <f t="shared" si="1"/>
        <v>766160</v>
      </c>
      <c r="U26" s="363" t="s">
        <v>612</v>
      </c>
      <c r="V26" s="353">
        <v>42961</v>
      </c>
      <c r="W26" s="368">
        <v>16588</v>
      </c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57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362">
        <v>42961</v>
      </c>
      <c r="GU26" s="549">
        <v>19800</v>
      </c>
      <c r="GV26" s="550" t="s">
        <v>997</v>
      </c>
      <c r="GW26" s="74"/>
      <c r="GX26" s="74"/>
      <c r="GY26" s="389" t="s">
        <v>723</v>
      </c>
      <c r="GZ26" s="67">
        <v>4408</v>
      </c>
    </row>
    <row r="27" spans="1:209" x14ac:dyDescent="0.25">
      <c r="D27" s="35"/>
      <c r="E27" s="36"/>
      <c r="F27" s="37"/>
      <c r="G27" s="38"/>
      <c r="H27" s="39"/>
      <c r="I27" s="40"/>
      <c r="J27" s="68" t="s">
        <v>44</v>
      </c>
      <c r="K27" s="407" t="s">
        <v>37</v>
      </c>
      <c r="L27" s="70">
        <v>17780</v>
      </c>
      <c r="M27" s="71">
        <v>42937</v>
      </c>
      <c r="N27" s="380" t="s">
        <v>441</v>
      </c>
      <c r="O27" s="72">
        <v>22500</v>
      </c>
      <c r="P27" s="113">
        <f t="shared" si="0"/>
        <v>4720</v>
      </c>
      <c r="Q27" s="117">
        <v>30.5</v>
      </c>
      <c r="R27" s="905"/>
      <c r="S27" s="906"/>
      <c r="T27" s="39">
        <f t="shared" si="1"/>
        <v>686250</v>
      </c>
      <c r="U27" s="363" t="s">
        <v>612</v>
      </c>
      <c r="V27" s="353">
        <v>42961</v>
      </c>
      <c r="W27" s="368">
        <v>15080</v>
      </c>
      <c r="X27" s="355"/>
      <c r="Y27" s="356"/>
      <c r="Z27" s="357"/>
      <c r="AA27" s="358"/>
      <c r="AB27" s="357"/>
      <c r="AC27" s="359"/>
      <c r="AD27" s="360"/>
      <c r="AE27" s="355"/>
      <c r="AF27" s="355"/>
      <c r="AG27" s="355"/>
      <c r="AH27" s="356"/>
      <c r="AI27" s="357"/>
      <c r="AJ27" s="358"/>
      <c r="AK27" s="357"/>
      <c r="AL27" s="359"/>
      <c r="AM27" s="360"/>
      <c r="AN27" s="355"/>
      <c r="AO27" s="355"/>
      <c r="AP27" s="355"/>
      <c r="AQ27" s="356"/>
      <c r="AR27" s="357"/>
      <c r="AS27" s="358"/>
      <c r="AT27" s="357"/>
      <c r="AU27" s="359"/>
      <c r="AV27" s="360"/>
      <c r="AW27" s="355"/>
      <c r="AX27" s="355"/>
      <c r="AY27" s="355"/>
      <c r="AZ27" s="356"/>
      <c r="BA27" s="357"/>
      <c r="BB27" s="358"/>
      <c r="BC27" s="357"/>
      <c r="BD27" s="359"/>
      <c r="BE27" s="360"/>
      <c r="BF27" s="355"/>
      <c r="BG27" s="355"/>
      <c r="BH27" s="355"/>
      <c r="BI27" s="356"/>
      <c r="BJ27" s="357"/>
      <c r="BK27" s="358"/>
      <c r="BL27" s="357"/>
      <c r="BM27" s="359"/>
      <c r="BN27" s="360"/>
      <c r="BO27" s="355"/>
      <c r="BP27" s="355"/>
      <c r="BQ27" s="355"/>
      <c r="BR27" s="356"/>
      <c r="BS27" s="357"/>
      <c r="BT27" s="358"/>
      <c r="BU27" s="357"/>
      <c r="BV27" s="359"/>
      <c r="BW27" s="360"/>
      <c r="BX27" s="355"/>
      <c r="BY27" s="355"/>
      <c r="BZ27" s="355"/>
      <c r="CA27" s="356"/>
      <c r="CB27" s="357"/>
      <c r="CC27" s="358"/>
      <c r="CD27" s="357"/>
      <c r="CE27" s="359"/>
      <c r="CF27" s="360"/>
      <c r="CG27" s="355"/>
      <c r="CH27" s="355"/>
      <c r="CI27" s="355"/>
      <c r="CJ27" s="356"/>
      <c r="CK27" s="357"/>
      <c r="CL27" s="358"/>
      <c r="CM27" s="357"/>
      <c r="CN27" s="359"/>
      <c r="CO27" s="360"/>
      <c r="CP27" s="355"/>
      <c r="CQ27" s="355"/>
      <c r="CR27" s="355"/>
      <c r="CS27" s="356"/>
      <c r="CT27" s="357"/>
      <c r="CU27" s="358"/>
      <c r="CV27" s="357"/>
      <c r="CW27" s="359"/>
      <c r="CX27" s="360"/>
      <c r="CY27" s="355"/>
      <c r="CZ27" s="355"/>
      <c r="DA27" s="355"/>
      <c r="DB27" s="356"/>
      <c r="DC27" s="357"/>
      <c r="DD27" s="358"/>
      <c r="DE27" s="357"/>
      <c r="DF27" s="359"/>
      <c r="DG27" s="360"/>
      <c r="DH27" s="355"/>
      <c r="DI27" s="355"/>
      <c r="DJ27" s="355"/>
      <c r="DK27" s="356"/>
      <c r="DL27" s="357"/>
      <c r="DM27" s="358"/>
      <c r="DN27" s="357"/>
      <c r="DO27" s="359"/>
      <c r="DP27" s="360"/>
      <c r="DQ27" s="355"/>
      <c r="DR27" s="355"/>
      <c r="DS27" s="355"/>
      <c r="DT27" s="356"/>
      <c r="DU27" s="357"/>
      <c r="DV27" s="358"/>
      <c r="DW27" s="357"/>
      <c r="DX27" s="359"/>
      <c r="DY27" s="360"/>
      <c r="DZ27" s="355"/>
      <c r="EA27" s="355"/>
      <c r="EB27" s="355"/>
      <c r="EC27" s="356"/>
      <c r="ED27" s="357"/>
      <c r="EE27" s="358"/>
      <c r="EF27" s="357"/>
      <c r="EG27" s="359"/>
      <c r="EH27" s="360"/>
      <c r="EI27" s="355"/>
      <c r="EJ27" s="355"/>
      <c r="EK27" s="355"/>
      <c r="EL27" s="356"/>
      <c r="EM27" s="357"/>
      <c r="EN27" s="358"/>
      <c r="EO27" s="357"/>
      <c r="EP27" s="359"/>
      <c r="EQ27" s="360"/>
      <c r="ER27" s="355"/>
      <c r="ES27" s="355"/>
      <c r="ET27" s="355"/>
      <c r="EU27" s="356"/>
      <c r="EV27" s="357"/>
      <c r="EW27" s="358"/>
      <c r="EX27" s="357"/>
      <c r="EY27" s="359"/>
      <c r="EZ27" s="360"/>
      <c r="FA27" s="355"/>
      <c r="FB27" s="355"/>
      <c r="FC27" s="355"/>
      <c r="FD27" s="356"/>
      <c r="FE27" s="357"/>
      <c r="FF27" s="358"/>
      <c r="FG27" s="357"/>
      <c r="FH27" s="359"/>
      <c r="FI27" s="360"/>
      <c r="FJ27" s="355"/>
      <c r="FK27" s="355"/>
      <c r="FL27" s="355"/>
      <c r="FM27" s="356"/>
      <c r="FN27" s="357"/>
      <c r="FO27" s="358"/>
      <c r="FP27" s="357"/>
      <c r="FQ27" s="359"/>
      <c r="FR27" s="360"/>
      <c r="FS27" s="355"/>
      <c r="FT27" s="355"/>
      <c r="FU27" s="355"/>
      <c r="FV27" s="356"/>
      <c r="FW27" s="357"/>
      <c r="FX27" s="358"/>
      <c r="FY27" s="357"/>
      <c r="FZ27" s="359"/>
      <c r="GA27" s="360"/>
      <c r="GB27" s="355"/>
      <c r="GC27" s="355"/>
      <c r="GD27" s="355"/>
      <c r="GE27" s="356"/>
      <c r="GF27" s="357"/>
      <c r="GG27" s="358"/>
      <c r="GH27" s="357"/>
      <c r="GI27" s="359"/>
      <c r="GJ27" s="360"/>
      <c r="GK27" s="355"/>
      <c r="GL27" s="355"/>
      <c r="GM27" s="355"/>
      <c r="GN27" s="356"/>
      <c r="GO27" s="357"/>
      <c r="GP27" s="358"/>
      <c r="GQ27" s="357"/>
      <c r="GR27" s="359"/>
      <c r="GS27" s="360"/>
      <c r="GT27" s="362">
        <v>42961</v>
      </c>
      <c r="GU27" s="98">
        <v>22176</v>
      </c>
      <c r="GV27" s="65" t="s">
        <v>637</v>
      </c>
      <c r="GW27" s="74"/>
      <c r="GX27" s="74"/>
      <c r="GY27" s="389" t="s">
        <v>723</v>
      </c>
      <c r="GZ27" s="67">
        <v>4408</v>
      </c>
    </row>
    <row r="28" spans="1:209" x14ac:dyDescent="0.25">
      <c r="D28" s="35"/>
      <c r="E28" s="36"/>
      <c r="F28" s="37"/>
      <c r="G28" s="38"/>
      <c r="H28" s="39"/>
      <c r="I28" s="40"/>
      <c r="J28" s="68" t="s">
        <v>44</v>
      </c>
      <c r="K28" s="407" t="s">
        <v>34</v>
      </c>
      <c r="L28" s="70">
        <v>18520</v>
      </c>
      <c r="M28" s="71">
        <v>42939</v>
      </c>
      <c r="N28" s="380" t="s">
        <v>689</v>
      </c>
      <c r="O28" s="72">
        <v>23350</v>
      </c>
      <c r="P28" s="113">
        <f t="shared" si="0"/>
        <v>4830</v>
      </c>
      <c r="Q28" s="64">
        <v>30</v>
      </c>
      <c r="R28" s="64"/>
      <c r="S28" s="64"/>
      <c r="T28" s="39">
        <f t="shared" si="1"/>
        <v>700500</v>
      </c>
      <c r="U28" s="363" t="s">
        <v>612</v>
      </c>
      <c r="V28" s="353">
        <v>42962</v>
      </c>
      <c r="W28" s="368">
        <v>15834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362">
        <v>42962</v>
      </c>
      <c r="GU28" s="549">
        <v>19800</v>
      </c>
      <c r="GV28" s="550" t="s">
        <v>997</v>
      </c>
      <c r="GW28" s="74"/>
      <c r="GX28" s="74"/>
      <c r="GY28" s="391" t="s">
        <v>723</v>
      </c>
      <c r="GZ28" s="67">
        <v>4408</v>
      </c>
    </row>
    <row r="29" spans="1:209" ht="26.25" x14ac:dyDescent="0.25">
      <c r="D29" s="35"/>
      <c r="E29" s="36"/>
      <c r="F29" s="37"/>
      <c r="G29" s="38"/>
      <c r="H29" s="39"/>
      <c r="I29" s="40"/>
      <c r="J29" s="68" t="s">
        <v>624</v>
      </c>
      <c r="K29" s="407" t="s">
        <v>37</v>
      </c>
      <c r="L29" s="70">
        <v>16860</v>
      </c>
      <c r="M29" s="71">
        <v>42940</v>
      </c>
      <c r="N29" s="381" t="s">
        <v>691</v>
      </c>
      <c r="O29" s="72">
        <f>21455-107</f>
        <v>21348</v>
      </c>
      <c r="P29" s="113">
        <f t="shared" si="0"/>
        <v>4488</v>
      </c>
      <c r="Q29" s="117">
        <v>30</v>
      </c>
      <c r="R29" s="64"/>
      <c r="S29" s="120"/>
      <c r="T29" s="39">
        <f t="shared" si="1"/>
        <v>640440</v>
      </c>
      <c r="U29" s="363" t="s">
        <v>612</v>
      </c>
      <c r="V29" s="353">
        <v>42963</v>
      </c>
      <c r="W29" s="369">
        <v>15080</v>
      </c>
      <c r="X29" s="355"/>
      <c r="Y29" s="356"/>
      <c r="Z29" s="357"/>
      <c r="AA29" s="358"/>
      <c r="AB29" s="357"/>
      <c r="AC29" s="359"/>
      <c r="AD29" s="360"/>
      <c r="AE29" s="355"/>
      <c r="AF29" s="355"/>
      <c r="AG29" s="355"/>
      <c r="AH29" s="356"/>
      <c r="AI29" s="357"/>
      <c r="AJ29" s="358"/>
      <c r="AK29" s="357"/>
      <c r="AL29" s="359"/>
      <c r="AM29" s="360"/>
      <c r="AN29" s="355"/>
      <c r="AO29" s="355"/>
      <c r="AP29" s="355"/>
      <c r="AQ29" s="356"/>
      <c r="AR29" s="357"/>
      <c r="AS29" s="358"/>
      <c r="AT29" s="357"/>
      <c r="AU29" s="359"/>
      <c r="AV29" s="360"/>
      <c r="AW29" s="355"/>
      <c r="AX29" s="355"/>
      <c r="AY29" s="355"/>
      <c r="AZ29" s="356"/>
      <c r="BA29" s="357"/>
      <c r="BB29" s="358"/>
      <c r="BC29" s="357"/>
      <c r="BD29" s="359"/>
      <c r="BE29" s="360"/>
      <c r="BF29" s="355"/>
      <c r="BG29" s="355"/>
      <c r="BH29" s="355"/>
      <c r="BI29" s="356"/>
      <c r="BJ29" s="357"/>
      <c r="BK29" s="358"/>
      <c r="BL29" s="357"/>
      <c r="BM29" s="359"/>
      <c r="BN29" s="360"/>
      <c r="BO29" s="355"/>
      <c r="BP29" s="355"/>
      <c r="BQ29" s="355"/>
      <c r="BR29" s="356"/>
      <c r="BS29" s="357"/>
      <c r="BT29" s="358"/>
      <c r="BU29" s="357"/>
      <c r="BV29" s="359"/>
      <c r="BW29" s="360"/>
      <c r="BX29" s="355"/>
      <c r="BY29" s="355"/>
      <c r="BZ29" s="355"/>
      <c r="CA29" s="356"/>
      <c r="CB29" s="357"/>
      <c r="CC29" s="358"/>
      <c r="CD29" s="357"/>
      <c r="CE29" s="359"/>
      <c r="CF29" s="360"/>
      <c r="CG29" s="355"/>
      <c r="CH29" s="355"/>
      <c r="CI29" s="355"/>
      <c r="CJ29" s="356"/>
      <c r="CK29" s="357"/>
      <c r="CL29" s="358"/>
      <c r="CM29" s="357"/>
      <c r="CN29" s="359"/>
      <c r="CO29" s="360"/>
      <c r="CP29" s="355"/>
      <c r="CQ29" s="355"/>
      <c r="CR29" s="355"/>
      <c r="CS29" s="356"/>
      <c r="CT29" s="357"/>
      <c r="CU29" s="358"/>
      <c r="CV29" s="357"/>
      <c r="CW29" s="359"/>
      <c r="CX29" s="360"/>
      <c r="CY29" s="355"/>
      <c r="CZ29" s="355"/>
      <c r="DA29" s="355"/>
      <c r="DB29" s="356"/>
      <c r="DC29" s="357"/>
      <c r="DD29" s="358"/>
      <c r="DE29" s="357"/>
      <c r="DF29" s="359"/>
      <c r="DG29" s="360"/>
      <c r="DH29" s="355"/>
      <c r="DI29" s="355"/>
      <c r="DJ29" s="355"/>
      <c r="DK29" s="356"/>
      <c r="DL29" s="357"/>
      <c r="DM29" s="358"/>
      <c r="DN29" s="357"/>
      <c r="DO29" s="359"/>
      <c r="DP29" s="360"/>
      <c r="DQ29" s="355"/>
      <c r="DR29" s="355"/>
      <c r="DS29" s="355"/>
      <c r="DT29" s="356"/>
      <c r="DU29" s="357"/>
      <c r="DV29" s="358"/>
      <c r="DW29" s="357"/>
      <c r="DX29" s="359"/>
      <c r="DY29" s="360"/>
      <c r="DZ29" s="355"/>
      <c r="EA29" s="355"/>
      <c r="EB29" s="355"/>
      <c r="EC29" s="356"/>
      <c r="ED29" s="357"/>
      <c r="EE29" s="358"/>
      <c r="EF29" s="357"/>
      <c r="EG29" s="359"/>
      <c r="EH29" s="360"/>
      <c r="EI29" s="355"/>
      <c r="EJ29" s="355"/>
      <c r="EK29" s="355"/>
      <c r="EL29" s="356"/>
      <c r="EM29" s="357"/>
      <c r="EN29" s="358"/>
      <c r="EO29" s="357"/>
      <c r="EP29" s="359"/>
      <c r="EQ29" s="360"/>
      <c r="ER29" s="355"/>
      <c r="ES29" s="355"/>
      <c r="ET29" s="355"/>
      <c r="EU29" s="356"/>
      <c r="EV29" s="357"/>
      <c r="EW29" s="358"/>
      <c r="EX29" s="357"/>
      <c r="EY29" s="359"/>
      <c r="EZ29" s="360"/>
      <c r="FA29" s="355"/>
      <c r="FB29" s="355"/>
      <c r="FC29" s="355"/>
      <c r="FD29" s="356"/>
      <c r="FE29" s="357"/>
      <c r="FF29" s="358"/>
      <c r="FG29" s="357"/>
      <c r="FH29" s="359"/>
      <c r="FI29" s="360"/>
      <c r="FJ29" s="355"/>
      <c r="FK29" s="355"/>
      <c r="FL29" s="355"/>
      <c r="FM29" s="356"/>
      <c r="FN29" s="357"/>
      <c r="FO29" s="358"/>
      <c r="FP29" s="357"/>
      <c r="FQ29" s="359"/>
      <c r="FR29" s="360"/>
      <c r="FS29" s="355"/>
      <c r="FT29" s="355"/>
      <c r="FU29" s="355"/>
      <c r="FV29" s="356"/>
      <c r="FW29" s="357"/>
      <c r="FX29" s="358"/>
      <c r="FY29" s="357"/>
      <c r="FZ29" s="359"/>
      <c r="GA29" s="360"/>
      <c r="GB29" s="355"/>
      <c r="GC29" s="355"/>
      <c r="GD29" s="355"/>
      <c r="GE29" s="356"/>
      <c r="GF29" s="357"/>
      <c r="GG29" s="358"/>
      <c r="GH29" s="357"/>
      <c r="GI29" s="359"/>
      <c r="GJ29" s="360"/>
      <c r="GK29" s="355"/>
      <c r="GL29" s="355"/>
      <c r="GM29" s="355"/>
      <c r="GN29" s="356"/>
      <c r="GO29" s="357"/>
      <c r="GP29" s="358"/>
      <c r="GQ29" s="357"/>
      <c r="GR29" s="359"/>
      <c r="GS29" s="360"/>
      <c r="GT29" s="370">
        <v>42963</v>
      </c>
      <c r="GU29" s="131">
        <v>22176</v>
      </c>
      <c r="GV29" s="545" t="s">
        <v>659</v>
      </c>
      <c r="GW29" s="74"/>
      <c r="GX29" s="74"/>
      <c r="GY29" s="391" t="s">
        <v>723</v>
      </c>
      <c r="GZ29" s="67">
        <v>4408</v>
      </c>
    </row>
    <row r="30" spans="1:209" ht="30" x14ac:dyDescent="0.25">
      <c r="D30" s="35"/>
      <c r="E30" s="36"/>
      <c r="F30" s="37"/>
      <c r="G30" s="38"/>
      <c r="H30" s="39"/>
      <c r="I30" s="40"/>
      <c r="J30" s="68" t="s">
        <v>625</v>
      </c>
      <c r="K30" s="451" t="s">
        <v>37</v>
      </c>
      <c r="L30" s="70">
        <v>15870</v>
      </c>
      <c r="M30" s="71">
        <v>42941</v>
      </c>
      <c r="N30" s="380" t="s">
        <v>690</v>
      </c>
      <c r="O30" s="72">
        <f>20305-202</f>
        <v>20103</v>
      </c>
      <c r="P30" s="113">
        <f t="shared" si="0"/>
        <v>4233</v>
      </c>
      <c r="Q30" s="117">
        <v>30</v>
      </c>
      <c r="R30" s="117"/>
      <c r="S30" s="89"/>
      <c r="T30" s="39">
        <f t="shared" si="1"/>
        <v>603090</v>
      </c>
      <c r="U30" s="363" t="s">
        <v>612</v>
      </c>
      <c r="V30" s="353">
        <v>42963</v>
      </c>
      <c r="W30" s="368">
        <v>15080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362">
        <v>42963</v>
      </c>
      <c r="GU30" s="549">
        <v>19800</v>
      </c>
      <c r="GV30" s="550" t="s">
        <v>997</v>
      </c>
      <c r="GW30" s="74"/>
      <c r="GX30" s="74"/>
      <c r="GY30" s="391" t="s">
        <v>723</v>
      </c>
      <c r="GZ30" s="67">
        <v>4408</v>
      </c>
    </row>
    <row r="31" spans="1:209" ht="30" x14ac:dyDescent="0.25">
      <c r="D31" s="35"/>
      <c r="E31" s="36"/>
      <c r="F31" s="37"/>
      <c r="G31" s="38"/>
      <c r="H31" s="39"/>
      <c r="I31" s="40"/>
      <c r="J31" s="68" t="s">
        <v>626</v>
      </c>
      <c r="K31" s="451" t="s">
        <v>37</v>
      </c>
      <c r="L31" s="70">
        <v>17980</v>
      </c>
      <c r="M31" s="71">
        <v>42942</v>
      </c>
      <c r="N31" s="380" t="s">
        <v>693</v>
      </c>
      <c r="O31" s="72">
        <f>22830-114</f>
        <v>22716</v>
      </c>
      <c r="P31" s="113">
        <f t="shared" si="0"/>
        <v>4736</v>
      </c>
      <c r="Q31" s="117">
        <v>30</v>
      </c>
      <c r="R31" s="117"/>
      <c r="S31" s="89"/>
      <c r="T31" s="39">
        <f>Q31*O31</f>
        <v>681480</v>
      </c>
      <c r="U31" s="363" t="s">
        <v>612</v>
      </c>
      <c r="V31" s="353">
        <v>42964</v>
      </c>
      <c r="W31" s="368">
        <v>15080</v>
      </c>
      <c r="X31" s="355"/>
      <c r="Y31" s="356"/>
      <c r="Z31" s="357"/>
      <c r="AA31" s="358"/>
      <c r="AB31" s="357"/>
      <c r="AC31" s="359"/>
      <c r="AD31" s="360"/>
      <c r="AE31" s="355"/>
      <c r="AF31" s="355"/>
      <c r="AG31" s="355"/>
      <c r="AH31" s="356"/>
      <c r="AI31" s="357"/>
      <c r="AJ31" s="358"/>
      <c r="AK31" s="357"/>
      <c r="AL31" s="359"/>
      <c r="AM31" s="360"/>
      <c r="AN31" s="355"/>
      <c r="AO31" s="355"/>
      <c r="AP31" s="355"/>
      <c r="AQ31" s="356"/>
      <c r="AR31" s="357"/>
      <c r="AS31" s="358"/>
      <c r="AT31" s="357"/>
      <c r="AU31" s="359"/>
      <c r="AV31" s="360"/>
      <c r="AW31" s="355"/>
      <c r="AX31" s="355"/>
      <c r="AY31" s="355"/>
      <c r="AZ31" s="356"/>
      <c r="BA31" s="357"/>
      <c r="BB31" s="358"/>
      <c r="BC31" s="357"/>
      <c r="BD31" s="359"/>
      <c r="BE31" s="360"/>
      <c r="BF31" s="355"/>
      <c r="BG31" s="355"/>
      <c r="BH31" s="355"/>
      <c r="BI31" s="356"/>
      <c r="BJ31" s="357"/>
      <c r="BK31" s="358"/>
      <c r="BL31" s="357"/>
      <c r="BM31" s="359"/>
      <c r="BN31" s="360"/>
      <c r="BO31" s="355"/>
      <c r="BP31" s="355"/>
      <c r="BQ31" s="355"/>
      <c r="BR31" s="356"/>
      <c r="BS31" s="357"/>
      <c r="BT31" s="358"/>
      <c r="BU31" s="357"/>
      <c r="BV31" s="359"/>
      <c r="BW31" s="360"/>
      <c r="BX31" s="355"/>
      <c r="BY31" s="355"/>
      <c r="BZ31" s="355"/>
      <c r="CA31" s="356"/>
      <c r="CB31" s="357"/>
      <c r="CC31" s="358"/>
      <c r="CD31" s="357"/>
      <c r="CE31" s="359"/>
      <c r="CF31" s="360"/>
      <c r="CG31" s="355"/>
      <c r="CH31" s="355"/>
      <c r="CI31" s="355"/>
      <c r="CJ31" s="356"/>
      <c r="CK31" s="357"/>
      <c r="CL31" s="358"/>
      <c r="CM31" s="357"/>
      <c r="CN31" s="359"/>
      <c r="CO31" s="360"/>
      <c r="CP31" s="355"/>
      <c r="CQ31" s="355"/>
      <c r="CR31" s="355"/>
      <c r="CS31" s="356"/>
      <c r="CT31" s="357"/>
      <c r="CU31" s="358"/>
      <c r="CV31" s="357"/>
      <c r="CW31" s="359"/>
      <c r="CX31" s="360"/>
      <c r="CY31" s="355"/>
      <c r="CZ31" s="355"/>
      <c r="DA31" s="355"/>
      <c r="DB31" s="356"/>
      <c r="DC31" s="357"/>
      <c r="DD31" s="358"/>
      <c r="DE31" s="357"/>
      <c r="DF31" s="359"/>
      <c r="DG31" s="360"/>
      <c r="DH31" s="355"/>
      <c r="DI31" s="355"/>
      <c r="DJ31" s="355"/>
      <c r="DK31" s="356"/>
      <c r="DL31" s="357"/>
      <c r="DM31" s="358"/>
      <c r="DN31" s="357"/>
      <c r="DO31" s="359"/>
      <c r="DP31" s="360"/>
      <c r="DQ31" s="355"/>
      <c r="DR31" s="355"/>
      <c r="DS31" s="355"/>
      <c r="DT31" s="356"/>
      <c r="DU31" s="357"/>
      <c r="DV31" s="358"/>
      <c r="DW31" s="357"/>
      <c r="DX31" s="359"/>
      <c r="DY31" s="360"/>
      <c r="DZ31" s="355"/>
      <c r="EA31" s="355"/>
      <c r="EB31" s="355"/>
      <c r="EC31" s="356"/>
      <c r="ED31" s="357"/>
      <c r="EE31" s="358"/>
      <c r="EF31" s="357"/>
      <c r="EG31" s="359"/>
      <c r="EH31" s="360"/>
      <c r="EI31" s="355"/>
      <c r="EJ31" s="355"/>
      <c r="EK31" s="355"/>
      <c r="EL31" s="356"/>
      <c r="EM31" s="357"/>
      <c r="EN31" s="358"/>
      <c r="EO31" s="357"/>
      <c r="EP31" s="359"/>
      <c r="EQ31" s="360"/>
      <c r="ER31" s="355"/>
      <c r="ES31" s="355"/>
      <c r="ET31" s="355"/>
      <c r="EU31" s="356"/>
      <c r="EV31" s="357"/>
      <c r="EW31" s="358"/>
      <c r="EX31" s="357"/>
      <c r="EY31" s="359"/>
      <c r="EZ31" s="360"/>
      <c r="FA31" s="355"/>
      <c r="FB31" s="355"/>
      <c r="FC31" s="355"/>
      <c r="FD31" s="356"/>
      <c r="FE31" s="357"/>
      <c r="FF31" s="358"/>
      <c r="FG31" s="357"/>
      <c r="FH31" s="359"/>
      <c r="FI31" s="360"/>
      <c r="FJ31" s="355"/>
      <c r="FK31" s="355"/>
      <c r="FL31" s="355"/>
      <c r="FM31" s="356"/>
      <c r="FN31" s="357"/>
      <c r="FO31" s="358"/>
      <c r="FP31" s="357"/>
      <c r="FQ31" s="359"/>
      <c r="FR31" s="360"/>
      <c r="FS31" s="355"/>
      <c r="FT31" s="355"/>
      <c r="FU31" s="355"/>
      <c r="FV31" s="356"/>
      <c r="FW31" s="357"/>
      <c r="FX31" s="358"/>
      <c r="FY31" s="357"/>
      <c r="FZ31" s="359"/>
      <c r="GA31" s="360"/>
      <c r="GB31" s="355"/>
      <c r="GC31" s="355"/>
      <c r="GD31" s="355"/>
      <c r="GE31" s="356"/>
      <c r="GF31" s="357"/>
      <c r="GG31" s="358"/>
      <c r="GH31" s="357"/>
      <c r="GI31" s="359"/>
      <c r="GJ31" s="360"/>
      <c r="GK31" s="355"/>
      <c r="GL31" s="355"/>
      <c r="GM31" s="355"/>
      <c r="GN31" s="356"/>
      <c r="GO31" s="357"/>
      <c r="GP31" s="358"/>
      <c r="GQ31" s="357"/>
      <c r="GR31" s="359"/>
      <c r="GS31" s="360"/>
      <c r="GT31" s="362">
        <v>42964</v>
      </c>
      <c r="GU31" s="131">
        <v>22176</v>
      </c>
      <c r="GV31" s="153" t="s">
        <v>660</v>
      </c>
      <c r="GW31" s="74"/>
      <c r="GX31" s="74"/>
      <c r="GY31" s="391" t="s">
        <v>723</v>
      </c>
      <c r="GZ31" s="67">
        <v>4408</v>
      </c>
    </row>
    <row r="32" spans="1:209" x14ac:dyDescent="0.25">
      <c r="D32" s="35"/>
      <c r="E32" s="36"/>
      <c r="F32" s="37"/>
      <c r="G32" s="38"/>
      <c r="H32" s="39"/>
      <c r="I32" s="40"/>
      <c r="J32" s="68" t="s">
        <v>627</v>
      </c>
      <c r="K32" s="407" t="s">
        <v>41</v>
      </c>
      <c r="L32" s="70">
        <v>17780</v>
      </c>
      <c r="M32" s="71">
        <v>42943</v>
      </c>
      <c r="N32" s="380" t="s">
        <v>698</v>
      </c>
      <c r="O32" s="72">
        <f>24900-100</f>
        <v>24800</v>
      </c>
      <c r="P32" s="113">
        <f t="shared" si="0"/>
        <v>7020</v>
      </c>
      <c r="Q32" s="64">
        <v>30</v>
      </c>
      <c r="R32" s="124"/>
      <c r="S32" s="117"/>
      <c r="T32" s="39">
        <f t="shared" si="1"/>
        <v>744000</v>
      </c>
      <c r="U32" s="363" t="s">
        <v>612</v>
      </c>
      <c r="V32" s="353">
        <v>42965</v>
      </c>
      <c r="W32" s="371">
        <v>18850</v>
      </c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370">
        <v>42965</v>
      </c>
      <c r="GU32" s="549">
        <v>19800</v>
      </c>
      <c r="GV32" s="550" t="s">
        <v>997</v>
      </c>
      <c r="GW32" s="74"/>
      <c r="GX32" s="74"/>
      <c r="GY32" s="391" t="s">
        <v>723</v>
      </c>
      <c r="GZ32" s="67">
        <v>4408</v>
      </c>
    </row>
    <row r="33" spans="1:208" x14ac:dyDescent="0.25">
      <c r="D33" s="35"/>
      <c r="E33" s="36"/>
      <c r="F33" s="37"/>
      <c r="G33" s="38"/>
      <c r="H33" s="39"/>
      <c r="I33" s="40"/>
      <c r="J33" s="68" t="s">
        <v>628</v>
      </c>
      <c r="K33" s="407" t="s">
        <v>46</v>
      </c>
      <c r="L33" s="70">
        <v>11390</v>
      </c>
      <c r="M33" s="71">
        <v>42943</v>
      </c>
      <c r="N33" s="380" t="s">
        <v>699</v>
      </c>
      <c r="O33" s="72">
        <v>11340</v>
      </c>
      <c r="P33" s="113">
        <f t="shared" si="0"/>
        <v>-50</v>
      </c>
      <c r="Q33" s="64">
        <v>30</v>
      </c>
      <c r="R33" s="124"/>
      <c r="S33" s="125"/>
      <c r="T33" s="39">
        <f t="shared" si="1"/>
        <v>340200</v>
      </c>
      <c r="U33" s="363" t="s">
        <v>612</v>
      </c>
      <c r="V33" s="353">
        <v>42968</v>
      </c>
      <c r="W33" s="371">
        <v>7540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370">
        <v>42968</v>
      </c>
      <c r="GU33" s="131">
        <v>17584</v>
      </c>
      <c r="GV33" s="153" t="s">
        <v>661</v>
      </c>
      <c r="GW33" s="74"/>
      <c r="GX33" s="74"/>
      <c r="GY33" s="391" t="s">
        <v>723</v>
      </c>
      <c r="GZ33" s="67">
        <v>2552</v>
      </c>
    </row>
    <row r="34" spans="1:208" x14ac:dyDescent="0.25">
      <c r="A34"/>
      <c r="D34" s="35"/>
      <c r="E34" s="36"/>
      <c r="F34" s="37"/>
      <c r="G34" s="38"/>
      <c r="H34" s="39"/>
      <c r="I34" s="40"/>
      <c r="J34" s="68" t="s">
        <v>629</v>
      </c>
      <c r="K34" s="407" t="s">
        <v>46</v>
      </c>
      <c r="L34" s="70">
        <v>11520</v>
      </c>
      <c r="M34" s="71">
        <v>42944</v>
      </c>
      <c r="N34" s="380" t="s">
        <v>700</v>
      </c>
      <c r="O34" s="72">
        <v>10930</v>
      </c>
      <c r="P34" s="113">
        <f t="shared" si="0"/>
        <v>-590</v>
      </c>
      <c r="Q34" s="126">
        <v>30</v>
      </c>
      <c r="R34" s="127"/>
      <c r="S34" s="127"/>
      <c r="T34" s="39">
        <f t="shared" si="1"/>
        <v>327900</v>
      </c>
      <c r="U34" s="363" t="s">
        <v>612</v>
      </c>
      <c r="V34" s="353">
        <v>42968</v>
      </c>
      <c r="W34" s="368">
        <v>7540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562">
        <v>42968</v>
      </c>
      <c r="GU34" s="131">
        <v>17584</v>
      </c>
      <c r="GV34" s="153" t="s">
        <v>663</v>
      </c>
      <c r="GW34" s="74"/>
      <c r="GX34" s="74"/>
      <c r="GY34" s="391" t="s">
        <v>723</v>
      </c>
      <c r="GZ34" s="67">
        <v>2552</v>
      </c>
    </row>
    <row r="35" spans="1:208" x14ac:dyDescent="0.25">
      <c r="A35"/>
      <c r="D35" s="35"/>
      <c r="E35" s="36"/>
      <c r="F35" s="37"/>
      <c r="G35" s="38"/>
      <c r="H35" s="39"/>
      <c r="I35" s="40"/>
      <c r="J35" s="68" t="s">
        <v>631</v>
      </c>
      <c r="K35" s="407" t="s">
        <v>630</v>
      </c>
      <c r="L35" s="70">
        <v>17820</v>
      </c>
      <c r="M35" s="71">
        <v>42944</v>
      </c>
      <c r="N35" s="380" t="s">
        <v>701</v>
      </c>
      <c r="O35" s="72">
        <v>26080</v>
      </c>
      <c r="P35" s="113">
        <f t="shared" si="0"/>
        <v>8260</v>
      </c>
      <c r="Q35" s="117">
        <v>30</v>
      </c>
      <c r="R35" s="127"/>
      <c r="S35" s="127"/>
      <c r="T35" s="39">
        <f t="shared" si="1"/>
        <v>782400</v>
      </c>
      <c r="U35" s="363" t="s">
        <v>612</v>
      </c>
      <c r="V35" s="353">
        <v>42968</v>
      </c>
      <c r="W35" s="368">
        <v>17492.8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362">
        <v>42968</v>
      </c>
      <c r="GU35" s="131">
        <v>22176</v>
      </c>
      <c r="GV35" s="153" t="s">
        <v>662</v>
      </c>
      <c r="GW35" s="74"/>
      <c r="GX35" s="74"/>
      <c r="GY35" s="391" t="s">
        <v>723</v>
      </c>
      <c r="GZ35" s="67">
        <v>4408</v>
      </c>
    </row>
    <row r="36" spans="1:208" ht="30" x14ac:dyDescent="0.25">
      <c r="A36"/>
      <c r="D36" s="35"/>
      <c r="E36" s="36"/>
      <c r="F36" s="37"/>
      <c r="G36" s="38"/>
      <c r="H36" s="39"/>
      <c r="I36" s="40"/>
      <c r="J36" s="68" t="s">
        <v>632</v>
      </c>
      <c r="K36" s="407" t="s">
        <v>155</v>
      </c>
      <c r="L36" s="70">
        <v>10820</v>
      </c>
      <c r="M36" s="71">
        <v>42946</v>
      </c>
      <c r="N36" s="380" t="s">
        <v>702</v>
      </c>
      <c r="O36" s="72">
        <f>13915-107</f>
        <v>13808</v>
      </c>
      <c r="P36" s="113">
        <f t="shared" si="0"/>
        <v>2988</v>
      </c>
      <c r="Q36" s="117">
        <v>30</v>
      </c>
      <c r="R36" s="117"/>
      <c r="S36" s="117"/>
      <c r="T36" s="39">
        <f>Q36*O36</f>
        <v>414240</v>
      </c>
      <c r="U36" s="363" t="s">
        <v>612</v>
      </c>
      <c r="V36" s="353">
        <v>42969</v>
      </c>
      <c r="W36" s="368">
        <v>9802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370">
        <v>42969</v>
      </c>
      <c r="GU36" s="131">
        <v>17584</v>
      </c>
      <c r="GV36" s="153" t="s">
        <v>669</v>
      </c>
      <c r="GW36" s="74"/>
      <c r="GX36" s="74"/>
      <c r="GY36" s="391" t="s">
        <v>724</v>
      </c>
      <c r="GZ36" s="67">
        <v>2552</v>
      </c>
    </row>
    <row r="37" spans="1:208" x14ac:dyDescent="0.25">
      <c r="A37"/>
      <c r="D37" s="35"/>
      <c r="E37" s="36"/>
      <c r="F37" s="37"/>
      <c r="G37" s="38"/>
      <c r="H37" s="39"/>
      <c r="I37" s="40"/>
      <c r="J37" s="68" t="s">
        <v>642</v>
      </c>
      <c r="K37" s="407" t="s">
        <v>568</v>
      </c>
      <c r="L37" s="70">
        <v>16710</v>
      </c>
      <c r="M37" s="71">
        <v>42947</v>
      </c>
      <c r="N37" s="380" t="s">
        <v>710</v>
      </c>
      <c r="O37" s="72">
        <v>21055</v>
      </c>
      <c r="P37" s="113">
        <f t="shared" si="0"/>
        <v>4345</v>
      </c>
      <c r="Q37" s="117">
        <v>30</v>
      </c>
      <c r="R37" s="117"/>
      <c r="S37" s="117"/>
      <c r="T37" s="39">
        <f>Q37*O37</f>
        <v>631650</v>
      </c>
      <c r="U37" s="363" t="s">
        <v>612</v>
      </c>
      <c r="V37" s="353">
        <v>42970</v>
      </c>
      <c r="W37" s="368">
        <v>15004.6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362">
        <v>42970</v>
      </c>
      <c r="GU37" s="549">
        <v>19800</v>
      </c>
      <c r="GV37" s="550" t="s">
        <v>997</v>
      </c>
      <c r="GW37" s="74"/>
      <c r="GX37" s="74"/>
      <c r="GY37" s="391" t="s">
        <v>723</v>
      </c>
      <c r="GZ37" s="67">
        <v>4408</v>
      </c>
    </row>
    <row r="38" spans="1:208" x14ac:dyDescent="0.25">
      <c r="A38"/>
      <c r="D38" s="35"/>
      <c r="E38" s="36"/>
      <c r="F38" s="37"/>
      <c r="G38" s="38"/>
      <c r="H38" s="39"/>
      <c r="I38" s="40"/>
      <c r="J38" s="76" t="s">
        <v>643</v>
      </c>
      <c r="K38" s="451" t="s">
        <v>644</v>
      </c>
      <c r="L38" s="70">
        <v>666.8</v>
      </c>
      <c r="M38" s="71">
        <v>42947</v>
      </c>
      <c r="N38" s="380" t="s">
        <v>676</v>
      </c>
      <c r="O38" s="72">
        <v>666.8</v>
      </c>
      <c r="P38" s="113">
        <f t="shared" si="0"/>
        <v>0</v>
      </c>
      <c r="Q38" s="64">
        <v>22</v>
      </c>
      <c r="R38" s="117" t="s">
        <v>677</v>
      </c>
      <c r="S38" s="117"/>
      <c r="T38" s="39">
        <f>Q38*O38</f>
        <v>14669.599999999999</v>
      </c>
      <c r="U38" s="363" t="s">
        <v>612</v>
      </c>
      <c r="V38" s="353">
        <v>42958</v>
      </c>
      <c r="W38" s="368"/>
      <c r="X38" s="355"/>
      <c r="Y38" s="356"/>
      <c r="Z38" s="357"/>
      <c r="AA38" s="358"/>
      <c r="AB38" s="357"/>
      <c r="AC38" s="359"/>
      <c r="AD38" s="360"/>
      <c r="AE38" s="355"/>
      <c r="AF38" s="355"/>
      <c r="AG38" s="355"/>
      <c r="AH38" s="356"/>
      <c r="AI38" s="357"/>
      <c r="AJ38" s="358"/>
      <c r="AK38" s="357"/>
      <c r="AL38" s="359"/>
      <c r="AM38" s="360"/>
      <c r="AN38" s="355"/>
      <c r="AO38" s="355"/>
      <c r="AP38" s="355"/>
      <c r="AQ38" s="356"/>
      <c r="AR38" s="357"/>
      <c r="AS38" s="358"/>
      <c r="AT38" s="357"/>
      <c r="AU38" s="359"/>
      <c r="AV38" s="360"/>
      <c r="AW38" s="355"/>
      <c r="AX38" s="355"/>
      <c r="AY38" s="355"/>
      <c r="AZ38" s="356"/>
      <c r="BA38" s="357"/>
      <c r="BB38" s="358"/>
      <c r="BC38" s="357"/>
      <c r="BD38" s="359"/>
      <c r="BE38" s="360"/>
      <c r="BF38" s="355"/>
      <c r="BG38" s="355"/>
      <c r="BH38" s="355"/>
      <c r="BI38" s="356"/>
      <c r="BJ38" s="357"/>
      <c r="BK38" s="358"/>
      <c r="BL38" s="357"/>
      <c r="BM38" s="359"/>
      <c r="BN38" s="360"/>
      <c r="BO38" s="355"/>
      <c r="BP38" s="355"/>
      <c r="BQ38" s="355"/>
      <c r="BR38" s="356"/>
      <c r="BS38" s="357"/>
      <c r="BT38" s="358"/>
      <c r="BU38" s="357"/>
      <c r="BV38" s="359"/>
      <c r="BW38" s="360"/>
      <c r="BX38" s="355"/>
      <c r="BY38" s="355"/>
      <c r="BZ38" s="355"/>
      <c r="CA38" s="356"/>
      <c r="CB38" s="357"/>
      <c r="CC38" s="358"/>
      <c r="CD38" s="357"/>
      <c r="CE38" s="359"/>
      <c r="CF38" s="360"/>
      <c r="CG38" s="355"/>
      <c r="CH38" s="355"/>
      <c r="CI38" s="355"/>
      <c r="CJ38" s="356"/>
      <c r="CK38" s="357"/>
      <c r="CL38" s="358"/>
      <c r="CM38" s="357"/>
      <c r="CN38" s="359"/>
      <c r="CO38" s="360"/>
      <c r="CP38" s="355"/>
      <c r="CQ38" s="355"/>
      <c r="CR38" s="355"/>
      <c r="CS38" s="356"/>
      <c r="CT38" s="357"/>
      <c r="CU38" s="358"/>
      <c r="CV38" s="357"/>
      <c r="CW38" s="359"/>
      <c r="CX38" s="360"/>
      <c r="CY38" s="355"/>
      <c r="CZ38" s="355"/>
      <c r="DA38" s="355"/>
      <c r="DB38" s="356"/>
      <c r="DC38" s="357"/>
      <c r="DD38" s="358"/>
      <c r="DE38" s="357"/>
      <c r="DF38" s="359"/>
      <c r="DG38" s="360"/>
      <c r="DH38" s="355"/>
      <c r="DI38" s="355"/>
      <c r="DJ38" s="355"/>
      <c r="DK38" s="356"/>
      <c r="DL38" s="357"/>
      <c r="DM38" s="358"/>
      <c r="DN38" s="357"/>
      <c r="DO38" s="359"/>
      <c r="DP38" s="360"/>
      <c r="DQ38" s="355"/>
      <c r="DR38" s="355"/>
      <c r="DS38" s="355"/>
      <c r="DT38" s="356"/>
      <c r="DU38" s="357"/>
      <c r="DV38" s="358"/>
      <c r="DW38" s="357"/>
      <c r="DX38" s="359"/>
      <c r="DY38" s="360"/>
      <c r="DZ38" s="355"/>
      <c r="EA38" s="355"/>
      <c r="EB38" s="355"/>
      <c r="EC38" s="356"/>
      <c r="ED38" s="357"/>
      <c r="EE38" s="358"/>
      <c r="EF38" s="357"/>
      <c r="EG38" s="359"/>
      <c r="EH38" s="360"/>
      <c r="EI38" s="355"/>
      <c r="EJ38" s="355"/>
      <c r="EK38" s="355"/>
      <c r="EL38" s="356"/>
      <c r="EM38" s="357"/>
      <c r="EN38" s="358"/>
      <c r="EO38" s="357"/>
      <c r="EP38" s="359"/>
      <c r="EQ38" s="360"/>
      <c r="ER38" s="355"/>
      <c r="ES38" s="355"/>
      <c r="ET38" s="355"/>
      <c r="EU38" s="356"/>
      <c r="EV38" s="357"/>
      <c r="EW38" s="358"/>
      <c r="EX38" s="357"/>
      <c r="EY38" s="359"/>
      <c r="EZ38" s="360"/>
      <c r="FA38" s="355"/>
      <c r="FB38" s="355"/>
      <c r="FC38" s="355"/>
      <c r="FD38" s="356"/>
      <c r="FE38" s="357"/>
      <c r="FF38" s="358"/>
      <c r="FG38" s="357"/>
      <c r="FH38" s="359"/>
      <c r="FI38" s="360"/>
      <c r="FJ38" s="355"/>
      <c r="FK38" s="355"/>
      <c r="FL38" s="355"/>
      <c r="FM38" s="356"/>
      <c r="FN38" s="357"/>
      <c r="FO38" s="358"/>
      <c r="FP38" s="357"/>
      <c r="FQ38" s="359"/>
      <c r="FR38" s="360"/>
      <c r="FS38" s="355"/>
      <c r="FT38" s="355"/>
      <c r="FU38" s="355"/>
      <c r="FV38" s="356"/>
      <c r="FW38" s="357"/>
      <c r="FX38" s="358"/>
      <c r="FY38" s="357"/>
      <c r="FZ38" s="359"/>
      <c r="GA38" s="360"/>
      <c r="GB38" s="355"/>
      <c r="GC38" s="355"/>
      <c r="GD38" s="355"/>
      <c r="GE38" s="356"/>
      <c r="GF38" s="357"/>
      <c r="GG38" s="358"/>
      <c r="GH38" s="357"/>
      <c r="GI38" s="359"/>
      <c r="GJ38" s="360"/>
      <c r="GK38" s="355"/>
      <c r="GL38" s="355"/>
      <c r="GM38" s="355"/>
      <c r="GN38" s="356"/>
      <c r="GO38" s="357"/>
      <c r="GP38" s="358"/>
      <c r="GQ38" s="357"/>
      <c r="GR38" s="359"/>
      <c r="GS38" s="360"/>
      <c r="GT38" s="414"/>
      <c r="GU38" s="131"/>
      <c r="GV38" s="545"/>
      <c r="GW38" s="74"/>
      <c r="GX38" s="74"/>
      <c r="GY38" s="391"/>
      <c r="GZ38" s="67">
        <v>0</v>
      </c>
    </row>
    <row r="39" spans="1:208" x14ac:dyDescent="0.25">
      <c r="A39"/>
      <c r="D39" s="35"/>
      <c r="E39" s="36"/>
      <c r="F39" s="37"/>
      <c r="G39" s="38"/>
      <c r="H39" s="39"/>
      <c r="I39" s="40"/>
      <c r="J39" s="68"/>
      <c r="K39" s="407"/>
      <c r="L39" s="70"/>
      <c r="M39" s="71"/>
      <c r="N39" s="119"/>
      <c r="O39" s="72"/>
      <c r="P39" s="113">
        <f>O39-L39</f>
        <v>0</v>
      </c>
      <c r="Q39" s="117"/>
      <c r="R39" s="117"/>
      <c r="S39" s="111"/>
      <c r="T39" s="39">
        <f>Q39*O39+S39+0</f>
        <v>0</v>
      </c>
      <c r="U39" s="375"/>
      <c r="V39" s="144"/>
      <c r="W39" s="377"/>
      <c r="X39" s="146"/>
      <c r="Y39" s="147"/>
      <c r="Z39" s="148"/>
      <c r="AA39" s="149"/>
      <c r="AB39" s="148"/>
      <c r="AC39" s="150"/>
      <c r="AD39" s="151"/>
      <c r="AE39" s="146"/>
      <c r="AF39" s="146"/>
      <c r="AG39" s="146"/>
      <c r="AH39" s="147"/>
      <c r="AI39" s="148"/>
      <c r="AJ39" s="149"/>
      <c r="AK39" s="148"/>
      <c r="AL39" s="150"/>
      <c r="AM39" s="151"/>
      <c r="AN39" s="146"/>
      <c r="AO39" s="146"/>
      <c r="AP39" s="146"/>
      <c r="AQ39" s="147"/>
      <c r="AR39" s="148"/>
      <c r="AS39" s="149"/>
      <c r="AT39" s="148"/>
      <c r="AU39" s="150"/>
      <c r="AV39" s="151"/>
      <c r="AW39" s="146"/>
      <c r="AX39" s="146"/>
      <c r="AY39" s="146"/>
      <c r="AZ39" s="147"/>
      <c r="BA39" s="148"/>
      <c r="BB39" s="149"/>
      <c r="BC39" s="148"/>
      <c r="BD39" s="150"/>
      <c r="BE39" s="151"/>
      <c r="BF39" s="146"/>
      <c r="BG39" s="146"/>
      <c r="BH39" s="146"/>
      <c r="BI39" s="147"/>
      <c r="BJ39" s="148"/>
      <c r="BK39" s="149"/>
      <c r="BL39" s="148"/>
      <c r="BM39" s="150"/>
      <c r="BN39" s="151"/>
      <c r="BO39" s="146"/>
      <c r="BP39" s="146"/>
      <c r="BQ39" s="146"/>
      <c r="BR39" s="147"/>
      <c r="BS39" s="148"/>
      <c r="BT39" s="149"/>
      <c r="BU39" s="148"/>
      <c r="BV39" s="150"/>
      <c r="BW39" s="151"/>
      <c r="BX39" s="146"/>
      <c r="BY39" s="146"/>
      <c r="BZ39" s="146"/>
      <c r="CA39" s="147"/>
      <c r="CB39" s="148"/>
      <c r="CC39" s="149"/>
      <c r="CD39" s="148"/>
      <c r="CE39" s="150"/>
      <c r="CF39" s="151"/>
      <c r="CG39" s="146"/>
      <c r="CH39" s="146"/>
      <c r="CI39" s="146"/>
      <c r="CJ39" s="147"/>
      <c r="CK39" s="148"/>
      <c r="CL39" s="149"/>
      <c r="CM39" s="148"/>
      <c r="CN39" s="150"/>
      <c r="CO39" s="151"/>
      <c r="CP39" s="146"/>
      <c r="CQ39" s="146"/>
      <c r="CR39" s="146"/>
      <c r="CS39" s="147"/>
      <c r="CT39" s="148"/>
      <c r="CU39" s="149"/>
      <c r="CV39" s="148"/>
      <c r="CW39" s="150"/>
      <c r="CX39" s="151"/>
      <c r="CY39" s="146"/>
      <c r="CZ39" s="146"/>
      <c r="DA39" s="146"/>
      <c r="DB39" s="147"/>
      <c r="DC39" s="148"/>
      <c r="DD39" s="149"/>
      <c r="DE39" s="148"/>
      <c r="DF39" s="150"/>
      <c r="DG39" s="151"/>
      <c r="DH39" s="146"/>
      <c r="DI39" s="146"/>
      <c r="DJ39" s="146"/>
      <c r="DK39" s="147"/>
      <c r="DL39" s="148"/>
      <c r="DM39" s="149"/>
      <c r="DN39" s="148"/>
      <c r="DO39" s="150"/>
      <c r="DP39" s="151"/>
      <c r="DQ39" s="146"/>
      <c r="DR39" s="146"/>
      <c r="DS39" s="146"/>
      <c r="DT39" s="147"/>
      <c r="DU39" s="148"/>
      <c r="DV39" s="149"/>
      <c r="DW39" s="148"/>
      <c r="DX39" s="150"/>
      <c r="DY39" s="151"/>
      <c r="DZ39" s="146"/>
      <c r="EA39" s="146"/>
      <c r="EB39" s="146"/>
      <c r="EC39" s="147"/>
      <c r="ED39" s="148"/>
      <c r="EE39" s="149"/>
      <c r="EF39" s="148"/>
      <c r="EG39" s="150"/>
      <c r="EH39" s="151"/>
      <c r="EI39" s="146"/>
      <c r="EJ39" s="146"/>
      <c r="EK39" s="146"/>
      <c r="EL39" s="147"/>
      <c r="EM39" s="148"/>
      <c r="EN39" s="149"/>
      <c r="EO39" s="148"/>
      <c r="EP39" s="150"/>
      <c r="EQ39" s="151"/>
      <c r="ER39" s="146"/>
      <c r="ES39" s="146"/>
      <c r="ET39" s="146"/>
      <c r="EU39" s="147"/>
      <c r="EV39" s="148"/>
      <c r="EW39" s="149"/>
      <c r="EX39" s="148"/>
      <c r="EY39" s="150"/>
      <c r="EZ39" s="151"/>
      <c r="FA39" s="146"/>
      <c r="FB39" s="146"/>
      <c r="FC39" s="146"/>
      <c r="FD39" s="147"/>
      <c r="FE39" s="148"/>
      <c r="FF39" s="149"/>
      <c r="FG39" s="148"/>
      <c r="FH39" s="150"/>
      <c r="FI39" s="151"/>
      <c r="FJ39" s="146"/>
      <c r="FK39" s="146"/>
      <c r="FL39" s="146"/>
      <c r="FM39" s="147"/>
      <c r="FN39" s="148"/>
      <c r="FO39" s="149"/>
      <c r="FP39" s="148"/>
      <c r="FQ39" s="150"/>
      <c r="FR39" s="151"/>
      <c r="FS39" s="146"/>
      <c r="FT39" s="146"/>
      <c r="FU39" s="146"/>
      <c r="FV39" s="147"/>
      <c r="FW39" s="148"/>
      <c r="FX39" s="149"/>
      <c r="FY39" s="148"/>
      <c r="FZ39" s="150"/>
      <c r="GA39" s="151"/>
      <c r="GB39" s="146"/>
      <c r="GC39" s="146"/>
      <c r="GD39" s="146"/>
      <c r="GE39" s="147"/>
      <c r="GF39" s="148"/>
      <c r="GG39" s="149"/>
      <c r="GH39" s="148"/>
      <c r="GI39" s="150"/>
      <c r="GJ39" s="151"/>
      <c r="GK39" s="146"/>
      <c r="GL39" s="146"/>
      <c r="GM39" s="146"/>
      <c r="GN39" s="147"/>
      <c r="GO39" s="148"/>
      <c r="GP39" s="149"/>
      <c r="GQ39" s="148"/>
      <c r="GR39" s="150"/>
      <c r="GS39" s="151"/>
      <c r="GT39" s="152"/>
      <c r="GU39" s="98"/>
      <c r="GV39" s="130"/>
      <c r="GW39" s="74"/>
      <c r="GX39" s="74"/>
      <c r="GY39" s="391"/>
      <c r="GZ39" s="67"/>
    </row>
    <row r="40" spans="1:208" x14ac:dyDescent="0.25">
      <c r="A40"/>
      <c r="D40" s="35"/>
      <c r="E40" s="36"/>
      <c r="F40" s="37"/>
      <c r="G40" s="38"/>
      <c r="H40" s="39"/>
      <c r="I40" s="40"/>
      <c r="J40" s="68"/>
      <c r="K40" s="407"/>
      <c r="L40" s="70"/>
      <c r="M40" s="71"/>
      <c r="N40" s="119"/>
      <c r="O40" s="72"/>
      <c r="P40" s="113">
        <f t="shared" ref="P40:P51" si="2">O40-L40</f>
        <v>0</v>
      </c>
      <c r="Q40" s="117"/>
      <c r="R40" s="117"/>
      <c r="S40" s="111"/>
      <c r="T40" s="39">
        <f>Q40*O40+S40+0</f>
        <v>0</v>
      </c>
      <c r="U40" s="375"/>
      <c r="V40" s="144"/>
      <c r="W40" s="377"/>
      <c r="X40" s="146"/>
      <c r="Y40" s="147"/>
      <c r="Z40" s="148"/>
      <c r="AA40" s="149"/>
      <c r="AB40" s="148"/>
      <c r="AC40" s="150"/>
      <c r="AD40" s="151"/>
      <c r="AE40" s="146"/>
      <c r="AF40" s="146"/>
      <c r="AG40" s="146"/>
      <c r="AH40" s="147"/>
      <c r="AI40" s="148"/>
      <c r="AJ40" s="149"/>
      <c r="AK40" s="148"/>
      <c r="AL40" s="150"/>
      <c r="AM40" s="151"/>
      <c r="AN40" s="146"/>
      <c r="AO40" s="146"/>
      <c r="AP40" s="146"/>
      <c r="AQ40" s="147"/>
      <c r="AR40" s="148"/>
      <c r="AS40" s="149"/>
      <c r="AT40" s="148"/>
      <c r="AU40" s="150"/>
      <c r="AV40" s="151"/>
      <c r="AW40" s="146"/>
      <c r="AX40" s="146"/>
      <c r="AY40" s="146"/>
      <c r="AZ40" s="147"/>
      <c r="BA40" s="148"/>
      <c r="BB40" s="149"/>
      <c r="BC40" s="148"/>
      <c r="BD40" s="150"/>
      <c r="BE40" s="151"/>
      <c r="BF40" s="146"/>
      <c r="BG40" s="146"/>
      <c r="BH40" s="146"/>
      <c r="BI40" s="147"/>
      <c r="BJ40" s="148"/>
      <c r="BK40" s="149"/>
      <c r="BL40" s="148"/>
      <c r="BM40" s="150"/>
      <c r="BN40" s="151"/>
      <c r="BO40" s="146"/>
      <c r="BP40" s="146"/>
      <c r="BQ40" s="146"/>
      <c r="BR40" s="147"/>
      <c r="BS40" s="148"/>
      <c r="BT40" s="149"/>
      <c r="BU40" s="148"/>
      <c r="BV40" s="150"/>
      <c r="BW40" s="151"/>
      <c r="BX40" s="146"/>
      <c r="BY40" s="146"/>
      <c r="BZ40" s="146"/>
      <c r="CA40" s="147"/>
      <c r="CB40" s="148"/>
      <c r="CC40" s="149"/>
      <c r="CD40" s="148"/>
      <c r="CE40" s="150"/>
      <c r="CF40" s="151"/>
      <c r="CG40" s="146"/>
      <c r="CH40" s="146"/>
      <c r="CI40" s="146"/>
      <c r="CJ40" s="147"/>
      <c r="CK40" s="148"/>
      <c r="CL40" s="149"/>
      <c r="CM40" s="148"/>
      <c r="CN40" s="150"/>
      <c r="CO40" s="151"/>
      <c r="CP40" s="146"/>
      <c r="CQ40" s="146"/>
      <c r="CR40" s="146"/>
      <c r="CS40" s="147"/>
      <c r="CT40" s="148"/>
      <c r="CU40" s="149"/>
      <c r="CV40" s="148"/>
      <c r="CW40" s="150"/>
      <c r="CX40" s="151"/>
      <c r="CY40" s="146"/>
      <c r="CZ40" s="146"/>
      <c r="DA40" s="146"/>
      <c r="DB40" s="147"/>
      <c r="DC40" s="148"/>
      <c r="DD40" s="149"/>
      <c r="DE40" s="148"/>
      <c r="DF40" s="150"/>
      <c r="DG40" s="151"/>
      <c r="DH40" s="146"/>
      <c r="DI40" s="146"/>
      <c r="DJ40" s="146"/>
      <c r="DK40" s="147"/>
      <c r="DL40" s="148"/>
      <c r="DM40" s="149"/>
      <c r="DN40" s="148"/>
      <c r="DO40" s="150"/>
      <c r="DP40" s="151"/>
      <c r="DQ40" s="146"/>
      <c r="DR40" s="146"/>
      <c r="DS40" s="146"/>
      <c r="DT40" s="147"/>
      <c r="DU40" s="148"/>
      <c r="DV40" s="149"/>
      <c r="DW40" s="148"/>
      <c r="DX40" s="150"/>
      <c r="DY40" s="151"/>
      <c r="DZ40" s="146"/>
      <c r="EA40" s="146"/>
      <c r="EB40" s="146"/>
      <c r="EC40" s="147"/>
      <c r="ED40" s="148"/>
      <c r="EE40" s="149"/>
      <c r="EF40" s="148"/>
      <c r="EG40" s="150"/>
      <c r="EH40" s="151"/>
      <c r="EI40" s="146"/>
      <c r="EJ40" s="146"/>
      <c r="EK40" s="146"/>
      <c r="EL40" s="147"/>
      <c r="EM40" s="148"/>
      <c r="EN40" s="149"/>
      <c r="EO40" s="148"/>
      <c r="EP40" s="150"/>
      <c r="EQ40" s="151"/>
      <c r="ER40" s="146"/>
      <c r="ES40" s="146"/>
      <c r="ET40" s="146"/>
      <c r="EU40" s="147"/>
      <c r="EV40" s="148"/>
      <c r="EW40" s="149"/>
      <c r="EX40" s="148"/>
      <c r="EY40" s="150"/>
      <c r="EZ40" s="151"/>
      <c r="FA40" s="146"/>
      <c r="FB40" s="146"/>
      <c r="FC40" s="146"/>
      <c r="FD40" s="147"/>
      <c r="FE40" s="148"/>
      <c r="FF40" s="149"/>
      <c r="FG40" s="148"/>
      <c r="FH40" s="150"/>
      <c r="FI40" s="151"/>
      <c r="FJ40" s="146"/>
      <c r="FK40" s="146"/>
      <c r="FL40" s="146"/>
      <c r="FM40" s="147"/>
      <c r="FN40" s="148"/>
      <c r="FO40" s="149"/>
      <c r="FP40" s="148"/>
      <c r="FQ40" s="150"/>
      <c r="FR40" s="151"/>
      <c r="FS40" s="146"/>
      <c r="FT40" s="146"/>
      <c r="FU40" s="146"/>
      <c r="FV40" s="147"/>
      <c r="FW40" s="148"/>
      <c r="FX40" s="149"/>
      <c r="FY40" s="148"/>
      <c r="FZ40" s="150"/>
      <c r="GA40" s="151"/>
      <c r="GB40" s="146"/>
      <c r="GC40" s="146"/>
      <c r="GD40" s="146"/>
      <c r="GE40" s="147"/>
      <c r="GF40" s="148"/>
      <c r="GG40" s="149"/>
      <c r="GH40" s="148"/>
      <c r="GI40" s="150"/>
      <c r="GJ40" s="151"/>
      <c r="GK40" s="146"/>
      <c r="GL40" s="146"/>
      <c r="GM40" s="146"/>
      <c r="GN40" s="147"/>
      <c r="GO40" s="148"/>
      <c r="GP40" s="149"/>
      <c r="GQ40" s="148"/>
      <c r="GR40" s="150"/>
      <c r="GS40" s="151"/>
      <c r="GT40" s="152"/>
      <c r="GU40" s="131"/>
      <c r="GV40" s="130"/>
      <c r="GW40" s="74"/>
      <c r="GX40" s="74"/>
      <c r="GY40" s="391"/>
      <c r="GZ40" s="67"/>
    </row>
    <row r="41" spans="1:208" x14ac:dyDescent="0.25">
      <c r="A41"/>
      <c r="D41" s="35"/>
      <c r="E41" s="36"/>
      <c r="F41" s="37"/>
      <c r="G41" s="38"/>
      <c r="H41" s="39"/>
      <c r="I41" s="40"/>
      <c r="J41" s="68"/>
      <c r="K41" s="407"/>
      <c r="L41" s="70"/>
      <c r="M41" s="71"/>
      <c r="N41" s="119"/>
      <c r="O41" s="72"/>
      <c r="P41" s="113">
        <f t="shared" si="2"/>
        <v>0</v>
      </c>
      <c r="Q41" s="117"/>
      <c r="R41" s="893"/>
      <c r="S41" s="894"/>
      <c r="T41" s="39">
        <f>Q41*O41</f>
        <v>0</v>
      </c>
      <c r="U41" s="375"/>
      <c r="V41" s="144"/>
      <c r="W41" s="377"/>
      <c r="X41" s="146"/>
      <c r="Y41" s="147"/>
      <c r="Z41" s="148"/>
      <c r="AA41" s="149"/>
      <c r="AB41" s="148"/>
      <c r="AC41" s="150"/>
      <c r="AD41" s="151"/>
      <c r="AE41" s="146"/>
      <c r="AF41" s="146"/>
      <c r="AG41" s="146"/>
      <c r="AH41" s="147"/>
      <c r="AI41" s="148"/>
      <c r="AJ41" s="149"/>
      <c r="AK41" s="148"/>
      <c r="AL41" s="150"/>
      <c r="AM41" s="151"/>
      <c r="AN41" s="146"/>
      <c r="AO41" s="146"/>
      <c r="AP41" s="146"/>
      <c r="AQ41" s="147"/>
      <c r="AR41" s="148"/>
      <c r="AS41" s="149"/>
      <c r="AT41" s="148"/>
      <c r="AU41" s="150"/>
      <c r="AV41" s="151"/>
      <c r="AW41" s="146"/>
      <c r="AX41" s="146"/>
      <c r="AY41" s="146"/>
      <c r="AZ41" s="147"/>
      <c r="BA41" s="148"/>
      <c r="BB41" s="149"/>
      <c r="BC41" s="148"/>
      <c r="BD41" s="150"/>
      <c r="BE41" s="151"/>
      <c r="BF41" s="146"/>
      <c r="BG41" s="146"/>
      <c r="BH41" s="146"/>
      <c r="BI41" s="147"/>
      <c r="BJ41" s="148"/>
      <c r="BK41" s="149"/>
      <c r="BL41" s="148"/>
      <c r="BM41" s="150"/>
      <c r="BN41" s="151"/>
      <c r="BO41" s="146"/>
      <c r="BP41" s="146"/>
      <c r="BQ41" s="146"/>
      <c r="BR41" s="147"/>
      <c r="BS41" s="148"/>
      <c r="BT41" s="149"/>
      <c r="BU41" s="148"/>
      <c r="BV41" s="150"/>
      <c r="BW41" s="151"/>
      <c r="BX41" s="146"/>
      <c r="BY41" s="146"/>
      <c r="BZ41" s="146"/>
      <c r="CA41" s="147"/>
      <c r="CB41" s="148"/>
      <c r="CC41" s="149"/>
      <c r="CD41" s="148"/>
      <c r="CE41" s="150"/>
      <c r="CF41" s="151"/>
      <c r="CG41" s="146"/>
      <c r="CH41" s="146"/>
      <c r="CI41" s="146"/>
      <c r="CJ41" s="147"/>
      <c r="CK41" s="148"/>
      <c r="CL41" s="149"/>
      <c r="CM41" s="148"/>
      <c r="CN41" s="150"/>
      <c r="CO41" s="151"/>
      <c r="CP41" s="146"/>
      <c r="CQ41" s="146"/>
      <c r="CR41" s="146"/>
      <c r="CS41" s="147"/>
      <c r="CT41" s="148"/>
      <c r="CU41" s="149"/>
      <c r="CV41" s="148"/>
      <c r="CW41" s="150"/>
      <c r="CX41" s="151"/>
      <c r="CY41" s="146"/>
      <c r="CZ41" s="146"/>
      <c r="DA41" s="146"/>
      <c r="DB41" s="147"/>
      <c r="DC41" s="148"/>
      <c r="DD41" s="149"/>
      <c r="DE41" s="148"/>
      <c r="DF41" s="150"/>
      <c r="DG41" s="151"/>
      <c r="DH41" s="146"/>
      <c r="DI41" s="146"/>
      <c r="DJ41" s="146"/>
      <c r="DK41" s="147"/>
      <c r="DL41" s="148"/>
      <c r="DM41" s="149"/>
      <c r="DN41" s="148"/>
      <c r="DO41" s="150"/>
      <c r="DP41" s="151"/>
      <c r="DQ41" s="146"/>
      <c r="DR41" s="146"/>
      <c r="DS41" s="146"/>
      <c r="DT41" s="147"/>
      <c r="DU41" s="148"/>
      <c r="DV41" s="149"/>
      <c r="DW41" s="148"/>
      <c r="DX41" s="150"/>
      <c r="DY41" s="151"/>
      <c r="DZ41" s="146"/>
      <c r="EA41" s="146"/>
      <c r="EB41" s="146"/>
      <c r="EC41" s="147"/>
      <c r="ED41" s="148"/>
      <c r="EE41" s="149"/>
      <c r="EF41" s="148"/>
      <c r="EG41" s="150"/>
      <c r="EH41" s="151"/>
      <c r="EI41" s="146"/>
      <c r="EJ41" s="146"/>
      <c r="EK41" s="146"/>
      <c r="EL41" s="147"/>
      <c r="EM41" s="148"/>
      <c r="EN41" s="149"/>
      <c r="EO41" s="148"/>
      <c r="EP41" s="150"/>
      <c r="EQ41" s="151"/>
      <c r="ER41" s="146"/>
      <c r="ES41" s="146"/>
      <c r="ET41" s="146"/>
      <c r="EU41" s="147"/>
      <c r="EV41" s="148"/>
      <c r="EW41" s="149"/>
      <c r="EX41" s="148"/>
      <c r="EY41" s="150"/>
      <c r="EZ41" s="151"/>
      <c r="FA41" s="146"/>
      <c r="FB41" s="146"/>
      <c r="FC41" s="146"/>
      <c r="FD41" s="147"/>
      <c r="FE41" s="148"/>
      <c r="FF41" s="149"/>
      <c r="FG41" s="148"/>
      <c r="FH41" s="150"/>
      <c r="FI41" s="151"/>
      <c r="FJ41" s="146"/>
      <c r="FK41" s="146"/>
      <c r="FL41" s="146"/>
      <c r="FM41" s="147"/>
      <c r="FN41" s="148"/>
      <c r="FO41" s="149"/>
      <c r="FP41" s="148"/>
      <c r="FQ41" s="150"/>
      <c r="FR41" s="151"/>
      <c r="FS41" s="146"/>
      <c r="FT41" s="146"/>
      <c r="FU41" s="146"/>
      <c r="FV41" s="147"/>
      <c r="FW41" s="148"/>
      <c r="FX41" s="149"/>
      <c r="FY41" s="148"/>
      <c r="FZ41" s="150"/>
      <c r="GA41" s="151"/>
      <c r="GB41" s="146"/>
      <c r="GC41" s="146"/>
      <c r="GD41" s="146"/>
      <c r="GE41" s="147"/>
      <c r="GF41" s="148"/>
      <c r="GG41" s="149"/>
      <c r="GH41" s="148"/>
      <c r="GI41" s="150"/>
      <c r="GJ41" s="151"/>
      <c r="GK41" s="146"/>
      <c r="GL41" s="146"/>
      <c r="GM41" s="146"/>
      <c r="GN41" s="147"/>
      <c r="GO41" s="148"/>
      <c r="GP41" s="149"/>
      <c r="GQ41" s="148"/>
      <c r="GR41" s="150"/>
      <c r="GS41" s="151"/>
      <c r="GT41" s="152"/>
      <c r="GU41" s="131"/>
      <c r="GV41" s="130"/>
      <c r="GW41" s="74"/>
      <c r="GX41" s="74"/>
      <c r="GY41" s="391"/>
      <c r="GZ41" s="67"/>
    </row>
    <row r="42" spans="1:208" x14ac:dyDescent="0.25">
      <c r="A42"/>
      <c r="D42" s="35"/>
      <c r="E42" s="36"/>
      <c r="F42" s="37"/>
      <c r="G42" s="38"/>
      <c r="H42" s="39"/>
      <c r="I42" s="40"/>
      <c r="J42" s="68"/>
      <c r="K42" s="407"/>
      <c r="L42" s="70"/>
      <c r="M42" s="71"/>
      <c r="N42" s="56"/>
      <c r="O42" s="72"/>
      <c r="P42" s="113">
        <f t="shared" si="2"/>
        <v>0</v>
      </c>
      <c r="Q42" s="117"/>
      <c r="R42" s="117"/>
      <c r="S42" s="117"/>
      <c r="T42" s="39">
        <f t="shared" ref="T42:T49" si="3">Q42*O42+S42+0</f>
        <v>0</v>
      </c>
      <c r="U42" s="375"/>
      <c r="V42" s="144"/>
      <c r="W42" s="377"/>
      <c r="X42" s="146"/>
      <c r="Y42" s="147"/>
      <c r="Z42" s="148"/>
      <c r="AA42" s="149"/>
      <c r="AB42" s="148"/>
      <c r="AC42" s="150"/>
      <c r="AD42" s="151"/>
      <c r="AE42" s="146"/>
      <c r="AF42" s="146"/>
      <c r="AG42" s="146"/>
      <c r="AH42" s="147"/>
      <c r="AI42" s="148"/>
      <c r="AJ42" s="149"/>
      <c r="AK42" s="148"/>
      <c r="AL42" s="150"/>
      <c r="AM42" s="151"/>
      <c r="AN42" s="146"/>
      <c r="AO42" s="146"/>
      <c r="AP42" s="146"/>
      <c r="AQ42" s="147"/>
      <c r="AR42" s="148"/>
      <c r="AS42" s="149"/>
      <c r="AT42" s="148"/>
      <c r="AU42" s="150"/>
      <c r="AV42" s="151"/>
      <c r="AW42" s="146"/>
      <c r="AX42" s="146"/>
      <c r="AY42" s="146"/>
      <c r="AZ42" s="147"/>
      <c r="BA42" s="148"/>
      <c r="BB42" s="149"/>
      <c r="BC42" s="148"/>
      <c r="BD42" s="150"/>
      <c r="BE42" s="151"/>
      <c r="BF42" s="146"/>
      <c r="BG42" s="146"/>
      <c r="BH42" s="146"/>
      <c r="BI42" s="147"/>
      <c r="BJ42" s="148"/>
      <c r="BK42" s="149"/>
      <c r="BL42" s="148"/>
      <c r="BM42" s="150"/>
      <c r="BN42" s="151"/>
      <c r="BO42" s="146"/>
      <c r="BP42" s="146"/>
      <c r="BQ42" s="146"/>
      <c r="BR42" s="147"/>
      <c r="BS42" s="148"/>
      <c r="BT42" s="149"/>
      <c r="BU42" s="148"/>
      <c r="BV42" s="150"/>
      <c r="BW42" s="151"/>
      <c r="BX42" s="146"/>
      <c r="BY42" s="146"/>
      <c r="BZ42" s="146"/>
      <c r="CA42" s="147"/>
      <c r="CB42" s="148"/>
      <c r="CC42" s="149"/>
      <c r="CD42" s="148"/>
      <c r="CE42" s="150"/>
      <c r="CF42" s="151"/>
      <c r="CG42" s="146"/>
      <c r="CH42" s="146"/>
      <c r="CI42" s="146"/>
      <c r="CJ42" s="147"/>
      <c r="CK42" s="148"/>
      <c r="CL42" s="149"/>
      <c r="CM42" s="148"/>
      <c r="CN42" s="150"/>
      <c r="CO42" s="151"/>
      <c r="CP42" s="146"/>
      <c r="CQ42" s="146"/>
      <c r="CR42" s="146"/>
      <c r="CS42" s="147"/>
      <c r="CT42" s="148"/>
      <c r="CU42" s="149"/>
      <c r="CV42" s="148"/>
      <c r="CW42" s="150"/>
      <c r="CX42" s="151"/>
      <c r="CY42" s="146"/>
      <c r="CZ42" s="146"/>
      <c r="DA42" s="146"/>
      <c r="DB42" s="147"/>
      <c r="DC42" s="148"/>
      <c r="DD42" s="149"/>
      <c r="DE42" s="148"/>
      <c r="DF42" s="150"/>
      <c r="DG42" s="151"/>
      <c r="DH42" s="146"/>
      <c r="DI42" s="146"/>
      <c r="DJ42" s="146"/>
      <c r="DK42" s="147"/>
      <c r="DL42" s="148"/>
      <c r="DM42" s="149"/>
      <c r="DN42" s="148"/>
      <c r="DO42" s="150"/>
      <c r="DP42" s="151"/>
      <c r="DQ42" s="146"/>
      <c r="DR42" s="146"/>
      <c r="DS42" s="146"/>
      <c r="DT42" s="147"/>
      <c r="DU42" s="148"/>
      <c r="DV42" s="149"/>
      <c r="DW42" s="148"/>
      <c r="DX42" s="150"/>
      <c r="DY42" s="151"/>
      <c r="DZ42" s="146"/>
      <c r="EA42" s="146"/>
      <c r="EB42" s="146"/>
      <c r="EC42" s="147"/>
      <c r="ED42" s="148"/>
      <c r="EE42" s="149"/>
      <c r="EF42" s="148"/>
      <c r="EG42" s="150"/>
      <c r="EH42" s="151"/>
      <c r="EI42" s="146"/>
      <c r="EJ42" s="146"/>
      <c r="EK42" s="146"/>
      <c r="EL42" s="147"/>
      <c r="EM42" s="148"/>
      <c r="EN42" s="149"/>
      <c r="EO42" s="148"/>
      <c r="EP42" s="150"/>
      <c r="EQ42" s="151"/>
      <c r="ER42" s="146"/>
      <c r="ES42" s="146"/>
      <c r="ET42" s="146"/>
      <c r="EU42" s="147"/>
      <c r="EV42" s="148"/>
      <c r="EW42" s="149"/>
      <c r="EX42" s="148"/>
      <c r="EY42" s="150"/>
      <c r="EZ42" s="151"/>
      <c r="FA42" s="146"/>
      <c r="FB42" s="146"/>
      <c r="FC42" s="146"/>
      <c r="FD42" s="147"/>
      <c r="FE42" s="148"/>
      <c r="FF42" s="149"/>
      <c r="FG42" s="148"/>
      <c r="FH42" s="150"/>
      <c r="FI42" s="151"/>
      <c r="FJ42" s="146"/>
      <c r="FK42" s="146"/>
      <c r="FL42" s="146"/>
      <c r="FM42" s="147"/>
      <c r="FN42" s="148"/>
      <c r="FO42" s="149"/>
      <c r="FP42" s="148"/>
      <c r="FQ42" s="150"/>
      <c r="FR42" s="151"/>
      <c r="FS42" s="146"/>
      <c r="FT42" s="146"/>
      <c r="FU42" s="146"/>
      <c r="FV42" s="147"/>
      <c r="FW42" s="148"/>
      <c r="FX42" s="149"/>
      <c r="FY42" s="148"/>
      <c r="FZ42" s="150"/>
      <c r="GA42" s="151"/>
      <c r="GB42" s="146"/>
      <c r="GC42" s="146"/>
      <c r="GD42" s="146"/>
      <c r="GE42" s="147"/>
      <c r="GF42" s="148"/>
      <c r="GG42" s="149"/>
      <c r="GH42" s="148"/>
      <c r="GI42" s="150"/>
      <c r="GJ42" s="151"/>
      <c r="GK42" s="146"/>
      <c r="GL42" s="146"/>
      <c r="GM42" s="146"/>
      <c r="GN42" s="147"/>
      <c r="GO42" s="148"/>
      <c r="GP42" s="149"/>
      <c r="GQ42" s="148"/>
      <c r="GR42" s="150"/>
      <c r="GS42" s="151"/>
      <c r="GT42" s="152"/>
      <c r="GU42" s="98"/>
      <c r="GV42" s="130"/>
      <c r="GW42" s="74"/>
      <c r="GX42" s="132"/>
      <c r="GY42" s="391"/>
      <c r="GZ42" s="67"/>
    </row>
    <row r="43" spans="1:208" x14ac:dyDescent="0.25">
      <c r="A43"/>
      <c r="D43" s="35"/>
      <c r="E43" s="36"/>
      <c r="F43" s="37"/>
      <c r="G43" s="38"/>
      <c r="H43" s="39"/>
      <c r="I43" s="40"/>
      <c r="J43" s="68"/>
      <c r="K43" s="407"/>
      <c r="L43" s="70"/>
      <c r="M43" s="71"/>
      <c r="N43" s="56"/>
      <c r="O43" s="72"/>
      <c r="P43" s="113">
        <f t="shared" si="2"/>
        <v>0</v>
      </c>
      <c r="Q43" s="117"/>
      <c r="R43" s="117"/>
      <c r="S43" s="117"/>
      <c r="T43" s="39">
        <f t="shared" si="3"/>
        <v>0</v>
      </c>
      <c r="U43" s="115"/>
      <c r="V43" s="112"/>
      <c r="W43" s="377"/>
      <c r="X43" s="146"/>
      <c r="Y43" s="147"/>
      <c r="Z43" s="148"/>
      <c r="AA43" s="149"/>
      <c r="AB43" s="148"/>
      <c r="AC43" s="150"/>
      <c r="AD43" s="151"/>
      <c r="AE43" s="146"/>
      <c r="AF43" s="146"/>
      <c r="AG43" s="146"/>
      <c r="AH43" s="147"/>
      <c r="AI43" s="148"/>
      <c r="AJ43" s="149"/>
      <c r="AK43" s="148"/>
      <c r="AL43" s="150"/>
      <c r="AM43" s="151"/>
      <c r="AN43" s="146"/>
      <c r="AO43" s="146"/>
      <c r="AP43" s="146"/>
      <c r="AQ43" s="147"/>
      <c r="AR43" s="148"/>
      <c r="AS43" s="149"/>
      <c r="AT43" s="148"/>
      <c r="AU43" s="150"/>
      <c r="AV43" s="151"/>
      <c r="AW43" s="146"/>
      <c r="AX43" s="146"/>
      <c r="AY43" s="146"/>
      <c r="AZ43" s="147"/>
      <c r="BA43" s="148"/>
      <c r="BB43" s="149"/>
      <c r="BC43" s="148"/>
      <c r="BD43" s="150"/>
      <c r="BE43" s="151"/>
      <c r="BF43" s="146"/>
      <c r="BG43" s="146"/>
      <c r="BH43" s="146"/>
      <c r="BI43" s="147"/>
      <c r="BJ43" s="148"/>
      <c r="BK43" s="149"/>
      <c r="BL43" s="148"/>
      <c r="BM43" s="150"/>
      <c r="BN43" s="151"/>
      <c r="BO43" s="146"/>
      <c r="BP43" s="146"/>
      <c r="BQ43" s="146"/>
      <c r="BR43" s="147"/>
      <c r="BS43" s="148"/>
      <c r="BT43" s="149"/>
      <c r="BU43" s="148"/>
      <c r="BV43" s="150"/>
      <c r="BW43" s="151"/>
      <c r="BX43" s="146"/>
      <c r="BY43" s="146"/>
      <c r="BZ43" s="146"/>
      <c r="CA43" s="147"/>
      <c r="CB43" s="148"/>
      <c r="CC43" s="149"/>
      <c r="CD43" s="148"/>
      <c r="CE43" s="150"/>
      <c r="CF43" s="151"/>
      <c r="CG43" s="146"/>
      <c r="CH43" s="146"/>
      <c r="CI43" s="146"/>
      <c r="CJ43" s="147"/>
      <c r="CK43" s="148"/>
      <c r="CL43" s="149"/>
      <c r="CM43" s="148"/>
      <c r="CN43" s="150"/>
      <c r="CO43" s="151"/>
      <c r="CP43" s="146"/>
      <c r="CQ43" s="146"/>
      <c r="CR43" s="146"/>
      <c r="CS43" s="147"/>
      <c r="CT43" s="148"/>
      <c r="CU43" s="149"/>
      <c r="CV43" s="148"/>
      <c r="CW43" s="150"/>
      <c r="CX43" s="151"/>
      <c r="CY43" s="146"/>
      <c r="CZ43" s="146"/>
      <c r="DA43" s="146"/>
      <c r="DB43" s="147"/>
      <c r="DC43" s="148"/>
      <c r="DD43" s="149"/>
      <c r="DE43" s="148"/>
      <c r="DF43" s="150"/>
      <c r="DG43" s="151"/>
      <c r="DH43" s="146"/>
      <c r="DI43" s="146"/>
      <c r="DJ43" s="146"/>
      <c r="DK43" s="147"/>
      <c r="DL43" s="148"/>
      <c r="DM43" s="149"/>
      <c r="DN43" s="148"/>
      <c r="DO43" s="150"/>
      <c r="DP43" s="151"/>
      <c r="DQ43" s="146"/>
      <c r="DR43" s="146"/>
      <c r="DS43" s="146"/>
      <c r="DT43" s="147"/>
      <c r="DU43" s="148"/>
      <c r="DV43" s="149"/>
      <c r="DW43" s="148"/>
      <c r="DX43" s="150"/>
      <c r="DY43" s="151"/>
      <c r="DZ43" s="146"/>
      <c r="EA43" s="146"/>
      <c r="EB43" s="146"/>
      <c r="EC43" s="147"/>
      <c r="ED43" s="148"/>
      <c r="EE43" s="149"/>
      <c r="EF43" s="148"/>
      <c r="EG43" s="150"/>
      <c r="EH43" s="151"/>
      <c r="EI43" s="146"/>
      <c r="EJ43" s="146"/>
      <c r="EK43" s="146"/>
      <c r="EL43" s="147"/>
      <c r="EM43" s="148"/>
      <c r="EN43" s="149"/>
      <c r="EO43" s="148"/>
      <c r="EP43" s="150"/>
      <c r="EQ43" s="151"/>
      <c r="ER43" s="146"/>
      <c r="ES43" s="146"/>
      <c r="ET43" s="146"/>
      <c r="EU43" s="147"/>
      <c r="EV43" s="148"/>
      <c r="EW43" s="149"/>
      <c r="EX43" s="148"/>
      <c r="EY43" s="150"/>
      <c r="EZ43" s="151"/>
      <c r="FA43" s="146"/>
      <c r="FB43" s="146"/>
      <c r="FC43" s="146"/>
      <c r="FD43" s="147"/>
      <c r="FE43" s="148"/>
      <c r="FF43" s="149"/>
      <c r="FG43" s="148"/>
      <c r="FH43" s="150"/>
      <c r="FI43" s="151"/>
      <c r="FJ43" s="146"/>
      <c r="FK43" s="146"/>
      <c r="FL43" s="146"/>
      <c r="FM43" s="147"/>
      <c r="FN43" s="148"/>
      <c r="FO43" s="149"/>
      <c r="FP43" s="148"/>
      <c r="FQ43" s="150"/>
      <c r="FR43" s="151"/>
      <c r="FS43" s="146"/>
      <c r="FT43" s="146"/>
      <c r="FU43" s="146"/>
      <c r="FV43" s="147"/>
      <c r="FW43" s="148"/>
      <c r="FX43" s="149"/>
      <c r="FY43" s="148"/>
      <c r="FZ43" s="150"/>
      <c r="GA43" s="151"/>
      <c r="GB43" s="146"/>
      <c r="GC43" s="146"/>
      <c r="GD43" s="146"/>
      <c r="GE43" s="147"/>
      <c r="GF43" s="148"/>
      <c r="GG43" s="149"/>
      <c r="GH43" s="148"/>
      <c r="GI43" s="150"/>
      <c r="GJ43" s="151"/>
      <c r="GK43" s="146"/>
      <c r="GL43" s="146"/>
      <c r="GM43" s="146"/>
      <c r="GN43" s="147"/>
      <c r="GO43" s="148"/>
      <c r="GP43" s="149"/>
      <c r="GQ43" s="148"/>
      <c r="GR43" s="150"/>
      <c r="GS43" s="151"/>
      <c r="GT43" s="152"/>
      <c r="GU43" s="98"/>
      <c r="GV43" s="130"/>
      <c r="GW43" s="74"/>
      <c r="GX43" s="132"/>
      <c r="GY43" s="391"/>
      <c r="GZ43" s="67"/>
    </row>
    <row r="44" spans="1:208" x14ac:dyDescent="0.25">
      <c r="A44"/>
      <c r="D44" s="35"/>
      <c r="E44" s="36"/>
      <c r="F44" s="37"/>
      <c r="G44" s="38"/>
      <c r="H44" s="39"/>
      <c r="I44" s="40"/>
      <c r="J44" s="68"/>
      <c r="K44" s="407"/>
      <c r="L44" s="70"/>
      <c r="M44" s="71"/>
      <c r="N44" s="56"/>
      <c r="O44" s="72"/>
      <c r="P44" s="113">
        <f t="shared" si="2"/>
        <v>0</v>
      </c>
      <c r="Q44" s="117"/>
      <c r="R44" s="117"/>
      <c r="S44" s="117"/>
      <c r="T44" s="39">
        <f t="shared" si="3"/>
        <v>0</v>
      </c>
      <c r="U44" s="115"/>
      <c r="V44" s="112"/>
      <c r="W44" s="377"/>
      <c r="X44" s="146"/>
      <c r="Y44" s="147"/>
      <c r="Z44" s="148"/>
      <c r="AA44" s="149"/>
      <c r="AB44" s="148"/>
      <c r="AC44" s="150"/>
      <c r="AD44" s="151"/>
      <c r="AE44" s="146"/>
      <c r="AF44" s="146"/>
      <c r="AG44" s="146"/>
      <c r="AH44" s="147"/>
      <c r="AI44" s="148"/>
      <c r="AJ44" s="149"/>
      <c r="AK44" s="148"/>
      <c r="AL44" s="150"/>
      <c r="AM44" s="151"/>
      <c r="AN44" s="146"/>
      <c r="AO44" s="146"/>
      <c r="AP44" s="146"/>
      <c r="AQ44" s="147"/>
      <c r="AR44" s="148"/>
      <c r="AS44" s="149"/>
      <c r="AT44" s="148"/>
      <c r="AU44" s="150"/>
      <c r="AV44" s="151"/>
      <c r="AW44" s="146"/>
      <c r="AX44" s="146"/>
      <c r="AY44" s="146"/>
      <c r="AZ44" s="147"/>
      <c r="BA44" s="148"/>
      <c r="BB44" s="149"/>
      <c r="BC44" s="148"/>
      <c r="BD44" s="150"/>
      <c r="BE44" s="151"/>
      <c r="BF44" s="146"/>
      <c r="BG44" s="146"/>
      <c r="BH44" s="146"/>
      <c r="BI44" s="147"/>
      <c r="BJ44" s="148"/>
      <c r="BK44" s="149"/>
      <c r="BL44" s="148"/>
      <c r="BM44" s="150"/>
      <c r="BN44" s="151"/>
      <c r="BO44" s="146"/>
      <c r="BP44" s="146"/>
      <c r="BQ44" s="146"/>
      <c r="BR44" s="147"/>
      <c r="BS44" s="148"/>
      <c r="BT44" s="149"/>
      <c r="BU44" s="148"/>
      <c r="BV44" s="150"/>
      <c r="BW44" s="151"/>
      <c r="BX44" s="146"/>
      <c r="BY44" s="146"/>
      <c r="BZ44" s="146"/>
      <c r="CA44" s="147"/>
      <c r="CB44" s="148"/>
      <c r="CC44" s="149"/>
      <c r="CD44" s="148"/>
      <c r="CE44" s="150"/>
      <c r="CF44" s="151"/>
      <c r="CG44" s="146"/>
      <c r="CH44" s="146"/>
      <c r="CI44" s="146"/>
      <c r="CJ44" s="147"/>
      <c r="CK44" s="148"/>
      <c r="CL44" s="149"/>
      <c r="CM44" s="148"/>
      <c r="CN44" s="150"/>
      <c r="CO44" s="151"/>
      <c r="CP44" s="146"/>
      <c r="CQ44" s="146"/>
      <c r="CR44" s="146"/>
      <c r="CS44" s="147"/>
      <c r="CT44" s="148"/>
      <c r="CU44" s="149"/>
      <c r="CV44" s="148"/>
      <c r="CW44" s="150"/>
      <c r="CX44" s="151"/>
      <c r="CY44" s="146"/>
      <c r="CZ44" s="146"/>
      <c r="DA44" s="146"/>
      <c r="DB44" s="147"/>
      <c r="DC44" s="148"/>
      <c r="DD44" s="149"/>
      <c r="DE44" s="148"/>
      <c r="DF44" s="150"/>
      <c r="DG44" s="151"/>
      <c r="DH44" s="146"/>
      <c r="DI44" s="146"/>
      <c r="DJ44" s="146"/>
      <c r="DK44" s="147"/>
      <c r="DL44" s="148"/>
      <c r="DM44" s="149"/>
      <c r="DN44" s="148"/>
      <c r="DO44" s="150"/>
      <c r="DP44" s="151"/>
      <c r="DQ44" s="146"/>
      <c r="DR44" s="146"/>
      <c r="DS44" s="146"/>
      <c r="DT44" s="147"/>
      <c r="DU44" s="148"/>
      <c r="DV44" s="149"/>
      <c r="DW44" s="148"/>
      <c r="DX44" s="150"/>
      <c r="DY44" s="151"/>
      <c r="DZ44" s="146"/>
      <c r="EA44" s="146"/>
      <c r="EB44" s="146"/>
      <c r="EC44" s="147"/>
      <c r="ED44" s="148"/>
      <c r="EE44" s="149"/>
      <c r="EF44" s="148"/>
      <c r="EG44" s="150"/>
      <c r="EH44" s="151"/>
      <c r="EI44" s="146"/>
      <c r="EJ44" s="146"/>
      <c r="EK44" s="146"/>
      <c r="EL44" s="147"/>
      <c r="EM44" s="148"/>
      <c r="EN44" s="149"/>
      <c r="EO44" s="148"/>
      <c r="EP44" s="150"/>
      <c r="EQ44" s="151"/>
      <c r="ER44" s="146"/>
      <c r="ES44" s="146"/>
      <c r="ET44" s="146"/>
      <c r="EU44" s="147"/>
      <c r="EV44" s="148"/>
      <c r="EW44" s="149"/>
      <c r="EX44" s="148"/>
      <c r="EY44" s="150"/>
      <c r="EZ44" s="151"/>
      <c r="FA44" s="146"/>
      <c r="FB44" s="146"/>
      <c r="FC44" s="146"/>
      <c r="FD44" s="147"/>
      <c r="FE44" s="148"/>
      <c r="FF44" s="149"/>
      <c r="FG44" s="148"/>
      <c r="FH44" s="150"/>
      <c r="FI44" s="151"/>
      <c r="FJ44" s="146"/>
      <c r="FK44" s="146"/>
      <c r="FL44" s="146"/>
      <c r="FM44" s="147"/>
      <c r="FN44" s="148"/>
      <c r="FO44" s="149"/>
      <c r="FP44" s="148"/>
      <c r="FQ44" s="150"/>
      <c r="FR44" s="151"/>
      <c r="FS44" s="146"/>
      <c r="FT44" s="146"/>
      <c r="FU44" s="146"/>
      <c r="FV44" s="147"/>
      <c r="FW44" s="148"/>
      <c r="FX44" s="149"/>
      <c r="FY44" s="148"/>
      <c r="FZ44" s="150"/>
      <c r="GA44" s="151"/>
      <c r="GB44" s="146"/>
      <c r="GC44" s="146"/>
      <c r="GD44" s="146"/>
      <c r="GE44" s="147"/>
      <c r="GF44" s="148"/>
      <c r="GG44" s="149"/>
      <c r="GH44" s="148"/>
      <c r="GI44" s="150"/>
      <c r="GJ44" s="151"/>
      <c r="GK44" s="146"/>
      <c r="GL44" s="146"/>
      <c r="GM44" s="146"/>
      <c r="GN44" s="147"/>
      <c r="GO44" s="148"/>
      <c r="GP44" s="149"/>
      <c r="GQ44" s="148"/>
      <c r="GR44" s="150"/>
      <c r="GS44" s="151"/>
      <c r="GT44" s="152"/>
      <c r="GU44" s="98"/>
      <c r="GV44" s="130"/>
      <c r="GW44" s="74"/>
      <c r="GX44" s="132"/>
      <c r="GY44" s="391"/>
      <c r="GZ44" s="67"/>
    </row>
    <row r="45" spans="1:208" x14ac:dyDescent="0.25">
      <c r="A45"/>
      <c r="D45" s="35"/>
      <c r="E45" s="36"/>
      <c r="F45" s="37"/>
      <c r="G45" s="38"/>
      <c r="H45" s="39"/>
      <c r="I45" s="40"/>
      <c r="J45" s="68"/>
      <c r="K45" s="407"/>
      <c r="L45" s="70"/>
      <c r="M45" s="71"/>
      <c r="N45" s="56"/>
      <c r="O45" s="72"/>
      <c r="P45" s="113">
        <f t="shared" si="2"/>
        <v>0</v>
      </c>
      <c r="Q45" s="117"/>
      <c r="R45" s="117"/>
      <c r="S45" s="117"/>
      <c r="T45" s="39">
        <f t="shared" si="3"/>
        <v>0</v>
      </c>
      <c r="U45" s="115"/>
      <c r="V45" s="112"/>
      <c r="W45" s="377"/>
      <c r="X45" s="146"/>
      <c r="Y45" s="147"/>
      <c r="Z45" s="148"/>
      <c r="AA45" s="149"/>
      <c r="AB45" s="148"/>
      <c r="AC45" s="150"/>
      <c r="AD45" s="151"/>
      <c r="AE45" s="146"/>
      <c r="AF45" s="146"/>
      <c r="AG45" s="146"/>
      <c r="AH45" s="147"/>
      <c r="AI45" s="148"/>
      <c r="AJ45" s="149"/>
      <c r="AK45" s="148"/>
      <c r="AL45" s="150"/>
      <c r="AM45" s="151"/>
      <c r="AN45" s="146"/>
      <c r="AO45" s="146"/>
      <c r="AP45" s="146"/>
      <c r="AQ45" s="147"/>
      <c r="AR45" s="148"/>
      <c r="AS45" s="149"/>
      <c r="AT45" s="148"/>
      <c r="AU45" s="150"/>
      <c r="AV45" s="151"/>
      <c r="AW45" s="146"/>
      <c r="AX45" s="146"/>
      <c r="AY45" s="146"/>
      <c r="AZ45" s="147"/>
      <c r="BA45" s="148"/>
      <c r="BB45" s="149"/>
      <c r="BC45" s="148"/>
      <c r="BD45" s="150"/>
      <c r="BE45" s="151"/>
      <c r="BF45" s="146"/>
      <c r="BG45" s="146"/>
      <c r="BH45" s="146"/>
      <c r="BI45" s="147"/>
      <c r="BJ45" s="148"/>
      <c r="BK45" s="149"/>
      <c r="BL45" s="148"/>
      <c r="BM45" s="150"/>
      <c r="BN45" s="151"/>
      <c r="BO45" s="146"/>
      <c r="BP45" s="146"/>
      <c r="BQ45" s="146"/>
      <c r="BR45" s="147"/>
      <c r="BS45" s="148"/>
      <c r="BT45" s="149"/>
      <c r="BU45" s="148"/>
      <c r="BV45" s="150"/>
      <c r="BW45" s="151"/>
      <c r="BX45" s="146"/>
      <c r="BY45" s="146"/>
      <c r="BZ45" s="146"/>
      <c r="CA45" s="147"/>
      <c r="CB45" s="148"/>
      <c r="CC45" s="149"/>
      <c r="CD45" s="148"/>
      <c r="CE45" s="150"/>
      <c r="CF45" s="151"/>
      <c r="CG45" s="146"/>
      <c r="CH45" s="146"/>
      <c r="CI45" s="146"/>
      <c r="CJ45" s="147"/>
      <c r="CK45" s="148"/>
      <c r="CL45" s="149"/>
      <c r="CM45" s="148"/>
      <c r="CN45" s="150"/>
      <c r="CO45" s="151"/>
      <c r="CP45" s="146"/>
      <c r="CQ45" s="146"/>
      <c r="CR45" s="146"/>
      <c r="CS45" s="147"/>
      <c r="CT45" s="148"/>
      <c r="CU45" s="149"/>
      <c r="CV45" s="148"/>
      <c r="CW45" s="150"/>
      <c r="CX45" s="151"/>
      <c r="CY45" s="146"/>
      <c r="CZ45" s="146"/>
      <c r="DA45" s="146"/>
      <c r="DB45" s="147"/>
      <c r="DC45" s="148"/>
      <c r="DD45" s="149"/>
      <c r="DE45" s="148"/>
      <c r="DF45" s="150"/>
      <c r="DG45" s="151"/>
      <c r="DH45" s="146"/>
      <c r="DI45" s="146"/>
      <c r="DJ45" s="146"/>
      <c r="DK45" s="147"/>
      <c r="DL45" s="148"/>
      <c r="DM45" s="149"/>
      <c r="DN45" s="148"/>
      <c r="DO45" s="150"/>
      <c r="DP45" s="151"/>
      <c r="DQ45" s="146"/>
      <c r="DR45" s="146"/>
      <c r="DS45" s="146"/>
      <c r="DT45" s="147"/>
      <c r="DU45" s="148"/>
      <c r="DV45" s="149"/>
      <c r="DW45" s="148"/>
      <c r="DX45" s="150"/>
      <c r="DY45" s="151"/>
      <c r="DZ45" s="146"/>
      <c r="EA45" s="146"/>
      <c r="EB45" s="146"/>
      <c r="EC45" s="147"/>
      <c r="ED45" s="148"/>
      <c r="EE45" s="149"/>
      <c r="EF45" s="148"/>
      <c r="EG45" s="150"/>
      <c r="EH45" s="151"/>
      <c r="EI45" s="146"/>
      <c r="EJ45" s="146"/>
      <c r="EK45" s="146"/>
      <c r="EL45" s="147"/>
      <c r="EM45" s="148"/>
      <c r="EN45" s="149"/>
      <c r="EO45" s="148"/>
      <c r="EP45" s="150"/>
      <c r="EQ45" s="151"/>
      <c r="ER45" s="146"/>
      <c r="ES45" s="146"/>
      <c r="ET45" s="146"/>
      <c r="EU45" s="147"/>
      <c r="EV45" s="148"/>
      <c r="EW45" s="149"/>
      <c r="EX45" s="148"/>
      <c r="EY45" s="150"/>
      <c r="EZ45" s="151"/>
      <c r="FA45" s="146"/>
      <c r="FB45" s="146"/>
      <c r="FC45" s="146"/>
      <c r="FD45" s="147"/>
      <c r="FE45" s="148"/>
      <c r="FF45" s="149"/>
      <c r="FG45" s="148"/>
      <c r="FH45" s="150"/>
      <c r="FI45" s="151"/>
      <c r="FJ45" s="146"/>
      <c r="FK45" s="146"/>
      <c r="FL45" s="146"/>
      <c r="FM45" s="147"/>
      <c r="FN45" s="148"/>
      <c r="FO45" s="149"/>
      <c r="FP45" s="148"/>
      <c r="FQ45" s="150"/>
      <c r="FR45" s="151"/>
      <c r="FS45" s="146"/>
      <c r="FT45" s="146"/>
      <c r="FU45" s="146"/>
      <c r="FV45" s="147"/>
      <c r="FW45" s="148"/>
      <c r="FX45" s="149"/>
      <c r="FY45" s="148"/>
      <c r="FZ45" s="150"/>
      <c r="GA45" s="151"/>
      <c r="GB45" s="146"/>
      <c r="GC45" s="146"/>
      <c r="GD45" s="146"/>
      <c r="GE45" s="147"/>
      <c r="GF45" s="148"/>
      <c r="GG45" s="149"/>
      <c r="GH45" s="148"/>
      <c r="GI45" s="150"/>
      <c r="GJ45" s="151"/>
      <c r="GK45" s="146"/>
      <c r="GL45" s="146"/>
      <c r="GM45" s="146"/>
      <c r="GN45" s="147"/>
      <c r="GO45" s="148"/>
      <c r="GP45" s="149"/>
      <c r="GQ45" s="148"/>
      <c r="GR45" s="150"/>
      <c r="GS45" s="151"/>
      <c r="GT45" s="152"/>
      <c r="GU45" s="98"/>
      <c r="GV45" s="130"/>
      <c r="GW45" s="74"/>
      <c r="GX45" s="132"/>
      <c r="GY45" s="391"/>
      <c r="GZ45" s="67"/>
    </row>
    <row r="46" spans="1:208" x14ac:dyDescent="0.25">
      <c r="A46"/>
      <c r="D46" s="35"/>
      <c r="E46" s="36"/>
      <c r="F46" s="37"/>
      <c r="G46" s="38"/>
      <c r="H46" s="39"/>
      <c r="I46" s="40"/>
      <c r="J46" s="68"/>
      <c r="K46" s="407"/>
      <c r="L46" s="70"/>
      <c r="M46" s="71"/>
      <c r="N46" s="56"/>
      <c r="O46" s="72"/>
      <c r="P46" s="113">
        <f t="shared" si="2"/>
        <v>0</v>
      </c>
      <c r="Q46" s="117"/>
      <c r="R46" s="117"/>
      <c r="S46" s="117"/>
      <c r="T46" s="39">
        <f t="shared" si="3"/>
        <v>0</v>
      </c>
      <c r="U46" s="115"/>
      <c r="V46" s="112"/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152"/>
      <c r="GU46" s="98"/>
      <c r="GV46" s="130"/>
      <c r="GW46" s="74"/>
      <c r="GX46" s="132"/>
      <c r="GY46" s="391"/>
      <c r="GZ46" s="67"/>
    </row>
    <row r="47" spans="1:208" x14ac:dyDescent="0.25">
      <c r="A47"/>
      <c r="D47" s="35"/>
      <c r="E47" s="36"/>
      <c r="F47" s="37"/>
      <c r="G47" s="38"/>
      <c r="H47" s="39"/>
      <c r="I47" s="40"/>
      <c r="J47" s="76"/>
      <c r="K47" s="407"/>
      <c r="L47" s="70"/>
      <c r="M47" s="71"/>
      <c r="N47" s="119"/>
      <c r="O47" s="72"/>
      <c r="P47" s="113">
        <f t="shared" si="2"/>
        <v>0</v>
      </c>
      <c r="Q47" s="117"/>
      <c r="R47" s="117"/>
      <c r="S47" s="117"/>
      <c r="T47" s="39">
        <f t="shared" si="3"/>
        <v>0</v>
      </c>
      <c r="U47" s="375"/>
      <c r="V47" s="144"/>
      <c r="W47" s="377"/>
      <c r="X47" s="146"/>
      <c r="Y47" s="147"/>
      <c r="Z47" s="148"/>
      <c r="AA47" s="149"/>
      <c r="AB47" s="148"/>
      <c r="AC47" s="150"/>
      <c r="AD47" s="151"/>
      <c r="AE47" s="146"/>
      <c r="AF47" s="146"/>
      <c r="AG47" s="146"/>
      <c r="AH47" s="147"/>
      <c r="AI47" s="148"/>
      <c r="AJ47" s="149"/>
      <c r="AK47" s="148"/>
      <c r="AL47" s="150"/>
      <c r="AM47" s="151"/>
      <c r="AN47" s="146"/>
      <c r="AO47" s="146"/>
      <c r="AP47" s="146"/>
      <c r="AQ47" s="147"/>
      <c r="AR47" s="148"/>
      <c r="AS47" s="149"/>
      <c r="AT47" s="148"/>
      <c r="AU47" s="150"/>
      <c r="AV47" s="151"/>
      <c r="AW47" s="146"/>
      <c r="AX47" s="146"/>
      <c r="AY47" s="146"/>
      <c r="AZ47" s="147"/>
      <c r="BA47" s="148"/>
      <c r="BB47" s="149"/>
      <c r="BC47" s="148"/>
      <c r="BD47" s="150"/>
      <c r="BE47" s="151"/>
      <c r="BF47" s="146"/>
      <c r="BG47" s="146"/>
      <c r="BH47" s="146"/>
      <c r="BI47" s="147"/>
      <c r="BJ47" s="148"/>
      <c r="BK47" s="149"/>
      <c r="BL47" s="148"/>
      <c r="BM47" s="150"/>
      <c r="BN47" s="151"/>
      <c r="BO47" s="146"/>
      <c r="BP47" s="146"/>
      <c r="BQ47" s="146"/>
      <c r="BR47" s="147"/>
      <c r="BS47" s="148"/>
      <c r="BT47" s="149"/>
      <c r="BU47" s="148"/>
      <c r="BV47" s="150"/>
      <c r="BW47" s="151"/>
      <c r="BX47" s="146"/>
      <c r="BY47" s="146"/>
      <c r="BZ47" s="146"/>
      <c r="CA47" s="147"/>
      <c r="CB47" s="148"/>
      <c r="CC47" s="149"/>
      <c r="CD47" s="148"/>
      <c r="CE47" s="150"/>
      <c r="CF47" s="151"/>
      <c r="CG47" s="146"/>
      <c r="CH47" s="146"/>
      <c r="CI47" s="146"/>
      <c r="CJ47" s="147"/>
      <c r="CK47" s="148"/>
      <c r="CL47" s="149"/>
      <c r="CM47" s="148"/>
      <c r="CN47" s="150"/>
      <c r="CO47" s="151"/>
      <c r="CP47" s="146"/>
      <c r="CQ47" s="146"/>
      <c r="CR47" s="146"/>
      <c r="CS47" s="147"/>
      <c r="CT47" s="148"/>
      <c r="CU47" s="149"/>
      <c r="CV47" s="148"/>
      <c r="CW47" s="150"/>
      <c r="CX47" s="151"/>
      <c r="CY47" s="146"/>
      <c r="CZ47" s="146"/>
      <c r="DA47" s="146"/>
      <c r="DB47" s="147"/>
      <c r="DC47" s="148"/>
      <c r="DD47" s="149"/>
      <c r="DE47" s="148"/>
      <c r="DF47" s="150"/>
      <c r="DG47" s="151"/>
      <c r="DH47" s="146"/>
      <c r="DI47" s="146"/>
      <c r="DJ47" s="146"/>
      <c r="DK47" s="147"/>
      <c r="DL47" s="148"/>
      <c r="DM47" s="149"/>
      <c r="DN47" s="148"/>
      <c r="DO47" s="150"/>
      <c r="DP47" s="151"/>
      <c r="DQ47" s="146"/>
      <c r="DR47" s="146"/>
      <c r="DS47" s="146"/>
      <c r="DT47" s="147"/>
      <c r="DU47" s="148"/>
      <c r="DV47" s="149"/>
      <c r="DW47" s="148"/>
      <c r="DX47" s="150"/>
      <c r="DY47" s="151"/>
      <c r="DZ47" s="146"/>
      <c r="EA47" s="146"/>
      <c r="EB47" s="146"/>
      <c r="EC47" s="147"/>
      <c r="ED47" s="148"/>
      <c r="EE47" s="149"/>
      <c r="EF47" s="148"/>
      <c r="EG47" s="150"/>
      <c r="EH47" s="151"/>
      <c r="EI47" s="146"/>
      <c r="EJ47" s="146"/>
      <c r="EK47" s="146"/>
      <c r="EL47" s="147"/>
      <c r="EM47" s="148"/>
      <c r="EN47" s="149"/>
      <c r="EO47" s="148"/>
      <c r="EP47" s="150"/>
      <c r="EQ47" s="151"/>
      <c r="ER47" s="146"/>
      <c r="ES47" s="146"/>
      <c r="ET47" s="146"/>
      <c r="EU47" s="147"/>
      <c r="EV47" s="148"/>
      <c r="EW47" s="149"/>
      <c r="EX47" s="148"/>
      <c r="EY47" s="150"/>
      <c r="EZ47" s="151"/>
      <c r="FA47" s="146"/>
      <c r="FB47" s="146"/>
      <c r="FC47" s="146"/>
      <c r="FD47" s="147"/>
      <c r="FE47" s="148"/>
      <c r="FF47" s="149"/>
      <c r="FG47" s="148"/>
      <c r="FH47" s="150"/>
      <c r="FI47" s="151"/>
      <c r="FJ47" s="146"/>
      <c r="FK47" s="146"/>
      <c r="FL47" s="146"/>
      <c r="FM47" s="147"/>
      <c r="FN47" s="148"/>
      <c r="FO47" s="149"/>
      <c r="FP47" s="148"/>
      <c r="FQ47" s="150"/>
      <c r="FR47" s="151"/>
      <c r="FS47" s="146"/>
      <c r="FT47" s="146"/>
      <c r="FU47" s="146"/>
      <c r="FV47" s="147"/>
      <c r="FW47" s="148"/>
      <c r="FX47" s="149"/>
      <c r="FY47" s="148"/>
      <c r="FZ47" s="150"/>
      <c r="GA47" s="151"/>
      <c r="GB47" s="146"/>
      <c r="GC47" s="146"/>
      <c r="GD47" s="146"/>
      <c r="GE47" s="147"/>
      <c r="GF47" s="148"/>
      <c r="GG47" s="149"/>
      <c r="GH47" s="148"/>
      <c r="GI47" s="150"/>
      <c r="GJ47" s="151"/>
      <c r="GK47" s="146"/>
      <c r="GL47" s="146"/>
      <c r="GM47" s="146"/>
      <c r="GN47" s="147"/>
      <c r="GO47" s="148"/>
      <c r="GP47" s="149"/>
      <c r="GQ47" s="148"/>
      <c r="GR47" s="150"/>
      <c r="GS47" s="151"/>
      <c r="GT47" s="378"/>
      <c r="GU47" s="98"/>
      <c r="GV47" s="130"/>
      <c r="GW47" s="74"/>
      <c r="GX47" s="74"/>
      <c r="GY47" s="391"/>
      <c r="GZ47" s="67"/>
    </row>
    <row r="48" spans="1:208" x14ac:dyDescent="0.25">
      <c r="A48"/>
      <c r="D48" s="35"/>
      <c r="E48" s="36"/>
      <c r="F48" s="37"/>
      <c r="G48" s="38"/>
      <c r="H48" s="39"/>
      <c r="I48" s="40"/>
      <c r="J48" s="76"/>
      <c r="K48" s="451"/>
      <c r="L48" s="70"/>
      <c r="M48" s="71"/>
      <c r="N48" s="119"/>
      <c r="O48" s="72"/>
      <c r="P48" s="113">
        <f t="shared" si="2"/>
        <v>0</v>
      </c>
      <c r="Q48" s="117"/>
      <c r="R48" s="117"/>
      <c r="S48" s="117"/>
      <c r="T48" s="39">
        <f t="shared" si="3"/>
        <v>0</v>
      </c>
      <c r="U48" s="375"/>
      <c r="V48" s="144"/>
      <c r="W48" s="377"/>
      <c r="X48" s="146"/>
      <c r="Y48" s="147"/>
      <c r="Z48" s="148"/>
      <c r="AA48" s="149"/>
      <c r="AB48" s="148"/>
      <c r="AC48" s="150"/>
      <c r="AD48" s="151"/>
      <c r="AE48" s="146"/>
      <c r="AF48" s="146"/>
      <c r="AG48" s="146"/>
      <c r="AH48" s="147"/>
      <c r="AI48" s="148"/>
      <c r="AJ48" s="149"/>
      <c r="AK48" s="148"/>
      <c r="AL48" s="150"/>
      <c r="AM48" s="151"/>
      <c r="AN48" s="146"/>
      <c r="AO48" s="146"/>
      <c r="AP48" s="146"/>
      <c r="AQ48" s="147"/>
      <c r="AR48" s="148"/>
      <c r="AS48" s="149"/>
      <c r="AT48" s="148"/>
      <c r="AU48" s="150"/>
      <c r="AV48" s="151"/>
      <c r="AW48" s="146"/>
      <c r="AX48" s="146"/>
      <c r="AY48" s="146"/>
      <c r="AZ48" s="147"/>
      <c r="BA48" s="148"/>
      <c r="BB48" s="149"/>
      <c r="BC48" s="148"/>
      <c r="BD48" s="150"/>
      <c r="BE48" s="151"/>
      <c r="BF48" s="146"/>
      <c r="BG48" s="146"/>
      <c r="BH48" s="146"/>
      <c r="BI48" s="147"/>
      <c r="BJ48" s="148"/>
      <c r="BK48" s="149"/>
      <c r="BL48" s="148"/>
      <c r="BM48" s="150"/>
      <c r="BN48" s="151"/>
      <c r="BO48" s="146"/>
      <c r="BP48" s="146"/>
      <c r="BQ48" s="146"/>
      <c r="BR48" s="147"/>
      <c r="BS48" s="148"/>
      <c r="BT48" s="149"/>
      <c r="BU48" s="148"/>
      <c r="BV48" s="150"/>
      <c r="BW48" s="151"/>
      <c r="BX48" s="146"/>
      <c r="BY48" s="146"/>
      <c r="BZ48" s="146"/>
      <c r="CA48" s="147"/>
      <c r="CB48" s="148"/>
      <c r="CC48" s="149"/>
      <c r="CD48" s="148"/>
      <c r="CE48" s="150"/>
      <c r="CF48" s="151"/>
      <c r="CG48" s="146"/>
      <c r="CH48" s="146"/>
      <c r="CI48" s="146"/>
      <c r="CJ48" s="147"/>
      <c r="CK48" s="148"/>
      <c r="CL48" s="149"/>
      <c r="CM48" s="148"/>
      <c r="CN48" s="150"/>
      <c r="CO48" s="151"/>
      <c r="CP48" s="146"/>
      <c r="CQ48" s="146"/>
      <c r="CR48" s="146"/>
      <c r="CS48" s="147"/>
      <c r="CT48" s="148"/>
      <c r="CU48" s="149"/>
      <c r="CV48" s="148"/>
      <c r="CW48" s="150"/>
      <c r="CX48" s="151"/>
      <c r="CY48" s="146"/>
      <c r="CZ48" s="146"/>
      <c r="DA48" s="146"/>
      <c r="DB48" s="147"/>
      <c r="DC48" s="148"/>
      <c r="DD48" s="149"/>
      <c r="DE48" s="148"/>
      <c r="DF48" s="150"/>
      <c r="DG48" s="151"/>
      <c r="DH48" s="146"/>
      <c r="DI48" s="146"/>
      <c r="DJ48" s="146"/>
      <c r="DK48" s="147"/>
      <c r="DL48" s="148"/>
      <c r="DM48" s="149"/>
      <c r="DN48" s="148"/>
      <c r="DO48" s="150"/>
      <c r="DP48" s="151"/>
      <c r="DQ48" s="146"/>
      <c r="DR48" s="146"/>
      <c r="DS48" s="146"/>
      <c r="DT48" s="147"/>
      <c r="DU48" s="148"/>
      <c r="DV48" s="149"/>
      <c r="DW48" s="148"/>
      <c r="DX48" s="150"/>
      <c r="DY48" s="151"/>
      <c r="DZ48" s="146"/>
      <c r="EA48" s="146"/>
      <c r="EB48" s="146"/>
      <c r="EC48" s="147"/>
      <c r="ED48" s="148"/>
      <c r="EE48" s="149"/>
      <c r="EF48" s="148"/>
      <c r="EG48" s="150"/>
      <c r="EH48" s="151"/>
      <c r="EI48" s="146"/>
      <c r="EJ48" s="146"/>
      <c r="EK48" s="146"/>
      <c r="EL48" s="147"/>
      <c r="EM48" s="148"/>
      <c r="EN48" s="149"/>
      <c r="EO48" s="148"/>
      <c r="EP48" s="150"/>
      <c r="EQ48" s="151"/>
      <c r="ER48" s="146"/>
      <c r="ES48" s="146"/>
      <c r="ET48" s="146"/>
      <c r="EU48" s="147"/>
      <c r="EV48" s="148"/>
      <c r="EW48" s="149"/>
      <c r="EX48" s="148"/>
      <c r="EY48" s="150"/>
      <c r="EZ48" s="151"/>
      <c r="FA48" s="146"/>
      <c r="FB48" s="146"/>
      <c r="FC48" s="146"/>
      <c r="FD48" s="147"/>
      <c r="FE48" s="148"/>
      <c r="FF48" s="149"/>
      <c r="FG48" s="148"/>
      <c r="FH48" s="150"/>
      <c r="FI48" s="151"/>
      <c r="FJ48" s="146"/>
      <c r="FK48" s="146"/>
      <c r="FL48" s="146"/>
      <c r="FM48" s="147"/>
      <c r="FN48" s="148"/>
      <c r="FO48" s="149"/>
      <c r="FP48" s="148"/>
      <c r="FQ48" s="150"/>
      <c r="FR48" s="151"/>
      <c r="FS48" s="146"/>
      <c r="FT48" s="146"/>
      <c r="FU48" s="146"/>
      <c r="FV48" s="147"/>
      <c r="FW48" s="148"/>
      <c r="FX48" s="149"/>
      <c r="FY48" s="148"/>
      <c r="FZ48" s="150"/>
      <c r="GA48" s="151"/>
      <c r="GB48" s="146"/>
      <c r="GC48" s="146"/>
      <c r="GD48" s="146"/>
      <c r="GE48" s="147"/>
      <c r="GF48" s="148"/>
      <c r="GG48" s="149"/>
      <c r="GH48" s="148"/>
      <c r="GI48" s="150"/>
      <c r="GJ48" s="151"/>
      <c r="GK48" s="146"/>
      <c r="GL48" s="146"/>
      <c r="GM48" s="146"/>
      <c r="GN48" s="147"/>
      <c r="GO48" s="148"/>
      <c r="GP48" s="149"/>
      <c r="GQ48" s="148"/>
      <c r="GR48" s="150"/>
      <c r="GS48" s="151"/>
      <c r="GT48" s="378"/>
      <c r="GU48" s="98"/>
      <c r="GV48" s="133"/>
      <c r="GW48" s="134"/>
      <c r="GX48" s="134"/>
      <c r="GY48" s="391"/>
      <c r="GZ48" s="67"/>
    </row>
    <row r="49" spans="1:208" x14ac:dyDescent="0.25">
      <c r="A49"/>
      <c r="D49" s="35"/>
      <c r="E49" s="36"/>
      <c r="F49" s="37"/>
      <c r="G49" s="38"/>
      <c r="H49" s="39"/>
      <c r="I49" s="40"/>
      <c r="J49" s="68"/>
      <c r="K49" s="407"/>
      <c r="L49" s="70"/>
      <c r="M49" s="71"/>
      <c r="N49" s="119"/>
      <c r="O49" s="72"/>
      <c r="P49" s="113">
        <f t="shared" si="2"/>
        <v>0</v>
      </c>
      <c r="Q49" s="117"/>
      <c r="R49" s="117"/>
      <c r="S49" s="117"/>
      <c r="T49" s="39">
        <f t="shared" si="3"/>
        <v>0</v>
      </c>
      <c r="U49" s="115"/>
      <c r="V49" s="112"/>
      <c r="W49" s="118"/>
      <c r="X49" s="17"/>
      <c r="Y49" s="20"/>
      <c r="Z49" s="92"/>
      <c r="AA49" s="93"/>
      <c r="AB49" s="92"/>
      <c r="AC49" s="94"/>
      <c r="AD49" s="95"/>
      <c r="AE49" s="17"/>
      <c r="AF49" s="17"/>
      <c r="AG49" s="17"/>
      <c r="AH49" s="20"/>
      <c r="AI49" s="92"/>
      <c r="AJ49" s="93"/>
      <c r="AK49" s="92"/>
      <c r="AL49" s="94"/>
      <c r="AM49" s="95"/>
      <c r="AN49" s="17"/>
      <c r="AO49" s="17"/>
      <c r="AP49" s="17"/>
      <c r="AQ49" s="20"/>
      <c r="AR49" s="92"/>
      <c r="AS49" s="93"/>
      <c r="AT49" s="92"/>
      <c r="AU49" s="94"/>
      <c r="AV49" s="95"/>
      <c r="AW49" s="17"/>
      <c r="AX49" s="17"/>
      <c r="AY49" s="17"/>
      <c r="AZ49" s="20"/>
      <c r="BA49" s="92"/>
      <c r="BB49" s="93"/>
      <c r="BC49" s="92"/>
      <c r="BD49" s="94"/>
      <c r="BE49" s="95"/>
      <c r="BF49" s="17"/>
      <c r="BG49" s="17"/>
      <c r="BH49" s="17"/>
      <c r="BI49" s="20"/>
      <c r="BJ49" s="92"/>
      <c r="BK49" s="93"/>
      <c r="BL49" s="92"/>
      <c r="BM49" s="94"/>
      <c r="BN49" s="95"/>
      <c r="BO49" s="17"/>
      <c r="BP49" s="17"/>
      <c r="BQ49" s="17"/>
      <c r="BR49" s="20"/>
      <c r="BS49" s="92"/>
      <c r="BT49" s="93"/>
      <c r="BU49" s="92"/>
      <c r="BV49" s="94"/>
      <c r="BW49" s="95"/>
      <c r="BX49" s="17"/>
      <c r="BY49" s="17"/>
      <c r="BZ49" s="17"/>
      <c r="CA49" s="20"/>
      <c r="CB49" s="92"/>
      <c r="CC49" s="93"/>
      <c r="CD49" s="92"/>
      <c r="CE49" s="94"/>
      <c r="CF49" s="95"/>
      <c r="CG49" s="17"/>
      <c r="CH49" s="17"/>
      <c r="CI49" s="17"/>
      <c r="CJ49" s="20"/>
      <c r="CK49" s="92"/>
      <c r="CL49" s="93"/>
      <c r="CM49" s="92"/>
      <c r="CN49" s="94"/>
      <c r="CO49" s="95"/>
      <c r="CP49" s="17"/>
      <c r="CQ49" s="17"/>
      <c r="CR49" s="17"/>
      <c r="CS49" s="20"/>
      <c r="CT49" s="92"/>
      <c r="CU49" s="93"/>
      <c r="CV49" s="92"/>
      <c r="CW49" s="94"/>
      <c r="CX49" s="95"/>
      <c r="CY49" s="17"/>
      <c r="CZ49" s="17"/>
      <c r="DA49" s="17"/>
      <c r="DB49" s="20"/>
      <c r="DC49" s="92"/>
      <c r="DD49" s="93"/>
      <c r="DE49" s="92"/>
      <c r="DF49" s="94"/>
      <c r="DG49" s="95"/>
      <c r="DH49" s="17"/>
      <c r="DI49" s="17"/>
      <c r="DJ49" s="17"/>
      <c r="DK49" s="20"/>
      <c r="DL49" s="92"/>
      <c r="DM49" s="93"/>
      <c r="DN49" s="92"/>
      <c r="DO49" s="94"/>
      <c r="DP49" s="95"/>
      <c r="DQ49" s="17"/>
      <c r="DR49" s="17"/>
      <c r="DS49" s="17"/>
      <c r="DT49" s="20"/>
      <c r="DU49" s="92"/>
      <c r="DV49" s="93"/>
      <c r="DW49" s="92"/>
      <c r="DX49" s="94"/>
      <c r="DY49" s="95"/>
      <c r="DZ49" s="17"/>
      <c r="EA49" s="17"/>
      <c r="EB49" s="17"/>
      <c r="EC49" s="20"/>
      <c r="ED49" s="92"/>
      <c r="EE49" s="93"/>
      <c r="EF49" s="92"/>
      <c r="EG49" s="94"/>
      <c r="EH49" s="95"/>
      <c r="EI49" s="17"/>
      <c r="EJ49" s="17"/>
      <c r="EK49" s="17"/>
      <c r="EL49" s="20"/>
      <c r="EM49" s="92"/>
      <c r="EN49" s="93"/>
      <c r="EO49" s="92"/>
      <c r="EP49" s="94"/>
      <c r="EQ49" s="95"/>
      <c r="ER49" s="17"/>
      <c r="ES49" s="17"/>
      <c r="ET49" s="17"/>
      <c r="EU49" s="20"/>
      <c r="EV49" s="92"/>
      <c r="EW49" s="93"/>
      <c r="EX49" s="92"/>
      <c r="EY49" s="94"/>
      <c r="EZ49" s="95"/>
      <c r="FA49" s="17"/>
      <c r="FB49" s="17"/>
      <c r="FC49" s="17"/>
      <c r="FD49" s="20"/>
      <c r="FE49" s="92"/>
      <c r="FF49" s="93"/>
      <c r="FG49" s="92"/>
      <c r="FH49" s="94"/>
      <c r="FI49" s="95"/>
      <c r="FJ49" s="17"/>
      <c r="FK49" s="17"/>
      <c r="FL49" s="17"/>
      <c r="FM49" s="20"/>
      <c r="FN49" s="92"/>
      <c r="FO49" s="93"/>
      <c r="FP49" s="92"/>
      <c r="FQ49" s="94"/>
      <c r="FR49" s="95"/>
      <c r="FS49" s="17"/>
      <c r="FT49" s="17"/>
      <c r="FU49" s="17"/>
      <c r="FV49" s="20"/>
      <c r="FW49" s="92"/>
      <c r="FX49" s="93"/>
      <c r="FY49" s="92"/>
      <c r="FZ49" s="94"/>
      <c r="GA49" s="95"/>
      <c r="GB49" s="17"/>
      <c r="GC49" s="17"/>
      <c r="GD49" s="17"/>
      <c r="GE49" s="20"/>
      <c r="GF49" s="92"/>
      <c r="GG49" s="93"/>
      <c r="GH49" s="92"/>
      <c r="GI49" s="94"/>
      <c r="GJ49" s="95"/>
      <c r="GK49" s="17"/>
      <c r="GL49" s="17"/>
      <c r="GM49" s="17"/>
      <c r="GN49" s="20"/>
      <c r="GO49" s="92"/>
      <c r="GP49" s="93"/>
      <c r="GQ49" s="92"/>
      <c r="GR49" s="94"/>
      <c r="GS49" s="95"/>
      <c r="GT49" s="122"/>
      <c r="GU49" s="98"/>
      <c r="GV49" s="133"/>
      <c r="GW49" s="134"/>
      <c r="GX49" s="134"/>
      <c r="GY49" s="391"/>
      <c r="GZ49" s="67"/>
    </row>
    <row r="50" spans="1:208" x14ac:dyDescent="0.25">
      <c r="A50"/>
      <c r="D50" s="35"/>
      <c r="E50" s="36"/>
      <c r="F50" s="37"/>
      <c r="G50" s="38"/>
      <c r="H50" s="39"/>
      <c r="I50" s="40"/>
      <c r="J50" s="68"/>
      <c r="K50" s="407"/>
      <c r="L50" s="70"/>
      <c r="M50" s="71"/>
      <c r="N50" s="56"/>
      <c r="O50" s="72"/>
      <c r="P50" s="113">
        <f t="shared" si="2"/>
        <v>0</v>
      </c>
      <c r="Q50" s="117"/>
      <c r="R50" s="117"/>
      <c r="S50" s="117"/>
      <c r="T50" s="39">
        <f t="shared" ref="T50" si="4">Q50*O50</f>
        <v>0</v>
      </c>
      <c r="U50" s="115"/>
      <c r="V50" s="112"/>
      <c r="W50" s="118"/>
      <c r="X50" s="17"/>
      <c r="Y50" s="20"/>
      <c r="Z50" s="92"/>
      <c r="AA50" s="93"/>
      <c r="AB50" s="92"/>
      <c r="AC50" s="94"/>
      <c r="AD50" s="95"/>
      <c r="AE50" s="17"/>
      <c r="AF50" s="17"/>
      <c r="AG50" s="17"/>
      <c r="AH50" s="20"/>
      <c r="AI50" s="92"/>
      <c r="AJ50" s="93"/>
      <c r="AK50" s="92"/>
      <c r="AL50" s="94"/>
      <c r="AM50" s="95"/>
      <c r="AN50" s="17"/>
      <c r="AO50" s="17"/>
      <c r="AP50" s="17"/>
      <c r="AQ50" s="20"/>
      <c r="AR50" s="92"/>
      <c r="AS50" s="93"/>
      <c r="AT50" s="92"/>
      <c r="AU50" s="94"/>
      <c r="AV50" s="95"/>
      <c r="AW50" s="17"/>
      <c r="AX50" s="17"/>
      <c r="AY50" s="17"/>
      <c r="AZ50" s="20"/>
      <c r="BA50" s="92"/>
      <c r="BB50" s="93"/>
      <c r="BC50" s="92"/>
      <c r="BD50" s="94"/>
      <c r="BE50" s="95"/>
      <c r="BF50" s="17"/>
      <c r="BG50" s="17"/>
      <c r="BH50" s="17"/>
      <c r="BI50" s="20"/>
      <c r="BJ50" s="92"/>
      <c r="BK50" s="93"/>
      <c r="BL50" s="92"/>
      <c r="BM50" s="94"/>
      <c r="BN50" s="95"/>
      <c r="BO50" s="17"/>
      <c r="BP50" s="17"/>
      <c r="BQ50" s="17"/>
      <c r="BR50" s="20"/>
      <c r="BS50" s="92"/>
      <c r="BT50" s="93"/>
      <c r="BU50" s="92"/>
      <c r="BV50" s="94"/>
      <c r="BW50" s="95"/>
      <c r="BX50" s="17"/>
      <c r="BY50" s="17"/>
      <c r="BZ50" s="17"/>
      <c r="CA50" s="20"/>
      <c r="CB50" s="92"/>
      <c r="CC50" s="93"/>
      <c r="CD50" s="92"/>
      <c r="CE50" s="94"/>
      <c r="CF50" s="95"/>
      <c r="CG50" s="17"/>
      <c r="CH50" s="17"/>
      <c r="CI50" s="17"/>
      <c r="CJ50" s="20"/>
      <c r="CK50" s="92"/>
      <c r="CL50" s="93"/>
      <c r="CM50" s="92"/>
      <c r="CN50" s="94"/>
      <c r="CO50" s="95"/>
      <c r="CP50" s="17"/>
      <c r="CQ50" s="17"/>
      <c r="CR50" s="17"/>
      <c r="CS50" s="20"/>
      <c r="CT50" s="92"/>
      <c r="CU50" s="93"/>
      <c r="CV50" s="92"/>
      <c r="CW50" s="94"/>
      <c r="CX50" s="95"/>
      <c r="CY50" s="17"/>
      <c r="CZ50" s="17"/>
      <c r="DA50" s="17"/>
      <c r="DB50" s="20"/>
      <c r="DC50" s="92"/>
      <c r="DD50" s="93"/>
      <c r="DE50" s="92"/>
      <c r="DF50" s="94"/>
      <c r="DG50" s="95"/>
      <c r="DH50" s="17"/>
      <c r="DI50" s="17"/>
      <c r="DJ50" s="17"/>
      <c r="DK50" s="20"/>
      <c r="DL50" s="92"/>
      <c r="DM50" s="93"/>
      <c r="DN50" s="92"/>
      <c r="DO50" s="94"/>
      <c r="DP50" s="95"/>
      <c r="DQ50" s="17"/>
      <c r="DR50" s="17"/>
      <c r="DS50" s="17"/>
      <c r="DT50" s="20"/>
      <c r="DU50" s="92"/>
      <c r="DV50" s="93"/>
      <c r="DW50" s="92"/>
      <c r="DX50" s="94"/>
      <c r="DY50" s="95"/>
      <c r="DZ50" s="17"/>
      <c r="EA50" s="17"/>
      <c r="EB50" s="17"/>
      <c r="EC50" s="20"/>
      <c r="ED50" s="92"/>
      <c r="EE50" s="93"/>
      <c r="EF50" s="92"/>
      <c r="EG50" s="94"/>
      <c r="EH50" s="95"/>
      <c r="EI50" s="17"/>
      <c r="EJ50" s="17"/>
      <c r="EK50" s="17"/>
      <c r="EL50" s="20"/>
      <c r="EM50" s="92"/>
      <c r="EN50" s="93"/>
      <c r="EO50" s="92"/>
      <c r="EP50" s="94"/>
      <c r="EQ50" s="95"/>
      <c r="ER50" s="17"/>
      <c r="ES50" s="17"/>
      <c r="ET50" s="17"/>
      <c r="EU50" s="20"/>
      <c r="EV50" s="92"/>
      <c r="EW50" s="93"/>
      <c r="EX50" s="92"/>
      <c r="EY50" s="94"/>
      <c r="EZ50" s="95"/>
      <c r="FA50" s="17"/>
      <c r="FB50" s="17"/>
      <c r="FC50" s="17"/>
      <c r="FD50" s="20"/>
      <c r="FE50" s="92"/>
      <c r="FF50" s="93"/>
      <c r="FG50" s="92"/>
      <c r="FH50" s="94"/>
      <c r="FI50" s="95"/>
      <c r="FJ50" s="17"/>
      <c r="FK50" s="17"/>
      <c r="FL50" s="17"/>
      <c r="FM50" s="20"/>
      <c r="FN50" s="92"/>
      <c r="FO50" s="93"/>
      <c r="FP50" s="92"/>
      <c r="FQ50" s="94"/>
      <c r="FR50" s="95"/>
      <c r="FS50" s="17"/>
      <c r="FT50" s="17"/>
      <c r="FU50" s="17"/>
      <c r="FV50" s="20"/>
      <c r="FW50" s="92"/>
      <c r="FX50" s="93"/>
      <c r="FY50" s="92"/>
      <c r="FZ50" s="94"/>
      <c r="GA50" s="95"/>
      <c r="GB50" s="17"/>
      <c r="GC50" s="17"/>
      <c r="GD50" s="17"/>
      <c r="GE50" s="20"/>
      <c r="GF50" s="92"/>
      <c r="GG50" s="93"/>
      <c r="GH50" s="92"/>
      <c r="GI50" s="94"/>
      <c r="GJ50" s="95"/>
      <c r="GK50" s="17"/>
      <c r="GL50" s="17"/>
      <c r="GM50" s="17"/>
      <c r="GN50" s="20"/>
      <c r="GO50" s="92"/>
      <c r="GP50" s="93"/>
      <c r="GQ50" s="92"/>
      <c r="GR50" s="94"/>
      <c r="GS50" s="95"/>
      <c r="GT50" s="122"/>
      <c r="GU50" s="98"/>
      <c r="GV50" s="135"/>
      <c r="GW50" s="134"/>
      <c r="GX50" s="136"/>
      <c r="GY50" s="391"/>
      <c r="GZ50" s="67"/>
    </row>
    <row r="51" spans="1:208" x14ac:dyDescent="0.25">
      <c r="A51"/>
      <c r="D51" s="35"/>
      <c r="E51" s="36"/>
      <c r="F51" s="37"/>
      <c r="G51" s="38"/>
      <c r="H51" s="39"/>
      <c r="I51" s="40"/>
      <c r="J51" s="68"/>
      <c r="K51" s="407"/>
      <c r="L51" s="70"/>
      <c r="M51" s="71"/>
      <c r="N51" s="56"/>
      <c r="O51" s="72"/>
      <c r="P51" s="113">
        <f t="shared" si="2"/>
        <v>0</v>
      </c>
      <c r="Q51" s="64"/>
      <c r="R51" s="117"/>
      <c r="S51" s="117"/>
      <c r="T51" s="39">
        <f>Q51*O51</f>
        <v>0</v>
      </c>
      <c r="U51" s="115"/>
      <c r="V51" s="83"/>
      <c r="W51" s="118"/>
      <c r="X51" s="17"/>
      <c r="Y51" s="20"/>
      <c r="Z51" s="92"/>
      <c r="AA51" s="93"/>
      <c r="AB51" s="92"/>
      <c r="AC51" s="94"/>
      <c r="AD51" s="95"/>
      <c r="AE51" s="17"/>
      <c r="AF51" s="17"/>
      <c r="AG51" s="17"/>
      <c r="AH51" s="20"/>
      <c r="AI51" s="92"/>
      <c r="AJ51" s="93"/>
      <c r="AK51" s="92"/>
      <c r="AL51" s="94"/>
      <c r="AM51" s="95"/>
      <c r="AN51" s="17"/>
      <c r="AO51" s="17"/>
      <c r="AP51" s="17"/>
      <c r="AQ51" s="20"/>
      <c r="AR51" s="92"/>
      <c r="AS51" s="93"/>
      <c r="AT51" s="92"/>
      <c r="AU51" s="94"/>
      <c r="AV51" s="95"/>
      <c r="AW51" s="17"/>
      <c r="AX51" s="17"/>
      <c r="AY51" s="17"/>
      <c r="AZ51" s="20"/>
      <c r="BA51" s="92"/>
      <c r="BB51" s="93"/>
      <c r="BC51" s="92"/>
      <c r="BD51" s="94"/>
      <c r="BE51" s="95"/>
      <c r="BF51" s="17"/>
      <c r="BG51" s="17"/>
      <c r="BH51" s="17"/>
      <c r="BI51" s="20"/>
      <c r="BJ51" s="92"/>
      <c r="BK51" s="93"/>
      <c r="BL51" s="92"/>
      <c r="BM51" s="94"/>
      <c r="BN51" s="95"/>
      <c r="BO51" s="17"/>
      <c r="BP51" s="17"/>
      <c r="BQ51" s="17"/>
      <c r="BR51" s="20"/>
      <c r="BS51" s="92"/>
      <c r="BT51" s="93"/>
      <c r="BU51" s="92"/>
      <c r="BV51" s="94"/>
      <c r="BW51" s="95"/>
      <c r="BX51" s="17"/>
      <c r="BY51" s="17"/>
      <c r="BZ51" s="17"/>
      <c r="CA51" s="20"/>
      <c r="CB51" s="92"/>
      <c r="CC51" s="93"/>
      <c r="CD51" s="92"/>
      <c r="CE51" s="94"/>
      <c r="CF51" s="95"/>
      <c r="CG51" s="17"/>
      <c r="CH51" s="17"/>
      <c r="CI51" s="17"/>
      <c r="CJ51" s="20"/>
      <c r="CK51" s="92"/>
      <c r="CL51" s="93"/>
      <c r="CM51" s="92"/>
      <c r="CN51" s="94"/>
      <c r="CO51" s="95"/>
      <c r="CP51" s="17"/>
      <c r="CQ51" s="17"/>
      <c r="CR51" s="17"/>
      <c r="CS51" s="20"/>
      <c r="CT51" s="92"/>
      <c r="CU51" s="93"/>
      <c r="CV51" s="92"/>
      <c r="CW51" s="94"/>
      <c r="CX51" s="95"/>
      <c r="CY51" s="17"/>
      <c r="CZ51" s="17"/>
      <c r="DA51" s="17"/>
      <c r="DB51" s="20"/>
      <c r="DC51" s="92"/>
      <c r="DD51" s="93"/>
      <c r="DE51" s="92"/>
      <c r="DF51" s="94"/>
      <c r="DG51" s="95"/>
      <c r="DH51" s="17"/>
      <c r="DI51" s="17"/>
      <c r="DJ51" s="17"/>
      <c r="DK51" s="20"/>
      <c r="DL51" s="92"/>
      <c r="DM51" s="93"/>
      <c r="DN51" s="92"/>
      <c r="DO51" s="94"/>
      <c r="DP51" s="95"/>
      <c r="DQ51" s="17"/>
      <c r="DR51" s="17"/>
      <c r="DS51" s="17"/>
      <c r="DT51" s="20"/>
      <c r="DU51" s="92"/>
      <c r="DV51" s="93"/>
      <c r="DW51" s="92"/>
      <c r="DX51" s="94"/>
      <c r="DY51" s="95"/>
      <c r="DZ51" s="17"/>
      <c r="EA51" s="17"/>
      <c r="EB51" s="17"/>
      <c r="EC51" s="20"/>
      <c r="ED51" s="92"/>
      <c r="EE51" s="93"/>
      <c r="EF51" s="92"/>
      <c r="EG51" s="94"/>
      <c r="EH51" s="95"/>
      <c r="EI51" s="17"/>
      <c r="EJ51" s="17"/>
      <c r="EK51" s="17"/>
      <c r="EL51" s="20"/>
      <c r="EM51" s="92"/>
      <c r="EN51" s="93"/>
      <c r="EO51" s="92"/>
      <c r="EP51" s="94"/>
      <c r="EQ51" s="95"/>
      <c r="ER51" s="17"/>
      <c r="ES51" s="17"/>
      <c r="ET51" s="17"/>
      <c r="EU51" s="20"/>
      <c r="EV51" s="92"/>
      <c r="EW51" s="93"/>
      <c r="EX51" s="92"/>
      <c r="EY51" s="94"/>
      <c r="EZ51" s="95"/>
      <c r="FA51" s="17"/>
      <c r="FB51" s="17"/>
      <c r="FC51" s="17"/>
      <c r="FD51" s="20"/>
      <c r="FE51" s="92"/>
      <c r="FF51" s="93"/>
      <c r="FG51" s="92"/>
      <c r="FH51" s="94"/>
      <c r="FI51" s="95"/>
      <c r="FJ51" s="17"/>
      <c r="FK51" s="17"/>
      <c r="FL51" s="17"/>
      <c r="FM51" s="20"/>
      <c r="FN51" s="92"/>
      <c r="FO51" s="93"/>
      <c r="FP51" s="92"/>
      <c r="FQ51" s="94"/>
      <c r="FR51" s="95"/>
      <c r="FS51" s="17"/>
      <c r="FT51" s="17"/>
      <c r="FU51" s="17"/>
      <c r="FV51" s="20"/>
      <c r="FW51" s="92"/>
      <c r="FX51" s="93"/>
      <c r="FY51" s="92"/>
      <c r="FZ51" s="94"/>
      <c r="GA51" s="95"/>
      <c r="GB51" s="17"/>
      <c r="GC51" s="17"/>
      <c r="GD51" s="17"/>
      <c r="GE51" s="20"/>
      <c r="GF51" s="92"/>
      <c r="GG51" s="93"/>
      <c r="GH51" s="92"/>
      <c r="GI51" s="94"/>
      <c r="GJ51" s="95"/>
      <c r="GK51" s="17"/>
      <c r="GL51" s="17"/>
      <c r="GM51" s="17"/>
      <c r="GN51" s="20"/>
      <c r="GO51" s="92"/>
      <c r="GP51" s="93"/>
      <c r="GQ51" s="92"/>
      <c r="GR51" s="94"/>
      <c r="GS51" s="95"/>
      <c r="GT51" s="137"/>
      <c r="GU51" s="98"/>
      <c r="GV51" s="129"/>
      <c r="GW51" s="74"/>
      <c r="GX51" s="74"/>
      <c r="GY51" s="391"/>
      <c r="GZ51" s="67"/>
    </row>
    <row r="52" spans="1:208" x14ac:dyDescent="0.25">
      <c r="A52"/>
      <c r="D52" s="35"/>
      <c r="E52" s="36"/>
      <c r="F52" s="37"/>
      <c r="G52" s="38"/>
      <c r="H52" s="39"/>
      <c r="I52" s="40"/>
      <c r="J52" s="68"/>
      <c r="K52" s="407"/>
      <c r="L52" s="70"/>
      <c r="M52" s="71"/>
      <c r="N52" s="56"/>
      <c r="O52" s="72"/>
      <c r="P52" s="113">
        <f t="shared" si="0"/>
        <v>0</v>
      </c>
      <c r="Q52" s="117"/>
      <c r="R52" s="117"/>
      <c r="S52" s="117"/>
      <c r="T52" s="39">
        <f>Q52*O52</f>
        <v>0</v>
      </c>
      <c r="U52" s="115"/>
      <c r="V52" s="112"/>
      <c r="W52" s="118"/>
      <c r="X52" s="17"/>
      <c r="Y52" s="20"/>
      <c r="Z52" s="92"/>
      <c r="AA52" s="93"/>
      <c r="AB52" s="92"/>
      <c r="AC52" s="94"/>
      <c r="AD52" s="95"/>
      <c r="AE52" s="17"/>
      <c r="AF52" s="17"/>
      <c r="AG52" s="17"/>
      <c r="AH52" s="20"/>
      <c r="AI52" s="92"/>
      <c r="AJ52" s="93"/>
      <c r="AK52" s="92"/>
      <c r="AL52" s="94"/>
      <c r="AM52" s="95"/>
      <c r="AN52" s="17"/>
      <c r="AO52" s="17"/>
      <c r="AP52" s="17"/>
      <c r="AQ52" s="20"/>
      <c r="AR52" s="92"/>
      <c r="AS52" s="93"/>
      <c r="AT52" s="92"/>
      <c r="AU52" s="94"/>
      <c r="AV52" s="95"/>
      <c r="AW52" s="17"/>
      <c r="AX52" s="17"/>
      <c r="AY52" s="17"/>
      <c r="AZ52" s="20"/>
      <c r="BA52" s="92"/>
      <c r="BB52" s="93"/>
      <c r="BC52" s="92"/>
      <c r="BD52" s="94"/>
      <c r="BE52" s="95"/>
      <c r="BF52" s="17"/>
      <c r="BG52" s="17"/>
      <c r="BH52" s="17"/>
      <c r="BI52" s="20"/>
      <c r="BJ52" s="92"/>
      <c r="BK52" s="93"/>
      <c r="BL52" s="92"/>
      <c r="BM52" s="94"/>
      <c r="BN52" s="95"/>
      <c r="BO52" s="17"/>
      <c r="BP52" s="17"/>
      <c r="BQ52" s="17"/>
      <c r="BR52" s="20"/>
      <c r="BS52" s="92"/>
      <c r="BT52" s="93"/>
      <c r="BU52" s="92"/>
      <c r="BV52" s="94"/>
      <c r="BW52" s="95"/>
      <c r="BX52" s="17"/>
      <c r="BY52" s="17"/>
      <c r="BZ52" s="17"/>
      <c r="CA52" s="20"/>
      <c r="CB52" s="92"/>
      <c r="CC52" s="93"/>
      <c r="CD52" s="92"/>
      <c r="CE52" s="94"/>
      <c r="CF52" s="95"/>
      <c r="CG52" s="17"/>
      <c r="CH52" s="17"/>
      <c r="CI52" s="17"/>
      <c r="CJ52" s="20"/>
      <c r="CK52" s="92"/>
      <c r="CL52" s="93"/>
      <c r="CM52" s="92"/>
      <c r="CN52" s="94"/>
      <c r="CO52" s="95"/>
      <c r="CP52" s="17"/>
      <c r="CQ52" s="17"/>
      <c r="CR52" s="17"/>
      <c r="CS52" s="20"/>
      <c r="CT52" s="92"/>
      <c r="CU52" s="93"/>
      <c r="CV52" s="92"/>
      <c r="CW52" s="94"/>
      <c r="CX52" s="95"/>
      <c r="CY52" s="17"/>
      <c r="CZ52" s="17"/>
      <c r="DA52" s="17"/>
      <c r="DB52" s="20"/>
      <c r="DC52" s="92"/>
      <c r="DD52" s="93"/>
      <c r="DE52" s="92"/>
      <c r="DF52" s="94"/>
      <c r="DG52" s="95"/>
      <c r="DH52" s="17"/>
      <c r="DI52" s="17"/>
      <c r="DJ52" s="17"/>
      <c r="DK52" s="20"/>
      <c r="DL52" s="92"/>
      <c r="DM52" s="93"/>
      <c r="DN52" s="92"/>
      <c r="DO52" s="94"/>
      <c r="DP52" s="95"/>
      <c r="DQ52" s="17"/>
      <c r="DR52" s="17"/>
      <c r="DS52" s="17"/>
      <c r="DT52" s="20"/>
      <c r="DU52" s="92"/>
      <c r="DV52" s="93"/>
      <c r="DW52" s="92"/>
      <c r="DX52" s="94"/>
      <c r="DY52" s="95"/>
      <c r="DZ52" s="17"/>
      <c r="EA52" s="17"/>
      <c r="EB52" s="17"/>
      <c r="EC52" s="20"/>
      <c r="ED52" s="92"/>
      <c r="EE52" s="93"/>
      <c r="EF52" s="92"/>
      <c r="EG52" s="94"/>
      <c r="EH52" s="95"/>
      <c r="EI52" s="17"/>
      <c r="EJ52" s="17"/>
      <c r="EK52" s="17"/>
      <c r="EL52" s="20"/>
      <c r="EM52" s="92"/>
      <c r="EN52" s="93"/>
      <c r="EO52" s="92"/>
      <c r="EP52" s="94"/>
      <c r="EQ52" s="95"/>
      <c r="ER52" s="17"/>
      <c r="ES52" s="17"/>
      <c r="ET52" s="17"/>
      <c r="EU52" s="20"/>
      <c r="EV52" s="92"/>
      <c r="EW52" s="93"/>
      <c r="EX52" s="92"/>
      <c r="EY52" s="94"/>
      <c r="EZ52" s="95"/>
      <c r="FA52" s="17"/>
      <c r="FB52" s="17"/>
      <c r="FC52" s="17"/>
      <c r="FD52" s="20"/>
      <c r="FE52" s="92"/>
      <c r="FF52" s="93"/>
      <c r="FG52" s="92"/>
      <c r="FH52" s="94"/>
      <c r="FI52" s="95"/>
      <c r="FJ52" s="17"/>
      <c r="FK52" s="17"/>
      <c r="FL52" s="17"/>
      <c r="FM52" s="20"/>
      <c r="FN52" s="92"/>
      <c r="FO52" s="93"/>
      <c r="FP52" s="92"/>
      <c r="FQ52" s="94"/>
      <c r="FR52" s="95"/>
      <c r="FS52" s="17"/>
      <c r="FT52" s="17"/>
      <c r="FU52" s="17"/>
      <c r="FV52" s="20"/>
      <c r="FW52" s="92"/>
      <c r="FX52" s="93"/>
      <c r="FY52" s="92"/>
      <c r="FZ52" s="94"/>
      <c r="GA52" s="95"/>
      <c r="GB52" s="17"/>
      <c r="GC52" s="17"/>
      <c r="GD52" s="17"/>
      <c r="GE52" s="20"/>
      <c r="GF52" s="92"/>
      <c r="GG52" s="93"/>
      <c r="GH52" s="92"/>
      <c r="GI52" s="94"/>
      <c r="GJ52" s="95"/>
      <c r="GK52" s="17"/>
      <c r="GL52" s="17"/>
      <c r="GM52" s="17"/>
      <c r="GN52" s="20"/>
      <c r="GO52" s="92"/>
      <c r="GP52" s="93"/>
      <c r="GQ52" s="92"/>
      <c r="GR52" s="94"/>
      <c r="GS52" s="95"/>
      <c r="GT52" s="128"/>
      <c r="GU52" s="98"/>
      <c r="GV52" s="129"/>
      <c r="GW52" s="74"/>
      <c r="GX52" s="74"/>
      <c r="GY52" s="391"/>
      <c r="GZ52" s="67"/>
    </row>
    <row r="53" spans="1:208" x14ac:dyDescent="0.25">
      <c r="A53"/>
      <c r="D53" s="35"/>
      <c r="E53" s="36"/>
      <c r="F53" s="37"/>
      <c r="G53" s="38"/>
      <c r="H53" s="39"/>
      <c r="I53" s="40"/>
      <c r="J53" s="68"/>
      <c r="K53" s="407"/>
      <c r="L53" s="70"/>
      <c r="M53" s="71"/>
      <c r="N53" s="56"/>
      <c r="O53" s="72"/>
      <c r="P53" s="113">
        <f t="shared" si="0"/>
        <v>0</v>
      </c>
      <c r="Q53" s="117"/>
      <c r="R53" s="117"/>
      <c r="S53" s="117"/>
      <c r="T53" s="39">
        <f>Q53*O53</f>
        <v>0</v>
      </c>
      <c r="U53" s="115"/>
      <c r="V53" s="112"/>
      <c r="W53" s="118"/>
      <c r="X53" s="17"/>
      <c r="Y53" s="20"/>
      <c r="Z53" s="92"/>
      <c r="AA53" s="93"/>
      <c r="AB53" s="92"/>
      <c r="AC53" s="94"/>
      <c r="AD53" s="95"/>
      <c r="AE53" s="17"/>
      <c r="AF53" s="17"/>
      <c r="AG53" s="17"/>
      <c r="AH53" s="20"/>
      <c r="AI53" s="92"/>
      <c r="AJ53" s="93"/>
      <c r="AK53" s="92"/>
      <c r="AL53" s="94"/>
      <c r="AM53" s="95"/>
      <c r="AN53" s="17"/>
      <c r="AO53" s="17"/>
      <c r="AP53" s="17"/>
      <c r="AQ53" s="20"/>
      <c r="AR53" s="92"/>
      <c r="AS53" s="93"/>
      <c r="AT53" s="92"/>
      <c r="AU53" s="94"/>
      <c r="AV53" s="95"/>
      <c r="AW53" s="17"/>
      <c r="AX53" s="17"/>
      <c r="AY53" s="17"/>
      <c r="AZ53" s="20"/>
      <c r="BA53" s="92"/>
      <c r="BB53" s="93"/>
      <c r="BC53" s="92"/>
      <c r="BD53" s="94"/>
      <c r="BE53" s="95"/>
      <c r="BF53" s="17"/>
      <c r="BG53" s="17"/>
      <c r="BH53" s="17"/>
      <c r="BI53" s="20"/>
      <c r="BJ53" s="92"/>
      <c r="BK53" s="93"/>
      <c r="BL53" s="92"/>
      <c r="BM53" s="94"/>
      <c r="BN53" s="95"/>
      <c r="BO53" s="17"/>
      <c r="BP53" s="17"/>
      <c r="BQ53" s="17"/>
      <c r="BR53" s="20"/>
      <c r="BS53" s="92"/>
      <c r="BT53" s="93"/>
      <c r="BU53" s="92"/>
      <c r="BV53" s="94"/>
      <c r="BW53" s="95"/>
      <c r="BX53" s="17"/>
      <c r="BY53" s="17"/>
      <c r="BZ53" s="17"/>
      <c r="CA53" s="20"/>
      <c r="CB53" s="92"/>
      <c r="CC53" s="93"/>
      <c r="CD53" s="92"/>
      <c r="CE53" s="94"/>
      <c r="CF53" s="95"/>
      <c r="CG53" s="17"/>
      <c r="CH53" s="17"/>
      <c r="CI53" s="17"/>
      <c r="CJ53" s="20"/>
      <c r="CK53" s="92"/>
      <c r="CL53" s="93"/>
      <c r="CM53" s="92"/>
      <c r="CN53" s="94"/>
      <c r="CO53" s="95"/>
      <c r="CP53" s="17"/>
      <c r="CQ53" s="17"/>
      <c r="CR53" s="17"/>
      <c r="CS53" s="20"/>
      <c r="CT53" s="92"/>
      <c r="CU53" s="93"/>
      <c r="CV53" s="92"/>
      <c r="CW53" s="94"/>
      <c r="CX53" s="95"/>
      <c r="CY53" s="17"/>
      <c r="CZ53" s="17"/>
      <c r="DA53" s="17"/>
      <c r="DB53" s="20"/>
      <c r="DC53" s="92"/>
      <c r="DD53" s="93"/>
      <c r="DE53" s="92"/>
      <c r="DF53" s="94"/>
      <c r="DG53" s="95"/>
      <c r="DH53" s="17"/>
      <c r="DI53" s="17"/>
      <c r="DJ53" s="17"/>
      <c r="DK53" s="20"/>
      <c r="DL53" s="92"/>
      <c r="DM53" s="93"/>
      <c r="DN53" s="92"/>
      <c r="DO53" s="94"/>
      <c r="DP53" s="95"/>
      <c r="DQ53" s="17"/>
      <c r="DR53" s="17"/>
      <c r="DS53" s="17"/>
      <c r="DT53" s="20"/>
      <c r="DU53" s="92"/>
      <c r="DV53" s="93"/>
      <c r="DW53" s="92"/>
      <c r="DX53" s="94"/>
      <c r="DY53" s="95"/>
      <c r="DZ53" s="17"/>
      <c r="EA53" s="17"/>
      <c r="EB53" s="17"/>
      <c r="EC53" s="20"/>
      <c r="ED53" s="92"/>
      <c r="EE53" s="93"/>
      <c r="EF53" s="92"/>
      <c r="EG53" s="94"/>
      <c r="EH53" s="95"/>
      <c r="EI53" s="17"/>
      <c r="EJ53" s="17"/>
      <c r="EK53" s="17"/>
      <c r="EL53" s="20"/>
      <c r="EM53" s="92"/>
      <c r="EN53" s="93"/>
      <c r="EO53" s="92"/>
      <c r="EP53" s="94"/>
      <c r="EQ53" s="95"/>
      <c r="ER53" s="17"/>
      <c r="ES53" s="17"/>
      <c r="ET53" s="17"/>
      <c r="EU53" s="20"/>
      <c r="EV53" s="92"/>
      <c r="EW53" s="93"/>
      <c r="EX53" s="92"/>
      <c r="EY53" s="94"/>
      <c r="EZ53" s="95"/>
      <c r="FA53" s="17"/>
      <c r="FB53" s="17"/>
      <c r="FC53" s="17"/>
      <c r="FD53" s="20"/>
      <c r="FE53" s="92"/>
      <c r="FF53" s="93"/>
      <c r="FG53" s="92"/>
      <c r="FH53" s="94"/>
      <c r="FI53" s="95"/>
      <c r="FJ53" s="17"/>
      <c r="FK53" s="17"/>
      <c r="FL53" s="17"/>
      <c r="FM53" s="20"/>
      <c r="FN53" s="92"/>
      <c r="FO53" s="93"/>
      <c r="FP53" s="92"/>
      <c r="FQ53" s="94"/>
      <c r="FR53" s="95"/>
      <c r="FS53" s="17"/>
      <c r="FT53" s="17"/>
      <c r="FU53" s="17"/>
      <c r="FV53" s="20"/>
      <c r="FW53" s="92"/>
      <c r="FX53" s="93"/>
      <c r="FY53" s="92"/>
      <c r="FZ53" s="94"/>
      <c r="GA53" s="95"/>
      <c r="GB53" s="17"/>
      <c r="GC53" s="17"/>
      <c r="GD53" s="17"/>
      <c r="GE53" s="20"/>
      <c r="GF53" s="92"/>
      <c r="GG53" s="93"/>
      <c r="GH53" s="92"/>
      <c r="GI53" s="94"/>
      <c r="GJ53" s="95"/>
      <c r="GK53" s="17"/>
      <c r="GL53" s="17"/>
      <c r="GM53" s="17"/>
      <c r="GN53" s="20"/>
      <c r="GO53" s="92"/>
      <c r="GP53" s="93"/>
      <c r="GQ53" s="92"/>
      <c r="GR53" s="94"/>
      <c r="GS53" s="95"/>
      <c r="GT53" s="97"/>
      <c r="GU53" s="98"/>
      <c r="GV53" s="130"/>
      <c r="GW53" s="74"/>
      <c r="GX53" s="74"/>
      <c r="GY53" s="391"/>
      <c r="GZ53" s="67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407"/>
      <c r="L54" s="70"/>
      <c r="M54" s="71"/>
      <c r="N54" s="56"/>
      <c r="O54" s="72"/>
      <c r="P54" s="113">
        <f t="shared" si="0"/>
        <v>0</v>
      </c>
      <c r="Q54" s="117"/>
      <c r="R54" s="117"/>
      <c r="S54" s="117"/>
      <c r="T54" s="39">
        <f>Q54*O54</f>
        <v>0</v>
      </c>
      <c r="U54" s="138"/>
      <c r="V54" s="139"/>
      <c r="W54" s="121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97"/>
      <c r="GU54" s="98"/>
      <c r="GV54" s="130"/>
      <c r="GW54" s="74"/>
      <c r="GX54" s="74"/>
      <c r="GY54" s="391"/>
      <c r="GZ54" s="67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407"/>
      <c r="L55" s="70"/>
      <c r="M55" s="71"/>
      <c r="N55" s="56"/>
      <c r="O55" s="72"/>
      <c r="P55" s="113">
        <f t="shared" si="0"/>
        <v>0</v>
      </c>
      <c r="Q55" s="117"/>
      <c r="R55" s="117"/>
      <c r="S55" s="140"/>
      <c r="T55" s="39">
        <f t="shared" si="1"/>
        <v>0</v>
      </c>
      <c r="U55" s="138"/>
      <c r="V55" s="112"/>
      <c r="W55" s="121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97"/>
      <c r="GU55" s="98"/>
      <c r="GV55" s="130"/>
      <c r="GW55" s="74"/>
      <c r="GX55" s="74"/>
      <c r="GY55" s="391"/>
      <c r="GZ55" s="67"/>
    </row>
    <row r="56" spans="1:208" x14ac:dyDescent="0.25">
      <c r="A56"/>
      <c r="D56" s="35"/>
      <c r="E56" s="36"/>
      <c r="F56" s="37"/>
      <c r="G56" s="38"/>
      <c r="H56" s="39"/>
      <c r="I56" s="40"/>
      <c r="J56" s="68"/>
      <c r="K56" s="407"/>
      <c r="L56" s="70"/>
      <c r="M56" s="71"/>
      <c r="N56" s="56"/>
      <c r="O56" s="72"/>
      <c r="P56" s="113">
        <f t="shared" si="0"/>
        <v>0</v>
      </c>
      <c r="Q56" s="117"/>
      <c r="R56" s="117"/>
      <c r="S56" s="117"/>
      <c r="T56" s="39">
        <f t="shared" si="1"/>
        <v>0</v>
      </c>
      <c r="U56" s="138"/>
      <c r="V56" s="112"/>
      <c r="W56" s="121"/>
      <c r="X56" s="17"/>
      <c r="Y56" s="20"/>
      <c r="Z56" s="92"/>
      <c r="AA56" s="93"/>
      <c r="AB56" s="92"/>
      <c r="AC56" s="94"/>
      <c r="AD56" s="95"/>
      <c r="AE56" s="17"/>
      <c r="AF56" s="17"/>
      <c r="AG56" s="17"/>
      <c r="AH56" s="20"/>
      <c r="AI56" s="92"/>
      <c r="AJ56" s="93"/>
      <c r="AK56" s="92"/>
      <c r="AL56" s="94"/>
      <c r="AM56" s="95"/>
      <c r="AN56" s="17"/>
      <c r="AO56" s="17"/>
      <c r="AP56" s="17"/>
      <c r="AQ56" s="20"/>
      <c r="AR56" s="92"/>
      <c r="AS56" s="93"/>
      <c r="AT56" s="92"/>
      <c r="AU56" s="94"/>
      <c r="AV56" s="95"/>
      <c r="AW56" s="17"/>
      <c r="AX56" s="17"/>
      <c r="AY56" s="17"/>
      <c r="AZ56" s="20"/>
      <c r="BA56" s="92"/>
      <c r="BB56" s="93"/>
      <c r="BC56" s="92"/>
      <c r="BD56" s="94"/>
      <c r="BE56" s="95"/>
      <c r="BF56" s="17"/>
      <c r="BG56" s="17"/>
      <c r="BH56" s="17"/>
      <c r="BI56" s="20"/>
      <c r="BJ56" s="92"/>
      <c r="BK56" s="93"/>
      <c r="BL56" s="92"/>
      <c r="BM56" s="94"/>
      <c r="BN56" s="95"/>
      <c r="BO56" s="17"/>
      <c r="BP56" s="17"/>
      <c r="BQ56" s="17"/>
      <c r="BR56" s="20"/>
      <c r="BS56" s="92"/>
      <c r="BT56" s="93"/>
      <c r="BU56" s="92"/>
      <c r="BV56" s="94"/>
      <c r="BW56" s="95"/>
      <c r="BX56" s="17"/>
      <c r="BY56" s="17"/>
      <c r="BZ56" s="17"/>
      <c r="CA56" s="20"/>
      <c r="CB56" s="92"/>
      <c r="CC56" s="93"/>
      <c r="CD56" s="92"/>
      <c r="CE56" s="94"/>
      <c r="CF56" s="95"/>
      <c r="CG56" s="17"/>
      <c r="CH56" s="17"/>
      <c r="CI56" s="17"/>
      <c r="CJ56" s="20"/>
      <c r="CK56" s="92"/>
      <c r="CL56" s="93"/>
      <c r="CM56" s="92"/>
      <c r="CN56" s="94"/>
      <c r="CO56" s="95"/>
      <c r="CP56" s="17"/>
      <c r="CQ56" s="17"/>
      <c r="CR56" s="17"/>
      <c r="CS56" s="20"/>
      <c r="CT56" s="92"/>
      <c r="CU56" s="93"/>
      <c r="CV56" s="92"/>
      <c r="CW56" s="94"/>
      <c r="CX56" s="95"/>
      <c r="CY56" s="17"/>
      <c r="CZ56" s="17"/>
      <c r="DA56" s="17"/>
      <c r="DB56" s="20"/>
      <c r="DC56" s="92"/>
      <c r="DD56" s="93"/>
      <c r="DE56" s="92"/>
      <c r="DF56" s="94"/>
      <c r="DG56" s="95"/>
      <c r="DH56" s="17"/>
      <c r="DI56" s="17"/>
      <c r="DJ56" s="17"/>
      <c r="DK56" s="20"/>
      <c r="DL56" s="92"/>
      <c r="DM56" s="93"/>
      <c r="DN56" s="92"/>
      <c r="DO56" s="94"/>
      <c r="DP56" s="95"/>
      <c r="DQ56" s="17"/>
      <c r="DR56" s="17"/>
      <c r="DS56" s="17"/>
      <c r="DT56" s="20"/>
      <c r="DU56" s="92"/>
      <c r="DV56" s="93"/>
      <c r="DW56" s="92"/>
      <c r="DX56" s="94"/>
      <c r="DY56" s="95"/>
      <c r="DZ56" s="17"/>
      <c r="EA56" s="17"/>
      <c r="EB56" s="17"/>
      <c r="EC56" s="20"/>
      <c r="ED56" s="92"/>
      <c r="EE56" s="93"/>
      <c r="EF56" s="92"/>
      <c r="EG56" s="94"/>
      <c r="EH56" s="95"/>
      <c r="EI56" s="17"/>
      <c r="EJ56" s="17"/>
      <c r="EK56" s="17"/>
      <c r="EL56" s="20"/>
      <c r="EM56" s="92"/>
      <c r="EN56" s="93"/>
      <c r="EO56" s="92"/>
      <c r="EP56" s="94"/>
      <c r="EQ56" s="95"/>
      <c r="ER56" s="17"/>
      <c r="ES56" s="17"/>
      <c r="ET56" s="17"/>
      <c r="EU56" s="20"/>
      <c r="EV56" s="92"/>
      <c r="EW56" s="93"/>
      <c r="EX56" s="92"/>
      <c r="EY56" s="94"/>
      <c r="EZ56" s="95"/>
      <c r="FA56" s="17"/>
      <c r="FB56" s="17"/>
      <c r="FC56" s="17"/>
      <c r="FD56" s="20"/>
      <c r="FE56" s="92"/>
      <c r="FF56" s="93"/>
      <c r="FG56" s="92"/>
      <c r="FH56" s="94"/>
      <c r="FI56" s="95"/>
      <c r="FJ56" s="17"/>
      <c r="FK56" s="17"/>
      <c r="FL56" s="17"/>
      <c r="FM56" s="20"/>
      <c r="FN56" s="92"/>
      <c r="FO56" s="93"/>
      <c r="FP56" s="92"/>
      <c r="FQ56" s="94"/>
      <c r="FR56" s="95"/>
      <c r="FS56" s="17"/>
      <c r="FT56" s="17"/>
      <c r="FU56" s="17"/>
      <c r="FV56" s="20"/>
      <c r="FW56" s="92"/>
      <c r="FX56" s="93"/>
      <c r="FY56" s="92"/>
      <c r="FZ56" s="94"/>
      <c r="GA56" s="95"/>
      <c r="GB56" s="17"/>
      <c r="GC56" s="17"/>
      <c r="GD56" s="17"/>
      <c r="GE56" s="20"/>
      <c r="GF56" s="92"/>
      <c r="GG56" s="93"/>
      <c r="GH56" s="92"/>
      <c r="GI56" s="94"/>
      <c r="GJ56" s="95"/>
      <c r="GK56" s="17"/>
      <c r="GL56" s="17"/>
      <c r="GM56" s="17"/>
      <c r="GN56" s="20"/>
      <c r="GO56" s="92"/>
      <c r="GP56" s="93"/>
      <c r="GQ56" s="92"/>
      <c r="GR56" s="94"/>
      <c r="GS56" s="95"/>
      <c r="GT56" s="97"/>
      <c r="GU56" s="98"/>
      <c r="GV56" s="130"/>
      <c r="GW56" s="141"/>
      <c r="GX56" s="141"/>
      <c r="GY56" s="391"/>
      <c r="GZ56" s="67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407"/>
      <c r="L57" s="70"/>
      <c r="M57" s="71"/>
      <c r="N57" s="56"/>
      <c r="O57" s="72"/>
      <c r="P57" s="113">
        <f t="shared" si="0"/>
        <v>0</v>
      </c>
      <c r="Q57" s="117"/>
      <c r="R57" s="117"/>
      <c r="S57" s="117"/>
      <c r="T57" s="39">
        <f t="shared" si="1"/>
        <v>0</v>
      </c>
      <c r="U57" s="138"/>
      <c r="V57" s="112"/>
      <c r="W57" s="121"/>
      <c r="X57" s="17"/>
      <c r="Y57" s="20"/>
      <c r="Z57" s="92"/>
      <c r="AA57" s="93"/>
      <c r="AB57" s="92"/>
      <c r="AC57" s="94"/>
      <c r="AD57" s="95"/>
      <c r="AE57" s="17"/>
      <c r="AF57" s="17"/>
      <c r="AG57" s="17"/>
      <c r="AH57" s="20"/>
      <c r="AI57" s="92"/>
      <c r="AJ57" s="93"/>
      <c r="AK57" s="92"/>
      <c r="AL57" s="94"/>
      <c r="AM57" s="95"/>
      <c r="AN57" s="17"/>
      <c r="AO57" s="17"/>
      <c r="AP57" s="17"/>
      <c r="AQ57" s="20"/>
      <c r="AR57" s="92"/>
      <c r="AS57" s="93"/>
      <c r="AT57" s="92"/>
      <c r="AU57" s="94"/>
      <c r="AV57" s="95"/>
      <c r="AW57" s="17"/>
      <c r="AX57" s="17"/>
      <c r="AY57" s="17"/>
      <c r="AZ57" s="20"/>
      <c r="BA57" s="92"/>
      <c r="BB57" s="93"/>
      <c r="BC57" s="92"/>
      <c r="BD57" s="94"/>
      <c r="BE57" s="95"/>
      <c r="BF57" s="17"/>
      <c r="BG57" s="17"/>
      <c r="BH57" s="17"/>
      <c r="BI57" s="20"/>
      <c r="BJ57" s="92"/>
      <c r="BK57" s="93"/>
      <c r="BL57" s="92"/>
      <c r="BM57" s="94"/>
      <c r="BN57" s="95"/>
      <c r="BO57" s="17"/>
      <c r="BP57" s="17"/>
      <c r="BQ57" s="17"/>
      <c r="BR57" s="20"/>
      <c r="BS57" s="92"/>
      <c r="BT57" s="93"/>
      <c r="BU57" s="92"/>
      <c r="BV57" s="94"/>
      <c r="BW57" s="95"/>
      <c r="BX57" s="17"/>
      <c r="BY57" s="17"/>
      <c r="BZ57" s="17"/>
      <c r="CA57" s="20"/>
      <c r="CB57" s="92"/>
      <c r="CC57" s="93"/>
      <c r="CD57" s="92"/>
      <c r="CE57" s="94"/>
      <c r="CF57" s="95"/>
      <c r="CG57" s="17"/>
      <c r="CH57" s="17"/>
      <c r="CI57" s="17"/>
      <c r="CJ57" s="20"/>
      <c r="CK57" s="92"/>
      <c r="CL57" s="93"/>
      <c r="CM57" s="92"/>
      <c r="CN57" s="94"/>
      <c r="CO57" s="95"/>
      <c r="CP57" s="17"/>
      <c r="CQ57" s="17"/>
      <c r="CR57" s="17"/>
      <c r="CS57" s="20"/>
      <c r="CT57" s="92"/>
      <c r="CU57" s="93"/>
      <c r="CV57" s="92"/>
      <c r="CW57" s="94"/>
      <c r="CX57" s="95"/>
      <c r="CY57" s="17"/>
      <c r="CZ57" s="17"/>
      <c r="DA57" s="17"/>
      <c r="DB57" s="20"/>
      <c r="DC57" s="92"/>
      <c r="DD57" s="93"/>
      <c r="DE57" s="92"/>
      <c r="DF57" s="94"/>
      <c r="DG57" s="95"/>
      <c r="DH57" s="17"/>
      <c r="DI57" s="17"/>
      <c r="DJ57" s="17"/>
      <c r="DK57" s="20"/>
      <c r="DL57" s="92"/>
      <c r="DM57" s="93"/>
      <c r="DN57" s="92"/>
      <c r="DO57" s="94"/>
      <c r="DP57" s="95"/>
      <c r="DQ57" s="17"/>
      <c r="DR57" s="17"/>
      <c r="DS57" s="17"/>
      <c r="DT57" s="20"/>
      <c r="DU57" s="92"/>
      <c r="DV57" s="93"/>
      <c r="DW57" s="92"/>
      <c r="DX57" s="94"/>
      <c r="DY57" s="95"/>
      <c r="DZ57" s="17"/>
      <c r="EA57" s="17"/>
      <c r="EB57" s="17"/>
      <c r="EC57" s="20"/>
      <c r="ED57" s="92"/>
      <c r="EE57" s="93"/>
      <c r="EF57" s="92"/>
      <c r="EG57" s="94"/>
      <c r="EH57" s="95"/>
      <c r="EI57" s="17"/>
      <c r="EJ57" s="17"/>
      <c r="EK57" s="17"/>
      <c r="EL57" s="20"/>
      <c r="EM57" s="92"/>
      <c r="EN57" s="93"/>
      <c r="EO57" s="92"/>
      <c r="EP57" s="94"/>
      <c r="EQ57" s="95"/>
      <c r="ER57" s="17"/>
      <c r="ES57" s="17"/>
      <c r="ET57" s="17"/>
      <c r="EU57" s="20"/>
      <c r="EV57" s="92"/>
      <c r="EW57" s="93"/>
      <c r="EX57" s="92"/>
      <c r="EY57" s="94"/>
      <c r="EZ57" s="95"/>
      <c r="FA57" s="17"/>
      <c r="FB57" s="17"/>
      <c r="FC57" s="17"/>
      <c r="FD57" s="20"/>
      <c r="FE57" s="92"/>
      <c r="FF57" s="93"/>
      <c r="FG57" s="92"/>
      <c r="FH57" s="94"/>
      <c r="FI57" s="95"/>
      <c r="FJ57" s="17"/>
      <c r="FK57" s="17"/>
      <c r="FL57" s="17"/>
      <c r="FM57" s="20"/>
      <c r="FN57" s="92"/>
      <c r="FO57" s="93"/>
      <c r="FP57" s="92"/>
      <c r="FQ57" s="94"/>
      <c r="FR57" s="95"/>
      <c r="FS57" s="17"/>
      <c r="FT57" s="17"/>
      <c r="FU57" s="17"/>
      <c r="FV57" s="20"/>
      <c r="FW57" s="92"/>
      <c r="FX57" s="93"/>
      <c r="FY57" s="92"/>
      <c r="FZ57" s="94"/>
      <c r="GA57" s="95"/>
      <c r="GB57" s="17"/>
      <c r="GC57" s="17"/>
      <c r="GD57" s="17"/>
      <c r="GE57" s="20"/>
      <c r="GF57" s="92"/>
      <c r="GG57" s="93"/>
      <c r="GH57" s="92"/>
      <c r="GI57" s="94"/>
      <c r="GJ57" s="95"/>
      <c r="GK57" s="17"/>
      <c r="GL57" s="17"/>
      <c r="GM57" s="17"/>
      <c r="GN57" s="20"/>
      <c r="GO57" s="92"/>
      <c r="GP57" s="93"/>
      <c r="GQ57" s="92"/>
      <c r="GR57" s="94"/>
      <c r="GS57" s="95"/>
      <c r="GT57" s="97"/>
      <c r="GU57" s="98"/>
      <c r="GV57" s="130"/>
      <c r="GW57" s="141"/>
      <c r="GX57" s="141"/>
      <c r="GY57" s="391"/>
      <c r="GZ57" s="67"/>
    </row>
    <row r="58" spans="1:208" x14ac:dyDescent="0.25">
      <c r="A58"/>
      <c r="D58" s="35"/>
      <c r="E58" s="36"/>
      <c r="F58" s="37"/>
      <c r="G58" s="38"/>
      <c r="H58" s="39"/>
      <c r="I58" s="40"/>
      <c r="J58" s="76"/>
      <c r="K58" s="407"/>
      <c r="L58" s="70"/>
      <c r="M58" s="71"/>
      <c r="N58" s="142"/>
      <c r="O58" s="72"/>
      <c r="P58" s="113">
        <f t="shared" si="0"/>
        <v>0</v>
      </c>
      <c r="Q58" s="117"/>
      <c r="R58" s="117"/>
      <c r="S58" s="117"/>
      <c r="T58" s="39">
        <f t="shared" si="1"/>
        <v>0</v>
      </c>
      <c r="U58" s="143"/>
      <c r="V58" s="144"/>
      <c r="W58" s="145"/>
      <c r="X58" s="146"/>
      <c r="Y58" s="147"/>
      <c r="Z58" s="148"/>
      <c r="AA58" s="149"/>
      <c r="AB58" s="148"/>
      <c r="AC58" s="150"/>
      <c r="AD58" s="151"/>
      <c r="AE58" s="146"/>
      <c r="AF58" s="146"/>
      <c r="AG58" s="146"/>
      <c r="AH58" s="147"/>
      <c r="AI58" s="148"/>
      <c r="AJ58" s="149"/>
      <c r="AK58" s="148"/>
      <c r="AL58" s="150"/>
      <c r="AM58" s="151"/>
      <c r="AN58" s="146"/>
      <c r="AO58" s="146"/>
      <c r="AP58" s="146"/>
      <c r="AQ58" s="147"/>
      <c r="AR58" s="148"/>
      <c r="AS58" s="149"/>
      <c r="AT58" s="148"/>
      <c r="AU58" s="150"/>
      <c r="AV58" s="151"/>
      <c r="AW58" s="146"/>
      <c r="AX58" s="146"/>
      <c r="AY58" s="146"/>
      <c r="AZ58" s="147"/>
      <c r="BA58" s="148"/>
      <c r="BB58" s="149"/>
      <c r="BC58" s="148"/>
      <c r="BD58" s="150"/>
      <c r="BE58" s="151"/>
      <c r="BF58" s="146"/>
      <c r="BG58" s="146"/>
      <c r="BH58" s="146"/>
      <c r="BI58" s="147"/>
      <c r="BJ58" s="148"/>
      <c r="BK58" s="149"/>
      <c r="BL58" s="148"/>
      <c r="BM58" s="150"/>
      <c r="BN58" s="151"/>
      <c r="BO58" s="146"/>
      <c r="BP58" s="146"/>
      <c r="BQ58" s="146"/>
      <c r="BR58" s="147"/>
      <c r="BS58" s="148"/>
      <c r="BT58" s="149"/>
      <c r="BU58" s="148"/>
      <c r="BV58" s="150"/>
      <c r="BW58" s="151"/>
      <c r="BX58" s="146"/>
      <c r="BY58" s="146"/>
      <c r="BZ58" s="146"/>
      <c r="CA58" s="147"/>
      <c r="CB58" s="148"/>
      <c r="CC58" s="149"/>
      <c r="CD58" s="148"/>
      <c r="CE58" s="150"/>
      <c r="CF58" s="151"/>
      <c r="CG58" s="146"/>
      <c r="CH58" s="146"/>
      <c r="CI58" s="146"/>
      <c r="CJ58" s="147"/>
      <c r="CK58" s="148"/>
      <c r="CL58" s="149"/>
      <c r="CM58" s="148"/>
      <c r="CN58" s="150"/>
      <c r="CO58" s="151"/>
      <c r="CP58" s="146"/>
      <c r="CQ58" s="146"/>
      <c r="CR58" s="146"/>
      <c r="CS58" s="147"/>
      <c r="CT58" s="148"/>
      <c r="CU58" s="149"/>
      <c r="CV58" s="148"/>
      <c r="CW58" s="150"/>
      <c r="CX58" s="151"/>
      <c r="CY58" s="146"/>
      <c r="CZ58" s="146"/>
      <c r="DA58" s="146"/>
      <c r="DB58" s="147"/>
      <c r="DC58" s="148"/>
      <c r="DD58" s="149"/>
      <c r="DE58" s="148"/>
      <c r="DF58" s="150"/>
      <c r="DG58" s="151"/>
      <c r="DH58" s="146"/>
      <c r="DI58" s="146"/>
      <c r="DJ58" s="146"/>
      <c r="DK58" s="147"/>
      <c r="DL58" s="148"/>
      <c r="DM58" s="149"/>
      <c r="DN58" s="148"/>
      <c r="DO58" s="150"/>
      <c r="DP58" s="151"/>
      <c r="DQ58" s="146"/>
      <c r="DR58" s="146"/>
      <c r="DS58" s="146"/>
      <c r="DT58" s="147"/>
      <c r="DU58" s="148"/>
      <c r="DV58" s="149"/>
      <c r="DW58" s="148"/>
      <c r="DX58" s="150"/>
      <c r="DY58" s="151"/>
      <c r="DZ58" s="146"/>
      <c r="EA58" s="146"/>
      <c r="EB58" s="146"/>
      <c r="EC58" s="147"/>
      <c r="ED58" s="148"/>
      <c r="EE58" s="149"/>
      <c r="EF58" s="148"/>
      <c r="EG58" s="150"/>
      <c r="EH58" s="151"/>
      <c r="EI58" s="146"/>
      <c r="EJ58" s="146"/>
      <c r="EK58" s="146"/>
      <c r="EL58" s="147"/>
      <c r="EM58" s="148"/>
      <c r="EN58" s="149"/>
      <c r="EO58" s="148"/>
      <c r="EP58" s="150"/>
      <c r="EQ58" s="151"/>
      <c r="ER58" s="146"/>
      <c r="ES58" s="146"/>
      <c r="ET58" s="146"/>
      <c r="EU58" s="147"/>
      <c r="EV58" s="148"/>
      <c r="EW58" s="149"/>
      <c r="EX58" s="148"/>
      <c r="EY58" s="150"/>
      <c r="EZ58" s="151"/>
      <c r="FA58" s="146"/>
      <c r="FB58" s="146"/>
      <c r="FC58" s="146"/>
      <c r="FD58" s="147"/>
      <c r="FE58" s="148"/>
      <c r="FF58" s="149"/>
      <c r="FG58" s="148"/>
      <c r="FH58" s="150"/>
      <c r="FI58" s="151"/>
      <c r="FJ58" s="146"/>
      <c r="FK58" s="146"/>
      <c r="FL58" s="146"/>
      <c r="FM58" s="147"/>
      <c r="FN58" s="148"/>
      <c r="FO58" s="149"/>
      <c r="FP58" s="148"/>
      <c r="FQ58" s="150"/>
      <c r="FR58" s="151"/>
      <c r="FS58" s="146"/>
      <c r="FT58" s="146"/>
      <c r="FU58" s="146"/>
      <c r="FV58" s="147"/>
      <c r="FW58" s="148"/>
      <c r="FX58" s="149"/>
      <c r="FY58" s="148"/>
      <c r="FZ58" s="150"/>
      <c r="GA58" s="151"/>
      <c r="GB58" s="146"/>
      <c r="GC58" s="146"/>
      <c r="GD58" s="146"/>
      <c r="GE58" s="147"/>
      <c r="GF58" s="148"/>
      <c r="GG58" s="149"/>
      <c r="GH58" s="148"/>
      <c r="GI58" s="150"/>
      <c r="GJ58" s="151"/>
      <c r="GK58" s="146"/>
      <c r="GL58" s="146"/>
      <c r="GM58" s="146"/>
      <c r="GN58" s="147"/>
      <c r="GO58" s="148"/>
      <c r="GP58" s="149"/>
      <c r="GQ58" s="148"/>
      <c r="GR58" s="150"/>
      <c r="GS58" s="151"/>
      <c r="GT58" s="152"/>
      <c r="GU58" s="131"/>
      <c r="GV58" s="153"/>
      <c r="GW58" s="141"/>
      <c r="GX58" s="141"/>
      <c r="GY58" s="391"/>
      <c r="GZ58" s="67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407"/>
      <c r="L59" s="70"/>
      <c r="M59" s="71"/>
      <c r="N59" s="142"/>
      <c r="O59" s="72"/>
      <c r="P59" s="113">
        <f t="shared" si="0"/>
        <v>0</v>
      </c>
      <c r="Q59" s="117"/>
      <c r="R59" s="117"/>
      <c r="S59" s="117"/>
      <c r="T59" s="39">
        <f t="shared" si="1"/>
        <v>0</v>
      </c>
      <c r="U59" s="143"/>
      <c r="V59" s="154"/>
      <c r="W59" s="155"/>
      <c r="X59" s="146"/>
      <c r="Y59" s="147"/>
      <c r="Z59" s="148"/>
      <c r="AA59" s="149"/>
      <c r="AB59" s="148"/>
      <c r="AC59" s="150"/>
      <c r="AD59" s="151"/>
      <c r="AE59" s="146"/>
      <c r="AF59" s="146"/>
      <c r="AG59" s="146"/>
      <c r="AH59" s="147"/>
      <c r="AI59" s="148"/>
      <c r="AJ59" s="149"/>
      <c r="AK59" s="148"/>
      <c r="AL59" s="150"/>
      <c r="AM59" s="151"/>
      <c r="AN59" s="146"/>
      <c r="AO59" s="146"/>
      <c r="AP59" s="146"/>
      <c r="AQ59" s="147"/>
      <c r="AR59" s="148"/>
      <c r="AS59" s="149"/>
      <c r="AT59" s="148"/>
      <c r="AU59" s="150"/>
      <c r="AV59" s="151"/>
      <c r="AW59" s="146"/>
      <c r="AX59" s="146"/>
      <c r="AY59" s="146"/>
      <c r="AZ59" s="147"/>
      <c r="BA59" s="148"/>
      <c r="BB59" s="149"/>
      <c r="BC59" s="148"/>
      <c r="BD59" s="150"/>
      <c r="BE59" s="151"/>
      <c r="BF59" s="146"/>
      <c r="BG59" s="146"/>
      <c r="BH59" s="146"/>
      <c r="BI59" s="147"/>
      <c r="BJ59" s="148"/>
      <c r="BK59" s="149"/>
      <c r="BL59" s="148"/>
      <c r="BM59" s="150"/>
      <c r="BN59" s="151"/>
      <c r="BO59" s="146"/>
      <c r="BP59" s="146"/>
      <c r="BQ59" s="146"/>
      <c r="BR59" s="147"/>
      <c r="BS59" s="148"/>
      <c r="BT59" s="149"/>
      <c r="BU59" s="148"/>
      <c r="BV59" s="150"/>
      <c r="BW59" s="151"/>
      <c r="BX59" s="146"/>
      <c r="BY59" s="146"/>
      <c r="BZ59" s="146"/>
      <c r="CA59" s="147"/>
      <c r="CB59" s="148"/>
      <c r="CC59" s="149"/>
      <c r="CD59" s="148"/>
      <c r="CE59" s="150"/>
      <c r="CF59" s="151"/>
      <c r="CG59" s="146"/>
      <c r="CH59" s="146"/>
      <c r="CI59" s="146"/>
      <c r="CJ59" s="147"/>
      <c r="CK59" s="148"/>
      <c r="CL59" s="149"/>
      <c r="CM59" s="148"/>
      <c r="CN59" s="150"/>
      <c r="CO59" s="151"/>
      <c r="CP59" s="146"/>
      <c r="CQ59" s="146"/>
      <c r="CR59" s="146"/>
      <c r="CS59" s="147"/>
      <c r="CT59" s="148"/>
      <c r="CU59" s="149"/>
      <c r="CV59" s="148"/>
      <c r="CW59" s="150"/>
      <c r="CX59" s="151"/>
      <c r="CY59" s="146"/>
      <c r="CZ59" s="146"/>
      <c r="DA59" s="146"/>
      <c r="DB59" s="147"/>
      <c r="DC59" s="148"/>
      <c r="DD59" s="149"/>
      <c r="DE59" s="148"/>
      <c r="DF59" s="150"/>
      <c r="DG59" s="151"/>
      <c r="DH59" s="146"/>
      <c r="DI59" s="146"/>
      <c r="DJ59" s="146"/>
      <c r="DK59" s="147"/>
      <c r="DL59" s="148"/>
      <c r="DM59" s="149"/>
      <c r="DN59" s="148"/>
      <c r="DO59" s="150"/>
      <c r="DP59" s="151"/>
      <c r="DQ59" s="146"/>
      <c r="DR59" s="146"/>
      <c r="DS59" s="146"/>
      <c r="DT59" s="147"/>
      <c r="DU59" s="148"/>
      <c r="DV59" s="149"/>
      <c r="DW59" s="148"/>
      <c r="DX59" s="150"/>
      <c r="DY59" s="151"/>
      <c r="DZ59" s="146"/>
      <c r="EA59" s="146"/>
      <c r="EB59" s="146"/>
      <c r="EC59" s="147"/>
      <c r="ED59" s="148"/>
      <c r="EE59" s="149"/>
      <c r="EF59" s="148"/>
      <c r="EG59" s="150"/>
      <c r="EH59" s="151"/>
      <c r="EI59" s="146"/>
      <c r="EJ59" s="146"/>
      <c r="EK59" s="146"/>
      <c r="EL59" s="147"/>
      <c r="EM59" s="148"/>
      <c r="EN59" s="149"/>
      <c r="EO59" s="148"/>
      <c r="EP59" s="150"/>
      <c r="EQ59" s="151"/>
      <c r="ER59" s="146"/>
      <c r="ES59" s="146"/>
      <c r="ET59" s="146"/>
      <c r="EU59" s="147"/>
      <c r="EV59" s="148"/>
      <c r="EW59" s="149"/>
      <c r="EX59" s="148"/>
      <c r="EY59" s="150"/>
      <c r="EZ59" s="151"/>
      <c r="FA59" s="146"/>
      <c r="FB59" s="146"/>
      <c r="FC59" s="146"/>
      <c r="FD59" s="147"/>
      <c r="FE59" s="148"/>
      <c r="FF59" s="149"/>
      <c r="FG59" s="148"/>
      <c r="FH59" s="150"/>
      <c r="FI59" s="151"/>
      <c r="FJ59" s="146"/>
      <c r="FK59" s="146"/>
      <c r="FL59" s="146"/>
      <c r="FM59" s="147"/>
      <c r="FN59" s="148"/>
      <c r="FO59" s="149"/>
      <c r="FP59" s="148"/>
      <c r="FQ59" s="150"/>
      <c r="FR59" s="151"/>
      <c r="FS59" s="146"/>
      <c r="FT59" s="146"/>
      <c r="FU59" s="146"/>
      <c r="FV59" s="147"/>
      <c r="FW59" s="148"/>
      <c r="FX59" s="149"/>
      <c r="FY59" s="148"/>
      <c r="FZ59" s="150"/>
      <c r="GA59" s="151"/>
      <c r="GB59" s="146"/>
      <c r="GC59" s="146"/>
      <c r="GD59" s="146"/>
      <c r="GE59" s="147"/>
      <c r="GF59" s="148"/>
      <c r="GG59" s="149"/>
      <c r="GH59" s="148"/>
      <c r="GI59" s="150"/>
      <c r="GJ59" s="151"/>
      <c r="GK59" s="146"/>
      <c r="GL59" s="146"/>
      <c r="GM59" s="146"/>
      <c r="GN59" s="147"/>
      <c r="GO59" s="148"/>
      <c r="GP59" s="149"/>
      <c r="GQ59" s="148"/>
      <c r="GR59" s="150"/>
      <c r="GS59" s="151"/>
      <c r="GT59" s="154"/>
      <c r="GU59" s="156"/>
      <c r="GV59" s="153"/>
      <c r="GW59" s="141"/>
      <c r="GX59" s="141"/>
      <c r="GY59" s="391"/>
      <c r="GZ59" s="67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407"/>
      <c r="L60" s="70"/>
      <c r="M60" s="71"/>
      <c r="N60" s="142"/>
      <c r="O60" s="72"/>
      <c r="P60" s="113">
        <f t="shared" si="0"/>
        <v>0</v>
      </c>
      <c r="Q60" s="117"/>
      <c r="R60" s="117"/>
      <c r="S60" s="117"/>
      <c r="T60" s="39">
        <f t="shared" si="1"/>
        <v>0</v>
      </c>
      <c r="U60" s="143"/>
      <c r="V60" s="154"/>
      <c r="W60" s="157"/>
      <c r="X60" s="146"/>
      <c r="Y60" s="147"/>
      <c r="Z60" s="148"/>
      <c r="AA60" s="149"/>
      <c r="AB60" s="148"/>
      <c r="AC60" s="150"/>
      <c r="AD60" s="151"/>
      <c r="AE60" s="146"/>
      <c r="AF60" s="146"/>
      <c r="AG60" s="146"/>
      <c r="AH60" s="147"/>
      <c r="AI60" s="148"/>
      <c r="AJ60" s="149"/>
      <c r="AK60" s="148"/>
      <c r="AL60" s="150"/>
      <c r="AM60" s="151"/>
      <c r="AN60" s="146"/>
      <c r="AO60" s="146"/>
      <c r="AP60" s="146"/>
      <c r="AQ60" s="147"/>
      <c r="AR60" s="148"/>
      <c r="AS60" s="149"/>
      <c r="AT60" s="148"/>
      <c r="AU60" s="150"/>
      <c r="AV60" s="151"/>
      <c r="AW60" s="146"/>
      <c r="AX60" s="146"/>
      <c r="AY60" s="146"/>
      <c r="AZ60" s="147"/>
      <c r="BA60" s="148"/>
      <c r="BB60" s="149"/>
      <c r="BC60" s="148"/>
      <c r="BD60" s="150"/>
      <c r="BE60" s="151"/>
      <c r="BF60" s="146"/>
      <c r="BG60" s="146"/>
      <c r="BH60" s="146"/>
      <c r="BI60" s="147"/>
      <c r="BJ60" s="148"/>
      <c r="BK60" s="149"/>
      <c r="BL60" s="148"/>
      <c r="BM60" s="150"/>
      <c r="BN60" s="151"/>
      <c r="BO60" s="146"/>
      <c r="BP60" s="146"/>
      <c r="BQ60" s="146"/>
      <c r="BR60" s="147"/>
      <c r="BS60" s="148"/>
      <c r="BT60" s="149"/>
      <c r="BU60" s="148"/>
      <c r="BV60" s="150"/>
      <c r="BW60" s="151"/>
      <c r="BX60" s="146"/>
      <c r="BY60" s="146"/>
      <c r="BZ60" s="146"/>
      <c r="CA60" s="147"/>
      <c r="CB60" s="148"/>
      <c r="CC60" s="149"/>
      <c r="CD60" s="148"/>
      <c r="CE60" s="150"/>
      <c r="CF60" s="151"/>
      <c r="CG60" s="146"/>
      <c r="CH60" s="146"/>
      <c r="CI60" s="146"/>
      <c r="CJ60" s="147"/>
      <c r="CK60" s="148"/>
      <c r="CL60" s="149"/>
      <c r="CM60" s="148"/>
      <c r="CN60" s="150"/>
      <c r="CO60" s="151"/>
      <c r="CP60" s="146"/>
      <c r="CQ60" s="146"/>
      <c r="CR60" s="146"/>
      <c r="CS60" s="147"/>
      <c r="CT60" s="148"/>
      <c r="CU60" s="149"/>
      <c r="CV60" s="148"/>
      <c r="CW60" s="150"/>
      <c r="CX60" s="151"/>
      <c r="CY60" s="146"/>
      <c r="CZ60" s="146"/>
      <c r="DA60" s="146"/>
      <c r="DB60" s="147"/>
      <c r="DC60" s="148"/>
      <c r="DD60" s="149"/>
      <c r="DE60" s="148"/>
      <c r="DF60" s="150"/>
      <c r="DG60" s="151"/>
      <c r="DH60" s="146"/>
      <c r="DI60" s="146"/>
      <c r="DJ60" s="146"/>
      <c r="DK60" s="147"/>
      <c r="DL60" s="148"/>
      <c r="DM60" s="149"/>
      <c r="DN60" s="148"/>
      <c r="DO60" s="150"/>
      <c r="DP60" s="151"/>
      <c r="DQ60" s="146"/>
      <c r="DR60" s="146"/>
      <c r="DS60" s="146"/>
      <c r="DT60" s="147"/>
      <c r="DU60" s="148"/>
      <c r="DV60" s="149"/>
      <c r="DW60" s="148"/>
      <c r="DX60" s="150"/>
      <c r="DY60" s="151"/>
      <c r="DZ60" s="146"/>
      <c r="EA60" s="146"/>
      <c r="EB60" s="146"/>
      <c r="EC60" s="147"/>
      <c r="ED60" s="148"/>
      <c r="EE60" s="149"/>
      <c r="EF60" s="148"/>
      <c r="EG60" s="150"/>
      <c r="EH60" s="151"/>
      <c r="EI60" s="146"/>
      <c r="EJ60" s="146"/>
      <c r="EK60" s="146"/>
      <c r="EL60" s="147"/>
      <c r="EM60" s="148"/>
      <c r="EN60" s="149"/>
      <c r="EO60" s="148"/>
      <c r="EP60" s="150"/>
      <c r="EQ60" s="151"/>
      <c r="ER60" s="146"/>
      <c r="ES60" s="146"/>
      <c r="ET60" s="146"/>
      <c r="EU60" s="147"/>
      <c r="EV60" s="148"/>
      <c r="EW60" s="149"/>
      <c r="EX60" s="148"/>
      <c r="EY60" s="150"/>
      <c r="EZ60" s="151"/>
      <c r="FA60" s="146"/>
      <c r="FB60" s="146"/>
      <c r="FC60" s="146"/>
      <c r="FD60" s="147"/>
      <c r="FE60" s="148"/>
      <c r="FF60" s="149"/>
      <c r="FG60" s="148"/>
      <c r="FH60" s="150"/>
      <c r="FI60" s="151"/>
      <c r="FJ60" s="146"/>
      <c r="FK60" s="146"/>
      <c r="FL60" s="146"/>
      <c r="FM60" s="147"/>
      <c r="FN60" s="148"/>
      <c r="FO60" s="149"/>
      <c r="FP60" s="148"/>
      <c r="FQ60" s="150"/>
      <c r="FR60" s="151"/>
      <c r="FS60" s="146"/>
      <c r="FT60" s="146"/>
      <c r="FU60" s="146"/>
      <c r="FV60" s="147"/>
      <c r="FW60" s="148"/>
      <c r="FX60" s="149"/>
      <c r="FY60" s="148"/>
      <c r="FZ60" s="150"/>
      <c r="GA60" s="151"/>
      <c r="GB60" s="146"/>
      <c r="GC60" s="146"/>
      <c r="GD60" s="146"/>
      <c r="GE60" s="147"/>
      <c r="GF60" s="148"/>
      <c r="GG60" s="149"/>
      <c r="GH60" s="148"/>
      <c r="GI60" s="150"/>
      <c r="GJ60" s="151"/>
      <c r="GK60" s="146"/>
      <c r="GL60" s="146"/>
      <c r="GM60" s="146"/>
      <c r="GN60" s="147"/>
      <c r="GO60" s="148"/>
      <c r="GP60" s="149"/>
      <c r="GQ60" s="148"/>
      <c r="GR60" s="150"/>
      <c r="GS60" s="151"/>
      <c r="GT60" s="154"/>
      <c r="GU60" s="156"/>
      <c r="GV60" s="153"/>
      <c r="GW60" s="141"/>
      <c r="GX60" s="141"/>
      <c r="GY60" s="391"/>
      <c r="GZ60" s="67"/>
    </row>
    <row r="61" spans="1:208" x14ac:dyDescent="0.25">
      <c r="A61"/>
      <c r="D61" s="35"/>
      <c r="E61" s="36"/>
      <c r="F61" s="37"/>
      <c r="G61" s="38"/>
      <c r="H61" s="39"/>
      <c r="I61" s="40"/>
      <c r="J61" s="68"/>
      <c r="K61" s="407"/>
      <c r="L61" s="70"/>
      <c r="M61" s="71"/>
      <c r="N61" s="142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43"/>
      <c r="V61" s="154"/>
      <c r="W61" s="155"/>
      <c r="X61" s="146"/>
      <c r="Y61" s="147"/>
      <c r="Z61" s="148"/>
      <c r="AA61" s="149"/>
      <c r="AB61" s="148"/>
      <c r="AC61" s="150"/>
      <c r="AD61" s="151"/>
      <c r="AE61" s="146"/>
      <c r="AF61" s="146"/>
      <c r="AG61" s="146"/>
      <c r="AH61" s="147"/>
      <c r="AI61" s="148"/>
      <c r="AJ61" s="149"/>
      <c r="AK61" s="148"/>
      <c r="AL61" s="150"/>
      <c r="AM61" s="151"/>
      <c r="AN61" s="146"/>
      <c r="AO61" s="146"/>
      <c r="AP61" s="146"/>
      <c r="AQ61" s="147"/>
      <c r="AR61" s="148"/>
      <c r="AS61" s="149"/>
      <c r="AT61" s="148"/>
      <c r="AU61" s="150"/>
      <c r="AV61" s="151"/>
      <c r="AW61" s="146"/>
      <c r="AX61" s="146"/>
      <c r="AY61" s="146"/>
      <c r="AZ61" s="147"/>
      <c r="BA61" s="148"/>
      <c r="BB61" s="149"/>
      <c r="BC61" s="148"/>
      <c r="BD61" s="150"/>
      <c r="BE61" s="151"/>
      <c r="BF61" s="146"/>
      <c r="BG61" s="146"/>
      <c r="BH61" s="146"/>
      <c r="BI61" s="147"/>
      <c r="BJ61" s="148"/>
      <c r="BK61" s="149"/>
      <c r="BL61" s="148"/>
      <c r="BM61" s="150"/>
      <c r="BN61" s="151"/>
      <c r="BO61" s="146"/>
      <c r="BP61" s="146"/>
      <c r="BQ61" s="146"/>
      <c r="BR61" s="147"/>
      <c r="BS61" s="148"/>
      <c r="BT61" s="149"/>
      <c r="BU61" s="148"/>
      <c r="BV61" s="150"/>
      <c r="BW61" s="151"/>
      <c r="BX61" s="146"/>
      <c r="BY61" s="146"/>
      <c r="BZ61" s="146"/>
      <c r="CA61" s="147"/>
      <c r="CB61" s="148"/>
      <c r="CC61" s="149"/>
      <c r="CD61" s="148"/>
      <c r="CE61" s="150"/>
      <c r="CF61" s="151"/>
      <c r="CG61" s="146"/>
      <c r="CH61" s="146"/>
      <c r="CI61" s="146"/>
      <c r="CJ61" s="147"/>
      <c r="CK61" s="148"/>
      <c r="CL61" s="149"/>
      <c r="CM61" s="148"/>
      <c r="CN61" s="150"/>
      <c r="CO61" s="151"/>
      <c r="CP61" s="146"/>
      <c r="CQ61" s="146"/>
      <c r="CR61" s="146"/>
      <c r="CS61" s="147"/>
      <c r="CT61" s="148"/>
      <c r="CU61" s="149"/>
      <c r="CV61" s="148"/>
      <c r="CW61" s="150"/>
      <c r="CX61" s="151"/>
      <c r="CY61" s="146"/>
      <c r="CZ61" s="146"/>
      <c r="DA61" s="146"/>
      <c r="DB61" s="147"/>
      <c r="DC61" s="148"/>
      <c r="DD61" s="149"/>
      <c r="DE61" s="148"/>
      <c r="DF61" s="150"/>
      <c r="DG61" s="151"/>
      <c r="DH61" s="146"/>
      <c r="DI61" s="146"/>
      <c r="DJ61" s="146"/>
      <c r="DK61" s="147"/>
      <c r="DL61" s="148"/>
      <c r="DM61" s="149"/>
      <c r="DN61" s="148"/>
      <c r="DO61" s="150"/>
      <c r="DP61" s="151"/>
      <c r="DQ61" s="146"/>
      <c r="DR61" s="146"/>
      <c r="DS61" s="146"/>
      <c r="DT61" s="147"/>
      <c r="DU61" s="148"/>
      <c r="DV61" s="149"/>
      <c r="DW61" s="148"/>
      <c r="DX61" s="150"/>
      <c r="DY61" s="151"/>
      <c r="DZ61" s="146"/>
      <c r="EA61" s="146"/>
      <c r="EB61" s="146"/>
      <c r="EC61" s="147"/>
      <c r="ED61" s="148"/>
      <c r="EE61" s="149"/>
      <c r="EF61" s="148"/>
      <c r="EG61" s="150"/>
      <c r="EH61" s="151"/>
      <c r="EI61" s="146"/>
      <c r="EJ61" s="146"/>
      <c r="EK61" s="146"/>
      <c r="EL61" s="147"/>
      <c r="EM61" s="148"/>
      <c r="EN61" s="149"/>
      <c r="EO61" s="148"/>
      <c r="EP61" s="150"/>
      <c r="EQ61" s="151"/>
      <c r="ER61" s="146"/>
      <c r="ES61" s="146"/>
      <c r="ET61" s="146"/>
      <c r="EU61" s="147"/>
      <c r="EV61" s="148"/>
      <c r="EW61" s="149"/>
      <c r="EX61" s="148"/>
      <c r="EY61" s="150"/>
      <c r="EZ61" s="151"/>
      <c r="FA61" s="146"/>
      <c r="FB61" s="146"/>
      <c r="FC61" s="146"/>
      <c r="FD61" s="147"/>
      <c r="FE61" s="148"/>
      <c r="FF61" s="149"/>
      <c r="FG61" s="148"/>
      <c r="FH61" s="150"/>
      <c r="FI61" s="151"/>
      <c r="FJ61" s="146"/>
      <c r="FK61" s="146"/>
      <c r="FL61" s="146"/>
      <c r="FM61" s="147"/>
      <c r="FN61" s="148"/>
      <c r="FO61" s="149"/>
      <c r="FP61" s="148"/>
      <c r="FQ61" s="150"/>
      <c r="FR61" s="151"/>
      <c r="FS61" s="146"/>
      <c r="FT61" s="146"/>
      <c r="FU61" s="146"/>
      <c r="FV61" s="147"/>
      <c r="FW61" s="148"/>
      <c r="FX61" s="149"/>
      <c r="FY61" s="148"/>
      <c r="FZ61" s="150"/>
      <c r="GA61" s="151"/>
      <c r="GB61" s="146"/>
      <c r="GC61" s="146"/>
      <c r="GD61" s="146"/>
      <c r="GE61" s="147"/>
      <c r="GF61" s="148"/>
      <c r="GG61" s="149"/>
      <c r="GH61" s="148"/>
      <c r="GI61" s="150"/>
      <c r="GJ61" s="151"/>
      <c r="GK61" s="146"/>
      <c r="GL61" s="146"/>
      <c r="GM61" s="146"/>
      <c r="GN61" s="147"/>
      <c r="GO61" s="148"/>
      <c r="GP61" s="149"/>
      <c r="GQ61" s="148"/>
      <c r="GR61" s="150"/>
      <c r="GS61" s="151"/>
      <c r="GT61" s="154"/>
      <c r="GU61" s="156"/>
      <c r="GV61" s="153"/>
      <c r="GW61" s="141"/>
      <c r="GX61" s="141"/>
      <c r="GY61" s="391"/>
      <c r="GZ61" s="67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407"/>
      <c r="L62" s="70"/>
      <c r="M62" s="71"/>
      <c r="N62" s="142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43"/>
      <c r="V62" s="154"/>
      <c r="W62" s="155"/>
      <c r="X62" s="158"/>
      <c r="Y62" s="159"/>
      <c r="Z62" s="160"/>
      <c r="AA62" s="161"/>
      <c r="AB62" s="160"/>
      <c r="AC62" s="162"/>
      <c r="AD62" s="163"/>
      <c r="AE62" s="158"/>
      <c r="AF62" s="158"/>
      <c r="AG62" s="158"/>
      <c r="AH62" s="159"/>
      <c r="AI62" s="160"/>
      <c r="AJ62" s="161"/>
      <c r="AK62" s="160"/>
      <c r="AL62" s="162"/>
      <c r="AM62" s="163"/>
      <c r="AN62" s="158"/>
      <c r="AO62" s="158"/>
      <c r="AP62" s="158"/>
      <c r="AQ62" s="159"/>
      <c r="AR62" s="160"/>
      <c r="AS62" s="161"/>
      <c r="AT62" s="160"/>
      <c r="AU62" s="162"/>
      <c r="AV62" s="163"/>
      <c r="AW62" s="158"/>
      <c r="AX62" s="158"/>
      <c r="AY62" s="158"/>
      <c r="AZ62" s="159"/>
      <c r="BA62" s="160"/>
      <c r="BB62" s="161"/>
      <c r="BC62" s="160"/>
      <c r="BD62" s="162"/>
      <c r="BE62" s="163"/>
      <c r="BF62" s="158"/>
      <c r="BG62" s="158"/>
      <c r="BH62" s="158"/>
      <c r="BI62" s="159"/>
      <c r="BJ62" s="160"/>
      <c r="BK62" s="161"/>
      <c r="BL62" s="160"/>
      <c r="BM62" s="162"/>
      <c r="BN62" s="163"/>
      <c r="BO62" s="158"/>
      <c r="BP62" s="158"/>
      <c r="BQ62" s="158"/>
      <c r="BR62" s="159"/>
      <c r="BS62" s="160"/>
      <c r="BT62" s="161"/>
      <c r="BU62" s="160"/>
      <c r="BV62" s="162"/>
      <c r="BW62" s="163"/>
      <c r="BX62" s="158"/>
      <c r="BY62" s="158"/>
      <c r="BZ62" s="158"/>
      <c r="CA62" s="159"/>
      <c r="CB62" s="160"/>
      <c r="CC62" s="161"/>
      <c r="CD62" s="160"/>
      <c r="CE62" s="162"/>
      <c r="CF62" s="163"/>
      <c r="CG62" s="158"/>
      <c r="CH62" s="158"/>
      <c r="CI62" s="158"/>
      <c r="CJ62" s="159"/>
      <c r="CK62" s="160"/>
      <c r="CL62" s="161"/>
      <c r="CM62" s="160"/>
      <c r="CN62" s="162"/>
      <c r="CO62" s="163"/>
      <c r="CP62" s="158"/>
      <c r="CQ62" s="158"/>
      <c r="CR62" s="158"/>
      <c r="CS62" s="159"/>
      <c r="CT62" s="160"/>
      <c r="CU62" s="161"/>
      <c r="CV62" s="160"/>
      <c r="CW62" s="162"/>
      <c r="CX62" s="163"/>
      <c r="CY62" s="158"/>
      <c r="CZ62" s="158"/>
      <c r="DA62" s="158"/>
      <c r="DB62" s="159"/>
      <c r="DC62" s="160"/>
      <c r="DD62" s="161"/>
      <c r="DE62" s="160"/>
      <c r="DF62" s="162"/>
      <c r="DG62" s="163"/>
      <c r="DH62" s="158"/>
      <c r="DI62" s="158"/>
      <c r="DJ62" s="158"/>
      <c r="DK62" s="159"/>
      <c r="DL62" s="160"/>
      <c r="DM62" s="161"/>
      <c r="DN62" s="160"/>
      <c r="DO62" s="162"/>
      <c r="DP62" s="163"/>
      <c r="DQ62" s="158"/>
      <c r="DR62" s="158"/>
      <c r="DS62" s="158"/>
      <c r="DT62" s="159"/>
      <c r="DU62" s="160"/>
      <c r="DV62" s="161"/>
      <c r="DW62" s="160"/>
      <c r="DX62" s="162"/>
      <c r="DY62" s="163"/>
      <c r="DZ62" s="158"/>
      <c r="EA62" s="158"/>
      <c r="EB62" s="158"/>
      <c r="EC62" s="159"/>
      <c r="ED62" s="160"/>
      <c r="EE62" s="161"/>
      <c r="EF62" s="160"/>
      <c r="EG62" s="162"/>
      <c r="EH62" s="163"/>
      <c r="EI62" s="158"/>
      <c r="EJ62" s="158"/>
      <c r="EK62" s="158"/>
      <c r="EL62" s="159"/>
      <c r="EM62" s="160"/>
      <c r="EN62" s="161"/>
      <c r="EO62" s="160"/>
      <c r="EP62" s="162"/>
      <c r="EQ62" s="163"/>
      <c r="ER62" s="158"/>
      <c r="ES62" s="158"/>
      <c r="ET62" s="158"/>
      <c r="EU62" s="159"/>
      <c r="EV62" s="160"/>
      <c r="EW62" s="161"/>
      <c r="EX62" s="160"/>
      <c r="EY62" s="162"/>
      <c r="EZ62" s="163"/>
      <c r="FA62" s="158"/>
      <c r="FB62" s="158"/>
      <c r="FC62" s="158"/>
      <c r="FD62" s="159"/>
      <c r="FE62" s="160"/>
      <c r="FF62" s="161"/>
      <c r="FG62" s="160"/>
      <c r="FH62" s="162"/>
      <c r="FI62" s="163"/>
      <c r="FJ62" s="158"/>
      <c r="FK62" s="158"/>
      <c r="FL62" s="158"/>
      <c r="FM62" s="159"/>
      <c r="FN62" s="160"/>
      <c r="FO62" s="161"/>
      <c r="FP62" s="160"/>
      <c r="FQ62" s="162"/>
      <c r="FR62" s="163"/>
      <c r="FS62" s="158"/>
      <c r="FT62" s="158"/>
      <c r="FU62" s="158"/>
      <c r="FV62" s="159"/>
      <c r="FW62" s="160"/>
      <c r="FX62" s="161"/>
      <c r="FY62" s="160"/>
      <c r="FZ62" s="162"/>
      <c r="GA62" s="163"/>
      <c r="GB62" s="158"/>
      <c r="GC62" s="158"/>
      <c r="GD62" s="158"/>
      <c r="GE62" s="159"/>
      <c r="GF62" s="160"/>
      <c r="GG62" s="161"/>
      <c r="GH62" s="160"/>
      <c r="GI62" s="162"/>
      <c r="GJ62" s="163"/>
      <c r="GK62" s="158"/>
      <c r="GL62" s="158"/>
      <c r="GM62" s="158"/>
      <c r="GN62" s="159"/>
      <c r="GO62" s="160"/>
      <c r="GP62" s="161"/>
      <c r="GQ62" s="160"/>
      <c r="GR62" s="162"/>
      <c r="GS62" s="163"/>
      <c r="GT62" s="154"/>
      <c r="GU62" s="156"/>
      <c r="GV62" s="153"/>
      <c r="GW62" s="141"/>
      <c r="GX62" s="141"/>
      <c r="GY62" s="391"/>
      <c r="GZ62" s="67"/>
    </row>
    <row r="63" spans="1:208" x14ac:dyDescent="0.25">
      <c r="A63"/>
      <c r="D63" s="35"/>
      <c r="E63" s="36"/>
      <c r="F63" s="37"/>
      <c r="G63" s="38"/>
      <c r="H63" s="39"/>
      <c r="I63" s="40"/>
      <c r="J63" s="68"/>
      <c r="K63" s="407"/>
      <c r="L63" s="70"/>
      <c r="M63" s="71"/>
      <c r="N63" s="164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43"/>
      <c r="V63" s="154"/>
      <c r="W63" s="165"/>
      <c r="X63" s="158"/>
      <c r="Y63" s="159"/>
      <c r="Z63" s="160"/>
      <c r="AA63" s="161"/>
      <c r="AB63" s="160"/>
      <c r="AC63" s="162"/>
      <c r="AD63" s="163"/>
      <c r="AE63" s="158"/>
      <c r="AF63" s="158"/>
      <c r="AG63" s="158"/>
      <c r="AH63" s="159"/>
      <c r="AI63" s="160"/>
      <c r="AJ63" s="161"/>
      <c r="AK63" s="160"/>
      <c r="AL63" s="162"/>
      <c r="AM63" s="163"/>
      <c r="AN63" s="158"/>
      <c r="AO63" s="158"/>
      <c r="AP63" s="158"/>
      <c r="AQ63" s="159"/>
      <c r="AR63" s="160"/>
      <c r="AS63" s="161"/>
      <c r="AT63" s="160"/>
      <c r="AU63" s="162"/>
      <c r="AV63" s="163"/>
      <c r="AW63" s="158"/>
      <c r="AX63" s="158"/>
      <c r="AY63" s="158"/>
      <c r="AZ63" s="159"/>
      <c r="BA63" s="160"/>
      <c r="BB63" s="161"/>
      <c r="BC63" s="160"/>
      <c r="BD63" s="162"/>
      <c r="BE63" s="163"/>
      <c r="BF63" s="158"/>
      <c r="BG63" s="158"/>
      <c r="BH63" s="158"/>
      <c r="BI63" s="159"/>
      <c r="BJ63" s="160"/>
      <c r="BK63" s="161"/>
      <c r="BL63" s="160"/>
      <c r="BM63" s="162"/>
      <c r="BN63" s="163"/>
      <c r="BO63" s="158"/>
      <c r="BP63" s="158"/>
      <c r="BQ63" s="158"/>
      <c r="BR63" s="159"/>
      <c r="BS63" s="160"/>
      <c r="BT63" s="161"/>
      <c r="BU63" s="160"/>
      <c r="BV63" s="162"/>
      <c r="BW63" s="163"/>
      <c r="BX63" s="158"/>
      <c r="BY63" s="158"/>
      <c r="BZ63" s="158"/>
      <c r="CA63" s="159"/>
      <c r="CB63" s="160"/>
      <c r="CC63" s="161"/>
      <c r="CD63" s="160"/>
      <c r="CE63" s="162"/>
      <c r="CF63" s="163"/>
      <c r="CG63" s="158"/>
      <c r="CH63" s="158"/>
      <c r="CI63" s="158"/>
      <c r="CJ63" s="159"/>
      <c r="CK63" s="160"/>
      <c r="CL63" s="161"/>
      <c r="CM63" s="160"/>
      <c r="CN63" s="162"/>
      <c r="CO63" s="163"/>
      <c r="CP63" s="158"/>
      <c r="CQ63" s="158"/>
      <c r="CR63" s="158"/>
      <c r="CS63" s="159"/>
      <c r="CT63" s="160"/>
      <c r="CU63" s="161"/>
      <c r="CV63" s="160"/>
      <c r="CW63" s="162"/>
      <c r="CX63" s="163"/>
      <c r="CY63" s="158"/>
      <c r="CZ63" s="158"/>
      <c r="DA63" s="158"/>
      <c r="DB63" s="159"/>
      <c r="DC63" s="160"/>
      <c r="DD63" s="161"/>
      <c r="DE63" s="160"/>
      <c r="DF63" s="162"/>
      <c r="DG63" s="163"/>
      <c r="DH63" s="158"/>
      <c r="DI63" s="158"/>
      <c r="DJ63" s="158"/>
      <c r="DK63" s="159"/>
      <c r="DL63" s="160"/>
      <c r="DM63" s="161"/>
      <c r="DN63" s="160"/>
      <c r="DO63" s="162"/>
      <c r="DP63" s="163"/>
      <c r="DQ63" s="158"/>
      <c r="DR63" s="158"/>
      <c r="DS63" s="158"/>
      <c r="DT63" s="159"/>
      <c r="DU63" s="160"/>
      <c r="DV63" s="161"/>
      <c r="DW63" s="160"/>
      <c r="DX63" s="162"/>
      <c r="DY63" s="163"/>
      <c r="DZ63" s="158"/>
      <c r="EA63" s="158"/>
      <c r="EB63" s="158"/>
      <c r="EC63" s="159"/>
      <c r="ED63" s="160"/>
      <c r="EE63" s="161"/>
      <c r="EF63" s="160"/>
      <c r="EG63" s="162"/>
      <c r="EH63" s="163"/>
      <c r="EI63" s="158"/>
      <c r="EJ63" s="158"/>
      <c r="EK63" s="158"/>
      <c r="EL63" s="159"/>
      <c r="EM63" s="160"/>
      <c r="EN63" s="161"/>
      <c r="EO63" s="160"/>
      <c r="EP63" s="162"/>
      <c r="EQ63" s="163"/>
      <c r="ER63" s="158"/>
      <c r="ES63" s="158"/>
      <c r="ET63" s="158"/>
      <c r="EU63" s="159"/>
      <c r="EV63" s="160"/>
      <c r="EW63" s="161"/>
      <c r="EX63" s="160"/>
      <c r="EY63" s="162"/>
      <c r="EZ63" s="163"/>
      <c r="FA63" s="158"/>
      <c r="FB63" s="158"/>
      <c r="FC63" s="158"/>
      <c r="FD63" s="159"/>
      <c r="FE63" s="160"/>
      <c r="FF63" s="161"/>
      <c r="FG63" s="160"/>
      <c r="FH63" s="162"/>
      <c r="FI63" s="163"/>
      <c r="FJ63" s="158"/>
      <c r="FK63" s="158"/>
      <c r="FL63" s="158"/>
      <c r="FM63" s="159"/>
      <c r="FN63" s="160"/>
      <c r="FO63" s="161"/>
      <c r="FP63" s="160"/>
      <c r="FQ63" s="162"/>
      <c r="FR63" s="163"/>
      <c r="FS63" s="158"/>
      <c r="FT63" s="158"/>
      <c r="FU63" s="158"/>
      <c r="FV63" s="159"/>
      <c r="FW63" s="160"/>
      <c r="FX63" s="161"/>
      <c r="FY63" s="160"/>
      <c r="FZ63" s="162"/>
      <c r="GA63" s="163"/>
      <c r="GB63" s="158"/>
      <c r="GC63" s="158"/>
      <c r="GD63" s="158"/>
      <c r="GE63" s="159"/>
      <c r="GF63" s="160"/>
      <c r="GG63" s="161"/>
      <c r="GH63" s="160"/>
      <c r="GI63" s="162"/>
      <c r="GJ63" s="163"/>
      <c r="GK63" s="158"/>
      <c r="GL63" s="158"/>
      <c r="GM63" s="158"/>
      <c r="GN63" s="159"/>
      <c r="GO63" s="160"/>
      <c r="GP63" s="161"/>
      <c r="GQ63" s="160"/>
      <c r="GR63" s="162"/>
      <c r="GS63" s="163"/>
      <c r="GT63" s="154"/>
      <c r="GU63" s="156"/>
      <c r="GV63" s="153"/>
      <c r="GW63" s="66"/>
      <c r="GX63" s="66"/>
      <c r="GY63" s="391"/>
      <c r="GZ63" s="67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407"/>
      <c r="L64" s="70"/>
      <c r="M64" s="71"/>
      <c r="N64" s="56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38"/>
      <c r="V64" s="166"/>
      <c r="W64" s="86"/>
      <c r="X64" s="68"/>
      <c r="Y64" s="167"/>
      <c r="Z64" s="168"/>
      <c r="AA64" s="169"/>
      <c r="AB64" s="168"/>
      <c r="AC64" s="170"/>
      <c r="AD64" s="171"/>
      <c r="AE64" s="68"/>
      <c r="AF64" s="68"/>
      <c r="AG64" s="68"/>
      <c r="AH64" s="167"/>
      <c r="AI64" s="168"/>
      <c r="AJ64" s="169"/>
      <c r="AK64" s="168"/>
      <c r="AL64" s="170"/>
      <c r="AM64" s="171"/>
      <c r="AN64" s="68"/>
      <c r="AO64" s="68"/>
      <c r="AP64" s="68"/>
      <c r="AQ64" s="167"/>
      <c r="AR64" s="168"/>
      <c r="AS64" s="169"/>
      <c r="AT64" s="168"/>
      <c r="AU64" s="170"/>
      <c r="AV64" s="171"/>
      <c r="AW64" s="68"/>
      <c r="AX64" s="68"/>
      <c r="AY64" s="68"/>
      <c r="AZ64" s="167"/>
      <c r="BA64" s="168"/>
      <c r="BB64" s="169"/>
      <c r="BC64" s="168"/>
      <c r="BD64" s="170"/>
      <c r="BE64" s="171"/>
      <c r="BF64" s="68"/>
      <c r="BG64" s="68"/>
      <c r="BH64" s="68"/>
      <c r="BI64" s="167"/>
      <c r="BJ64" s="168"/>
      <c r="BK64" s="169"/>
      <c r="BL64" s="168"/>
      <c r="BM64" s="170"/>
      <c r="BN64" s="171"/>
      <c r="BO64" s="68"/>
      <c r="BP64" s="68"/>
      <c r="BQ64" s="68"/>
      <c r="BR64" s="167"/>
      <c r="BS64" s="168"/>
      <c r="BT64" s="169"/>
      <c r="BU64" s="168"/>
      <c r="BV64" s="170"/>
      <c r="BW64" s="171"/>
      <c r="BX64" s="68"/>
      <c r="BY64" s="68"/>
      <c r="BZ64" s="68"/>
      <c r="CA64" s="167"/>
      <c r="CB64" s="168"/>
      <c r="CC64" s="169"/>
      <c r="CD64" s="168"/>
      <c r="CE64" s="170"/>
      <c r="CF64" s="171"/>
      <c r="CG64" s="68"/>
      <c r="CH64" s="68"/>
      <c r="CI64" s="68"/>
      <c r="CJ64" s="167"/>
      <c r="CK64" s="168"/>
      <c r="CL64" s="169"/>
      <c r="CM64" s="168"/>
      <c r="CN64" s="170"/>
      <c r="CO64" s="171"/>
      <c r="CP64" s="68"/>
      <c r="CQ64" s="68"/>
      <c r="CR64" s="68"/>
      <c r="CS64" s="167"/>
      <c r="CT64" s="168"/>
      <c r="CU64" s="169"/>
      <c r="CV64" s="168"/>
      <c r="CW64" s="170"/>
      <c r="CX64" s="171"/>
      <c r="CY64" s="68"/>
      <c r="CZ64" s="68"/>
      <c r="DA64" s="68"/>
      <c r="DB64" s="167"/>
      <c r="DC64" s="168"/>
      <c r="DD64" s="169"/>
      <c r="DE64" s="168"/>
      <c r="DF64" s="170"/>
      <c r="DG64" s="171"/>
      <c r="DH64" s="68"/>
      <c r="DI64" s="68"/>
      <c r="DJ64" s="68"/>
      <c r="DK64" s="167"/>
      <c r="DL64" s="168"/>
      <c r="DM64" s="169"/>
      <c r="DN64" s="168"/>
      <c r="DO64" s="170"/>
      <c r="DP64" s="171"/>
      <c r="DQ64" s="68"/>
      <c r="DR64" s="68"/>
      <c r="DS64" s="68"/>
      <c r="DT64" s="167"/>
      <c r="DU64" s="168"/>
      <c r="DV64" s="169"/>
      <c r="DW64" s="168"/>
      <c r="DX64" s="170"/>
      <c r="DY64" s="171"/>
      <c r="DZ64" s="68"/>
      <c r="EA64" s="68"/>
      <c r="EB64" s="68"/>
      <c r="EC64" s="167"/>
      <c r="ED64" s="168"/>
      <c r="EE64" s="169"/>
      <c r="EF64" s="168"/>
      <c r="EG64" s="170"/>
      <c r="EH64" s="171"/>
      <c r="EI64" s="68"/>
      <c r="EJ64" s="68"/>
      <c r="EK64" s="68"/>
      <c r="EL64" s="167"/>
      <c r="EM64" s="168"/>
      <c r="EN64" s="169"/>
      <c r="EO64" s="168"/>
      <c r="EP64" s="170"/>
      <c r="EQ64" s="171"/>
      <c r="ER64" s="68"/>
      <c r="ES64" s="68"/>
      <c r="ET64" s="68"/>
      <c r="EU64" s="167"/>
      <c r="EV64" s="168"/>
      <c r="EW64" s="169"/>
      <c r="EX64" s="168"/>
      <c r="EY64" s="170"/>
      <c r="EZ64" s="171"/>
      <c r="FA64" s="68"/>
      <c r="FB64" s="68"/>
      <c r="FC64" s="68"/>
      <c r="FD64" s="167"/>
      <c r="FE64" s="168"/>
      <c r="FF64" s="169"/>
      <c r="FG64" s="168"/>
      <c r="FH64" s="170"/>
      <c r="FI64" s="171"/>
      <c r="FJ64" s="68"/>
      <c r="FK64" s="68"/>
      <c r="FL64" s="68"/>
      <c r="FM64" s="167"/>
      <c r="FN64" s="168"/>
      <c r="FO64" s="169"/>
      <c r="FP64" s="168"/>
      <c r="FQ64" s="170"/>
      <c r="FR64" s="171"/>
      <c r="FS64" s="68"/>
      <c r="FT64" s="68"/>
      <c r="FU64" s="68"/>
      <c r="FV64" s="167"/>
      <c r="FW64" s="168"/>
      <c r="FX64" s="169"/>
      <c r="FY64" s="168"/>
      <c r="FZ64" s="170"/>
      <c r="GA64" s="171"/>
      <c r="GB64" s="68"/>
      <c r="GC64" s="68"/>
      <c r="GD64" s="68"/>
      <c r="GE64" s="167"/>
      <c r="GF64" s="168"/>
      <c r="GG64" s="169"/>
      <c r="GH64" s="168"/>
      <c r="GI64" s="170"/>
      <c r="GJ64" s="171"/>
      <c r="GK64" s="68"/>
      <c r="GL64" s="68"/>
      <c r="GM64" s="68"/>
      <c r="GN64" s="167"/>
      <c r="GO64" s="168"/>
      <c r="GP64" s="169"/>
      <c r="GQ64" s="168"/>
      <c r="GR64" s="170"/>
      <c r="GS64" s="171"/>
      <c r="GT64" s="166"/>
      <c r="GU64" s="64"/>
      <c r="GV64" s="65"/>
      <c r="GW64" s="66"/>
      <c r="GX64" s="66"/>
      <c r="GY64" s="391"/>
      <c r="GZ64" s="67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407"/>
      <c r="L65" s="70"/>
      <c r="M65" s="71"/>
      <c r="N65" s="56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38"/>
      <c r="V65" s="166"/>
      <c r="W65" s="86"/>
      <c r="X65" s="68"/>
      <c r="Y65" s="167"/>
      <c r="Z65" s="168"/>
      <c r="AA65" s="169"/>
      <c r="AB65" s="168"/>
      <c r="AC65" s="170"/>
      <c r="AD65" s="171"/>
      <c r="AE65" s="68"/>
      <c r="AF65" s="68"/>
      <c r="AG65" s="68"/>
      <c r="AH65" s="167"/>
      <c r="AI65" s="168"/>
      <c r="AJ65" s="169"/>
      <c r="AK65" s="168"/>
      <c r="AL65" s="170"/>
      <c r="AM65" s="171"/>
      <c r="AN65" s="68"/>
      <c r="AO65" s="68"/>
      <c r="AP65" s="68"/>
      <c r="AQ65" s="167"/>
      <c r="AR65" s="168"/>
      <c r="AS65" s="169"/>
      <c r="AT65" s="168"/>
      <c r="AU65" s="170"/>
      <c r="AV65" s="171"/>
      <c r="AW65" s="68"/>
      <c r="AX65" s="68"/>
      <c r="AY65" s="68"/>
      <c r="AZ65" s="167"/>
      <c r="BA65" s="168"/>
      <c r="BB65" s="169"/>
      <c r="BC65" s="168"/>
      <c r="BD65" s="170"/>
      <c r="BE65" s="171"/>
      <c r="BF65" s="68"/>
      <c r="BG65" s="68"/>
      <c r="BH65" s="68"/>
      <c r="BI65" s="167"/>
      <c r="BJ65" s="168"/>
      <c r="BK65" s="169"/>
      <c r="BL65" s="168"/>
      <c r="BM65" s="170"/>
      <c r="BN65" s="171"/>
      <c r="BO65" s="68"/>
      <c r="BP65" s="68"/>
      <c r="BQ65" s="68"/>
      <c r="BR65" s="167"/>
      <c r="BS65" s="168"/>
      <c r="BT65" s="169"/>
      <c r="BU65" s="168"/>
      <c r="BV65" s="170"/>
      <c r="BW65" s="171"/>
      <c r="BX65" s="68"/>
      <c r="BY65" s="68"/>
      <c r="BZ65" s="68"/>
      <c r="CA65" s="167"/>
      <c r="CB65" s="168"/>
      <c r="CC65" s="169"/>
      <c r="CD65" s="168"/>
      <c r="CE65" s="170"/>
      <c r="CF65" s="171"/>
      <c r="CG65" s="68"/>
      <c r="CH65" s="68"/>
      <c r="CI65" s="68"/>
      <c r="CJ65" s="167"/>
      <c r="CK65" s="168"/>
      <c r="CL65" s="169"/>
      <c r="CM65" s="168"/>
      <c r="CN65" s="170"/>
      <c r="CO65" s="171"/>
      <c r="CP65" s="68"/>
      <c r="CQ65" s="68"/>
      <c r="CR65" s="68"/>
      <c r="CS65" s="167"/>
      <c r="CT65" s="168"/>
      <c r="CU65" s="169"/>
      <c r="CV65" s="168"/>
      <c r="CW65" s="170"/>
      <c r="CX65" s="171"/>
      <c r="CY65" s="68"/>
      <c r="CZ65" s="68"/>
      <c r="DA65" s="68"/>
      <c r="DB65" s="167"/>
      <c r="DC65" s="168"/>
      <c r="DD65" s="169"/>
      <c r="DE65" s="168"/>
      <c r="DF65" s="170"/>
      <c r="DG65" s="171"/>
      <c r="DH65" s="68"/>
      <c r="DI65" s="68"/>
      <c r="DJ65" s="68"/>
      <c r="DK65" s="167"/>
      <c r="DL65" s="168"/>
      <c r="DM65" s="169"/>
      <c r="DN65" s="168"/>
      <c r="DO65" s="170"/>
      <c r="DP65" s="171"/>
      <c r="DQ65" s="68"/>
      <c r="DR65" s="68"/>
      <c r="DS65" s="68"/>
      <c r="DT65" s="167"/>
      <c r="DU65" s="168"/>
      <c r="DV65" s="169"/>
      <c r="DW65" s="168"/>
      <c r="DX65" s="170"/>
      <c r="DY65" s="171"/>
      <c r="DZ65" s="68"/>
      <c r="EA65" s="68"/>
      <c r="EB65" s="68"/>
      <c r="EC65" s="167"/>
      <c r="ED65" s="168"/>
      <c r="EE65" s="169"/>
      <c r="EF65" s="168"/>
      <c r="EG65" s="170"/>
      <c r="EH65" s="171"/>
      <c r="EI65" s="68"/>
      <c r="EJ65" s="68"/>
      <c r="EK65" s="68"/>
      <c r="EL65" s="167"/>
      <c r="EM65" s="168"/>
      <c r="EN65" s="169"/>
      <c r="EO65" s="168"/>
      <c r="EP65" s="170"/>
      <c r="EQ65" s="171"/>
      <c r="ER65" s="68"/>
      <c r="ES65" s="68"/>
      <c r="ET65" s="68"/>
      <c r="EU65" s="167"/>
      <c r="EV65" s="168"/>
      <c r="EW65" s="169"/>
      <c r="EX65" s="168"/>
      <c r="EY65" s="170"/>
      <c r="EZ65" s="171"/>
      <c r="FA65" s="68"/>
      <c r="FB65" s="68"/>
      <c r="FC65" s="68"/>
      <c r="FD65" s="167"/>
      <c r="FE65" s="168"/>
      <c r="FF65" s="169"/>
      <c r="FG65" s="168"/>
      <c r="FH65" s="170"/>
      <c r="FI65" s="171"/>
      <c r="FJ65" s="68"/>
      <c r="FK65" s="68"/>
      <c r="FL65" s="68"/>
      <c r="FM65" s="167"/>
      <c r="FN65" s="168"/>
      <c r="FO65" s="169"/>
      <c r="FP65" s="168"/>
      <c r="FQ65" s="170"/>
      <c r="FR65" s="171"/>
      <c r="FS65" s="68"/>
      <c r="FT65" s="68"/>
      <c r="FU65" s="68"/>
      <c r="FV65" s="167"/>
      <c r="FW65" s="168"/>
      <c r="FX65" s="169"/>
      <c r="FY65" s="168"/>
      <c r="FZ65" s="170"/>
      <c r="GA65" s="171"/>
      <c r="GB65" s="68"/>
      <c r="GC65" s="68"/>
      <c r="GD65" s="68"/>
      <c r="GE65" s="167"/>
      <c r="GF65" s="168"/>
      <c r="GG65" s="169"/>
      <c r="GH65" s="168"/>
      <c r="GI65" s="170"/>
      <c r="GJ65" s="171"/>
      <c r="GK65" s="68"/>
      <c r="GL65" s="68"/>
      <c r="GM65" s="68"/>
      <c r="GN65" s="167"/>
      <c r="GO65" s="168"/>
      <c r="GP65" s="169"/>
      <c r="GQ65" s="168"/>
      <c r="GR65" s="170"/>
      <c r="GS65" s="171"/>
      <c r="GT65" s="166"/>
      <c r="GU65" s="64"/>
      <c r="GV65" s="65"/>
      <c r="GW65" s="66"/>
      <c r="GX65" s="66"/>
      <c r="GY65" s="167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407"/>
      <c r="L66" s="70"/>
      <c r="M66" s="71"/>
      <c r="N66" s="56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38"/>
      <c r="V66" s="166"/>
      <c r="W66" s="86"/>
      <c r="X66" s="68"/>
      <c r="Y66" s="167"/>
      <c r="Z66" s="168"/>
      <c r="AA66" s="169"/>
      <c r="AB66" s="168"/>
      <c r="AC66" s="170"/>
      <c r="AD66" s="171"/>
      <c r="AE66" s="68"/>
      <c r="AF66" s="68"/>
      <c r="AG66" s="68"/>
      <c r="AH66" s="167"/>
      <c r="AI66" s="168"/>
      <c r="AJ66" s="169"/>
      <c r="AK66" s="168"/>
      <c r="AL66" s="170"/>
      <c r="AM66" s="171"/>
      <c r="AN66" s="68"/>
      <c r="AO66" s="68"/>
      <c r="AP66" s="68"/>
      <c r="AQ66" s="167"/>
      <c r="AR66" s="168"/>
      <c r="AS66" s="169"/>
      <c r="AT66" s="168"/>
      <c r="AU66" s="170"/>
      <c r="AV66" s="171"/>
      <c r="AW66" s="68"/>
      <c r="AX66" s="68"/>
      <c r="AY66" s="68"/>
      <c r="AZ66" s="167"/>
      <c r="BA66" s="168"/>
      <c r="BB66" s="169"/>
      <c r="BC66" s="168"/>
      <c r="BD66" s="170"/>
      <c r="BE66" s="171"/>
      <c r="BF66" s="68"/>
      <c r="BG66" s="68"/>
      <c r="BH66" s="68"/>
      <c r="BI66" s="167"/>
      <c r="BJ66" s="168"/>
      <c r="BK66" s="169"/>
      <c r="BL66" s="168"/>
      <c r="BM66" s="170"/>
      <c r="BN66" s="171"/>
      <c r="BO66" s="68"/>
      <c r="BP66" s="68"/>
      <c r="BQ66" s="68"/>
      <c r="BR66" s="167"/>
      <c r="BS66" s="168"/>
      <c r="BT66" s="169"/>
      <c r="BU66" s="168"/>
      <c r="BV66" s="170"/>
      <c r="BW66" s="171"/>
      <c r="BX66" s="68"/>
      <c r="BY66" s="68"/>
      <c r="BZ66" s="68"/>
      <c r="CA66" s="167"/>
      <c r="CB66" s="168"/>
      <c r="CC66" s="169"/>
      <c r="CD66" s="168"/>
      <c r="CE66" s="170"/>
      <c r="CF66" s="171"/>
      <c r="CG66" s="68"/>
      <c r="CH66" s="68"/>
      <c r="CI66" s="68"/>
      <c r="CJ66" s="167"/>
      <c r="CK66" s="168"/>
      <c r="CL66" s="169"/>
      <c r="CM66" s="168"/>
      <c r="CN66" s="170"/>
      <c r="CO66" s="171"/>
      <c r="CP66" s="68"/>
      <c r="CQ66" s="68"/>
      <c r="CR66" s="68"/>
      <c r="CS66" s="167"/>
      <c r="CT66" s="168"/>
      <c r="CU66" s="169"/>
      <c r="CV66" s="168"/>
      <c r="CW66" s="170"/>
      <c r="CX66" s="171"/>
      <c r="CY66" s="68"/>
      <c r="CZ66" s="68"/>
      <c r="DA66" s="68"/>
      <c r="DB66" s="167"/>
      <c r="DC66" s="168"/>
      <c r="DD66" s="169"/>
      <c r="DE66" s="168"/>
      <c r="DF66" s="170"/>
      <c r="DG66" s="171"/>
      <c r="DH66" s="68"/>
      <c r="DI66" s="68"/>
      <c r="DJ66" s="68"/>
      <c r="DK66" s="167"/>
      <c r="DL66" s="168"/>
      <c r="DM66" s="169"/>
      <c r="DN66" s="168"/>
      <c r="DO66" s="170"/>
      <c r="DP66" s="171"/>
      <c r="DQ66" s="68"/>
      <c r="DR66" s="68"/>
      <c r="DS66" s="68"/>
      <c r="DT66" s="167"/>
      <c r="DU66" s="168"/>
      <c r="DV66" s="169"/>
      <c r="DW66" s="168"/>
      <c r="DX66" s="170"/>
      <c r="DY66" s="171"/>
      <c r="DZ66" s="68"/>
      <c r="EA66" s="68"/>
      <c r="EB66" s="68"/>
      <c r="EC66" s="167"/>
      <c r="ED66" s="168"/>
      <c r="EE66" s="169"/>
      <c r="EF66" s="168"/>
      <c r="EG66" s="170"/>
      <c r="EH66" s="171"/>
      <c r="EI66" s="68"/>
      <c r="EJ66" s="68"/>
      <c r="EK66" s="68"/>
      <c r="EL66" s="167"/>
      <c r="EM66" s="168"/>
      <c r="EN66" s="169"/>
      <c r="EO66" s="168"/>
      <c r="EP66" s="170"/>
      <c r="EQ66" s="171"/>
      <c r="ER66" s="68"/>
      <c r="ES66" s="68"/>
      <c r="ET66" s="68"/>
      <c r="EU66" s="167"/>
      <c r="EV66" s="168"/>
      <c r="EW66" s="169"/>
      <c r="EX66" s="168"/>
      <c r="EY66" s="170"/>
      <c r="EZ66" s="171"/>
      <c r="FA66" s="68"/>
      <c r="FB66" s="68"/>
      <c r="FC66" s="68"/>
      <c r="FD66" s="167"/>
      <c r="FE66" s="168"/>
      <c r="FF66" s="169"/>
      <c r="FG66" s="168"/>
      <c r="FH66" s="170"/>
      <c r="FI66" s="171"/>
      <c r="FJ66" s="68"/>
      <c r="FK66" s="68"/>
      <c r="FL66" s="68"/>
      <c r="FM66" s="167"/>
      <c r="FN66" s="168"/>
      <c r="FO66" s="169"/>
      <c r="FP66" s="168"/>
      <c r="FQ66" s="170"/>
      <c r="FR66" s="171"/>
      <c r="FS66" s="68"/>
      <c r="FT66" s="68"/>
      <c r="FU66" s="68"/>
      <c r="FV66" s="167"/>
      <c r="FW66" s="168"/>
      <c r="FX66" s="169"/>
      <c r="FY66" s="168"/>
      <c r="FZ66" s="170"/>
      <c r="GA66" s="171"/>
      <c r="GB66" s="68"/>
      <c r="GC66" s="68"/>
      <c r="GD66" s="68"/>
      <c r="GE66" s="167"/>
      <c r="GF66" s="168"/>
      <c r="GG66" s="169"/>
      <c r="GH66" s="168"/>
      <c r="GI66" s="170"/>
      <c r="GJ66" s="171"/>
      <c r="GK66" s="68"/>
      <c r="GL66" s="68"/>
      <c r="GM66" s="68"/>
      <c r="GN66" s="167"/>
      <c r="GO66" s="168"/>
      <c r="GP66" s="169"/>
      <c r="GQ66" s="168"/>
      <c r="GR66" s="170"/>
      <c r="GS66" s="171"/>
      <c r="GT66" s="171"/>
      <c r="GU66" s="64"/>
      <c r="GV66" s="65"/>
      <c r="GW66" s="66"/>
      <c r="GX66" s="66"/>
      <c r="GY66" s="167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407"/>
      <c r="L67" s="70"/>
      <c r="M67" s="71"/>
      <c r="N67" s="56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38"/>
      <c r="V67" s="166"/>
      <c r="W67" s="86"/>
      <c r="X67" s="68"/>
      <c r="Y67" s="167"/>
      <c r="Z67" s="168"/>
      <c r="AA67" s="169"/>
      <c r="AB67" s="168"/>
      <c r="AC67" s="170"/>
      <c r="AD67" s="171"/>
      <c r="AE67" s="68"/>
      <c r="AF67" s="68"/>
      <c r="AG67" s="68"/>
      <c r="AH67" s="167"/>
      <c r="AI67" s="168"/>
      <c r="AJ67" s="169"/>
      <c r="AK67" s="168"/>
      <c r="AL67" s="170"/>
      <c r="AM67" s="171"/>
      <c r="AN67" s="68"/>
      <c r="AO67" s="68"/>
      <c r="AP67" s="68"/>
      <c r="AQ67" s="167"/>
      <c r="AR67" s="168"/>
      <c r="AS67" s="169"/>
      <c r="AT67" s="168"/>
      <c r="AU67" s="170"/>
      <c r="AV67" s="171"/>
      <c r="AW67" s="68"/>
      <c r="AX67" s="68"/>
      <c r="AY67" s="68"/>
      <c r="AZ67" s="167"/>
      <c r="BA67" s="168"/>
      <c r="BB67" s="169"/>
      <c r="BC67" s="168"/>
      <c r="BD67" s="170"/>
      <c r="BE67" s="171"/>
      <c r="BF67" s="68"/>
      <c r="BG67" s="68"/>
      <c r="BH67" s="68"/>
      <c r="BI67" s="167"/>
      <c r="BJ67" s="168"/>
      <c r="BK67" s="169"/>
      <c r="BL67" s="168"/>
      <c r="BM67" s="170"/>
      <c r="BN67" s="171"/>
      <c r="BO67" s="68"/>
      <c r="BP67" s="68"/>
      <c r="BQ67" s="68"/>
      <c r="BR67" s="167"/>
      <c r="BS67" s="168"/>
      <c r="BT67" s="169"/>
      <c r="BU67" s="168"/>
      <c r="BV67" s="170"/>
      <c r="BW67" s="171"/>
      <c r="BX67" s="68"/>
      <c r="BY67" s="68"/>
      <c r="BZ67" s="68"/>
      <c r="CA67" s="167"/>
      <c r="CB67" s="168"/>
      <c r="CC67" s="169"/>
      <c r="CD67" s="168"/>
      <c r="CE67" s="170"/>
      <c r="CF67" s="171"/>
      <c r="CG67" s="68"/>
      <c r="CH67" s="68"/>
      <c r="CI67" s="68"/>
      <c r="CJ67" s="167"/>
      <c r="CK67" s="168"/>
      <c r="CL67" s="169"/>
      <c r="CM67" s="168"/>
      <c r="CN67" s="170"/>
      <c r="CO67" s="171"/>
      <c r="CP67" s="68"/>
      <c r="CQ67" s="68"/>
      <c r="CR67" s="68"/>
      <c r="CS67" s="167"/>
      <c r="CT67" s="168"/>
      <c r="CU67" s="169"/>
      <c r="CV67" s="168"/>
      <c r="CW67" s="170"/>
      <c r="CX67" s="171"/>
      <c r="CY67" s="68"/>
      <c r="CZ67" s="68"/>
      <c r="DA67" s="68"/>
      <c r="DB67" s="167"/>
      <c r="DC67" s="168"/>
      <c r="DD67" s="169"/>
      <c r="DE67" s="168"/>
      <c r="DF67" s="170"/>
      <c r="DG67" s="171"/>
      <c r="DH67" s="68"/>
      <c r="DI67" s="68"/>
      <c r="DJ67" s="68"/>
      <c r="DK67" s="167"/>
      <c r="DL67" s="168"/>
      <c r="DM67" s="169"/>
      <c r="DN67" s="168"/>
      <c r="DO67" s="170"/>
      <c r="DP67" s="171"/>
      <c r="DQ67" s="68"/>
      <c r="DR67" s="68"/>
      <c r="DS67" s="68"/>
      <c r="DT67" s="167"/>
      <c r="DU67" s="168"/>
      <c r="DV67" s="169"/>
      <c r="DW67" s="168"/>
      <c r="DX67" s="170"/>
      <c r="DY67" s="171"/>
      <c r="DZ67" s="68"/>
      <c r="EA67" s="68"/>
      <c r="EB67" s="68"/>
      <c r="EC67" s="167"/>
      <c r="ED67" s="168"/>
      <c r="EE67" s="169"/>
      <c r="EF67" s="168"/>
      <c r="EG67" s="170"/>
      <c r="EH67" s="171"/>
      <c r="EI67" s="68"/>
      <c r="EJ67" s="68"/>
      <c r="EK67" s="68"/>
      <c r="EL67" s="167"/>
      <c r="EM67" s="168"/>
      <c r="EN67" s="169"/>
      <c r="EO67" s="168"/>
      <c r="EP67" s="170"/>
      <c r="EQ67" s="171"/>
      <c r="ER67" s="68"/>
      <c r="ES67" s="68"/>
      <c r="ET67" s="68"/>
      <c r="EU67" s="167"/>
      <c r="EV67" s="168"/>
      <c r="EW67" s="169"/>
      <c r="EX67" s="168"/>
      <c r="EY67" s="170"/>
      <c r="EZ67" s="171"/>
      <c r="FA67" s="68"/>
      <c r="FB67" s="68"/>
      <c r="FC67" s="68"/>
      <c r="FD67" s="167"/>
      <c r="FE67" s="168"/>
      <c r="FF67" s="169"/>
      <c r="FG67" s="168"/>
      <c r="FH67" s="170"/>
      <c r="FI67" s="171"/>
      <c r="FJ67" s="68"/>
      <c r="FK67" s="68"/>
      <c r="FL67" s="68"/>
      <c r="FM67" s="167"/>
      <c r="FN67" s="168"/>
      <c r="FO67" s="169"/>
      <c r="FP67" s="168"/>
      <c r="FQ67" s="170"/>
      <c r="FR67" s="171"/>
      <c r="FS67" s="68"/>
      <c r="FT67" s="68"/>
      <c r="FU67" s="68"/>
      <c r="FV67" s="167"/>
      <c r="FW67" s="168"/>
      <c r="FX67" s="169"/>
      <c r="FY67" s="168"/>
      <c r="FZ67" s="170"/>
      <c r="GA67" s="171"/>
      <c r="GB67" s="68"/>
      <c r="GC67" s="68"/>
      <c r="GD67" s="68"/>
      <c r="GE67" s="167"/>
      <c r="GF67" s="168"/>
      <c r="GG67" s="169"/>
      <c r="GH67" s="168"/>
      <c r="GI67" s="170"/>
      <c r="GJ67" s="171"/>
      <c r="GK67" s="68"/>
      <c r="GL67" s="68"/>
      <c r="GM67" s="68"/>
      <c r="GN67" s="167"/>
      <c r="GO67" s="168"/>
      <c r="GP67" s="169"/>
      <c r="GQ67" s="168"/>
      <c r="GR67" s="170"/>
      <c r="GS67" s="171"/>
      <c r="GT67" s="171"/>
      <c r="GU67" s="64"/>
      <c r="GV67" s="65"/>
      <c r="GW67" s="66"/>
      <c r="GX67" s="66"/>
      <c r="GY67" s="167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407"/>
      <c r="L68" s="70"/>
      <c r="M68" s="71"/>
      <c r="N68" s="56"/>
      <c r="O68" s="72"/>
      <c r="P68" s="113">
        <f t="shared" si="0"/>
        <v>0</v>
      </c>
      <c r="Q68" s="117"/>
      <c r="R68" s="117"/>
      <c r="S68" s="117"/>
      <c r="T68" s="39">
        <f t="shared" si="1"/>
        <v>0</v>
      </c>
      <c r="U68" s="138"/>
      <c r="V68" s="166"/>
      <c r="W68" s="86"/>
      <c r="X68" s="68"/>
      <c r="Y68" s="167"/>
      <c r="Z68" s="168"/>
      <c r="AA68" s="169"/>
      <c r="AB68" s="168"/>
      <c r="AC68" s="170"/>
      <c r="AD68" s="171"/>
      <c r="AE68" s="68"/>
      <c r="AF68" s="68"/>
      <c r="AG68" s="68"/>
      <c r="AH68" s="167"/>
      <c r="AI68" s="168"/>
      <c r="AJ68" s="169"/>
      <c r="AK68" s="168"/>
      <c r="AL68" s="170"/>
      <c r="AM68" s="171"/>
      <c r="AN68" s="68"/>
      <c r="AO68" s="68"/>
      <c r="AP68" s="68"/>
      <c r="AQ68" s="167"/>
      <c r="AR68" s="168"/>
      <c r="AS68" s="169"/>
      <c r="AT68" s="168"/>
      <c r="AU68" s="170"/>
      <c r="AV68" s="171"/>
      <c r="AW68" s="68"/>
      <c r="AX68" s="68"/>
      <c r="AY68" s="68"/>
      <c r="AZ68" s="167"/>
      <c r="BA68" s="168"/>
      <c r="BB68" s="169"/>
      <c r="BC68" s="168"/>
      <c r="BD68" s="170"/>
      <c r="BE68" s="171"/>
      <c r="BF68" s="68"/>
      <c r="BG68" s="68"/>
      <c r="BH68" s="68"/>
      <c r="BI68" s="167"/>
      <c r="BJ68" s="168"/>
      <c r="BK68" s="169"/>
      <c r="BL68" s="168"/>
      <c r="BM68" s="170"/>
      <c r="BN68" s="171"/>
      <c r="BO68" s="68"/>
      <c r="BP68" s="68"/>
      <c r="BQ68" s="68"/>
      <c r="BR68" s="167"/>
      <c r="BS68" s="168"/>
      <c r="BT68" s="169"/>
      <c r="BU68" s="168"/>
      <c r="BV68" s="170"/>
      <c r="BW68" s="171"/>
      <c r="BX68" s="68"/>
      <c r="BY68" s="68"/>
      <c r="BZ68" s="68"/>
      <c r="CA68" s="167"/>
      <c r="CB68" s="168"/>
      <c r="CC68" s="169"/>
      <c r="CD68" s="168"/>
      <c r="CE68" s="170"/>
      <c r="CF68" s="171"/>
      <c r="CG68" s="68"/>
      <c r="CH68" s="68"/>
      <c r="CI68" s="68"/>
      <c r="CJ68" s="167"/>
      <c r="CK68" s="168"/>
      <c r="CL68" s="169"/>
      <c r="CM68" s="168"/>
      <c r="CN68" s="170"/>
      <c r="CO68" s="171"/>
      <c r="CP68" s="68"/>
      <c r="CQ68" s="68"/>
      <c r="CR68" s="68"/>
      <c r="CS68" s="167"/>
      <c r="CT68" s="168"/>
      <c r="CU68" s="169"/>
      <c r="CV68" s="168"/>
      <c r="CW68" s="170"/>
      <c r="CX68" s="171"/>
      <c r="CY68" s="68"/>
      <c r="CZ68" s="68"/>
      <c r="DA68" s="68"/>
      <c r="DB68" s="167"/>
      <c r="DC68" s="168"/>
      <c r="DD68" s="169"/>
      <c r="DE68" s="168"/>
      <c r="DF68" s="170"/>
      <c r="DG68" s="171"/>
      <c r="DH68" s="68"/>
      <c r="DI68" s="68"/>
      <c r="DJ68" s="68"/>
      <c r="DK68" s="167"/>
      <c r="DL68" s="168"/>
      <c r="DM68" s="169"/>
      <c r="DN68" s="168"/>
      <c r="DO68" s="170"/>
      <c r="DP68" s="171"/>
      <c r="DQ68" s="68"/>
      <c r="DR68" s="68"/>
      <c r="DS68" s="68"/>
      <c r="DT68" s="167"/>
      <c r="DU68" s="168"/>
      <c r="DV68" s="169"/>
      <c r="DW68" s="168"/>
      <c r="DX68" s="170"/>
      <c r="DY68" s="171"/>
      <c r="DZ68" s="68"/>
      <c r="EA68" s="68"/>
      <c r="EB68" s="68"/>
      <c r="EC68" s="167"/>
      <c r="ED68" s="168"/>
      <c r="EE68" s="169"/>
      <c r="EF68" s="168"/>
      <c r="EG68" s="170"/>
      <c r="EH68" s="171"/>
      <c r="EI68" s="68"/>
      <c r="EJ68" s="68"/>
      <c r="EK68" s="68"/>
      <c r="EL68" s="167"/>
      <c r="EM68" s="168"/>
      <c r="EN68" s="169"/>
      <c r="EO68" s="168"/>
      <c r="EP68" s="170"/>
      <c r="EQ68" s="171"/>
      <c r="ER68" s="68"/>
      <c r="ES68" s="68"/>
      <c r="ET68" s="68"/>
      <c r="EU68" s="167"/>
      <c r="EV68" s="168"/>
      <c r="EW68" s="169"/>
      <c r="EX68" s="168"/>
      <c r="EY68" s="170"/>
      <c r="EZ68" s="171"/>
      <c r="FA68" s="68"/>
      <c r="FB68" s="68"/>
      <c r="FC68" s="68"/>
      <c r="FD68" s="167"/>
      <c r="FE68" s="168"/>
      <c r="FF68" s="169"/>
      <c r="FG68" s="168"/>
      <c r="FH68" s="170"/>
      <c r="FI68" s="171"/>
      <c r="FJ68" s="68"/>
      <c r="FK68" s="68"/>
      <c r="FL68" s="68"/>
      <c r="FM68" s="167"/>
      <c r="FN68" s="168"/>
      <c r="FO68" s="169"/>
      <c r="FP68" s="168"/>
      <c r="FQ68" s="170"/>
      <c r="FR68" s="171"/>
      <c r="FS68" s="68"/>
      <c r="FT68" s="68"/>
      <c r="FU68" s="68"/>
      <c r="FV68" s="167"/>
      <c r="FW68" s="168"/>
      <c r="FX68" s="169"/>
      <c r="FY68" s="168"/>
      <c r="FZ68" s="170"/>
      <c r="GA68" s="171"/>
      <c r="GB68" s="68"/>
      <c r="GC68" s="68"/>
      <c r="GD68" s="68"/>
      <c r="GE68" s="167"/>
      <c r="GF68" s="168"/>
      <c r="GG68" s="169"/>
      <c r="GH68" s="168"/>
      <c r="GI68" s="170"/>
      <c r="GJ68" s="171"/>
      <c r="GK68" s="68"/>
      <c r="GL68" s="68"/>
      <c r="GM68" s="68"/>
      <c r="GN68" s="167"/>
      <c r="GO68" s="168"/>
      <c r="GP68" s="169"/>
      <c r="GQ68" s="168"/>
      <c r="GR68" s="170"/>
      <c r="GS68" s="171"/>
      <c r="GT68" s="171"/>
      <c r="GU68" s="64"/>
      <c r="GV68" s="65"/>
      <c r="GW68" s="66"/>
      <c r="GX68" s="66"/>
      <c r="GY68" s="167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407"/>
      <c r="L69" s="70"/>
      <c r="M69" s="71"/>
      <c r="N69" s="56"/>
      <c r="O69" s="72"/>
      <c r="P69" s="113">
        <f t="shared" si="0"/>
        <v>0</v>
      </c>
      <c r="Q69" s="117"/>
      <c r="R69" s="117"/>
      <c r="S69" s="117"/>
      <c r="T69" s="39">
        <f t="shared" si="1"/>
        <v>0</v>
      </c>
      <c r="U69" s="138"/>
      <c r="V69" s="166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71"/>
      <c r="GU69" s="64"/>
      <c r="GV69" s="65"/>
      <c r="GW69" s="66"/>
      <c r="GX69" s="66"/>
      <c r="GY69" s="167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68"/>
      <c r="K70" s="407"/>
      <c r="L70" s="70"/>
      <c r="M70" s="71"/>
      <c r="N70" s="56"/>
      <c r="O70" s="72"/>
      <c r="P70" s="113">
        <f t="shared" ref="P70:P72" si="5">O70-L70</f>
        <v>0</v>
      </c>
      <c r="Q70" s="117"/>
      <c r="R70" s="117"/>
      <c r="S70" s="117"/>
      <c r="T70" s="39">
        <f t="shared" si="1"/>
        <v>0</v>
      </c>
      <c r="U70" s="138"/>
      <c r="V70" s="172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71"/>
      <c r="GU70" s="64"/>
      <c r="GV70" s="65"/>
      <c r="GW70" s="66"/>
      <c r="GX70" s="66"/>
      <c r="GY70" s="167"/>
      <c r="GZ70" s="86"/>
    </row>
    <row r="71" spans="1:208" x14ac:dyDescent="0.25">
      <c r="A71"/>
      <c r="D71" s="35"/>
      <c r="E71" s="36"/>
      <c r="F71" s="37"/>
      <c r="G71" s="38"/>
      <c r="H71" s="39"/>
      <c r="I71" s="40"/>
      <c r="J71" s="68"/>
      <c r="K71" s="407"/>
      <c r="L71" s="70"/>
      <c r="M71" s="71"/>
      <c r="N71" s="173"/>
      <c r="O71" s="72"/>
      <c r="P71" s="113">
        <f t="shared" si="5"/>
        <v>0</v>
      </c>
      <c r="Q71" s="117"/>
      <c r="R71" s="117"/>
      <c r="S71" s="117"/>
      <c r="T71" s="39">
        <f t="shared" si="1"/>
        <v>0</v>
      </c>
      <c r="U71" s="138"/>
      <c r="V71" s="172"/>
      <c r="W71" s="86"/>
      <c r="X71" s="68"/>
      <c r="Y71" s="167"/>
      <c r="Z71" s="168"/>
      <c r="AA71" s="169"/>
      <c r="AB71" s="168"/>
      <c r="AC71" s="170"/>
      <c r="AD71" s="171"/>
      <c r="AE71" s="68"/>
      <c r="AF71" s="68"/>
      <c r="AG71" s="68"/>
      <c r="AH71" s="167"/>
      <c r="AI71" s="168"/>
      <c r="AJ71" s="169"/>
      <c r="AK71" s="168"/>
      <c r="AL71" s="170"/>
      <c r="AM71" s="171"/>
      <c r="AN71" s="68"/>
      <c r="AO71" s="68"/>
      <c r="AP71" s="68"/>
      <c r="AQ71" s="167"/>
      <c r="AR71" s="168"/>
      <c r="AS71" s="169"/>
      <c r="AT71" s="168"/>
      <c r="AU71" s="170"/>
      <c r="AV71" s="171"/>
      <c r="AW71" s="68"/>
      <c r="AX71" s="68"/>
      <c r="AY71" s="68"/>
      <c r="AZ71" s="167"/>
      <c r="BA71" s="168"/>
      <c r="BB71" s="169"/>
      <c r="BC71" s="168"/>
      <c r="BD71" s="170"/>
      <c r="BE71" s="171"/>
      <c r="BF71" s="68"/>
      <c r="BG71" s="68"/>
      <c r="BH71" s="68"/>
      <c r="BI71" s="167"/>
      <c r="BJ71" s="168"/>
      <c r="BK71" s="169"/>
      <c r="BL71" s="168"/>
      <c r="BM71" s="170"/>
      <c r="BN71" s="171"/>
      <c r="BO71" s="68"/>
      <c r="BP71" s="68"/>
      <c r="BQ71" s="68"/>
      <c r="BR71" s="167"/>
      <c r="BS71" s="168"/>
      <c r="BT71" s="169"/>
      <c r="BU71" s="168"/>
      <c r="BV71" s="170"/>
      <c r="BW71" s="171"/>
      <c r="BX71" s="68"/>
      <c r="BY71" s="68"/>
      <c r="BZ71" s="68"/>
      <c r="CA71" s="167"/>
      <c r="CB71" s="168"/>
      <c r="CC71" s="169"/>
      <c r="CD71" s="168"/>
      <c r="CE71" s="170"/>
      <c r="CF71" s="171"/>
      <c r="CG71" s="68"/>
      <c r="CH71" s="68"/>
      <c r="CI71" s="68"/>
      <c r="CJ71" s="167"/>
      <c r="CK71" s="168"/>
      <c r="CL71" s="169"/>
      <c r="CM71" s="168"/>
      <c r="CN71" s="170"/>
      <c r="CO71" s="171"/>
      <c r="CP71" s="68"/>
      <c r="CQ71" s="68"/>
      <c r="CR71" s="68"/>
      <c r="CS71" s="167"/>
      <c r="CT71" s="168"/>
      <c r="CU71" s="169"/>
      <c r="CV71" s="168"/>
      <c r="CW71" s="170"/>
      <c r="CX71" s="171"/>
      <c r="CY71" s="68"/>
      <c r="CZ71" s="68"/>
      <c r="DA71" s="68"/>
      <c r="DB71" s="167"/>
      <c r="DC71" s="168"/>
      <c r="DD71" s="169"/>
      <c r="DE71" s="168"/>
      <c r="DF71" s="170"/>
      <c r="DG71" s="171"/>
      <c r="DH71" s="68"/>
      <c r="DI71" s="68"/>
      <c r="DJ71" s="68"/>
      <c r="DK71" s="167"/>
      <c r="DL71" s="168"/>
      <c r="DM71" s="169"/>
      <c r="DN71" s="168"/>
      <c r="DO71" s="170"/>
      <c r="DP71" s="171"/>
      <c r="DQ71" s="68"/>
      <c r="DR71" s="68"/>
      <c r="DS71" s="68"/>
      <c r="DT71" s="167"/>
      <c r="DU71" s="168"/>
      <c r="DV71" s="169"/>
      <c r="DW71" s="168"/>
      <c r="DX71" s="170"/>
      <c r="DY71" s="171"/>
      <c r="DZ71" s="68"/>
      <c r="EA71" s="68"/>
      <c r="EB71" s="68"/>
      <c r="EC71" s="167"/>
      <c r="ED71" s="168"/>
      <c r="EE71" s="169"/>
      <c r="EF71" s="168"/>
      <c r="EG71" s="170"/>
      <c r="EH71" s="171"/>
      <c r="EI71" s="68"/>
      <c r="EJ71" s="68"/>
      <c r="EK71" s="68"/>
      <c r="EL71" s="167"/>
      <c r="EM71" s="168"/>
      <c r="EN71" s="169"/>
      <c r="EO71" s="168"/>
      <c r="EP71" s="170"/>
      <c r="EQ71" s="171"/>
      <c r="ER71" s="68"/>
      <c r="ES71" s="68"/>
      <c r="ET71" s="68"/>
      <c r="EU71" s="167"/>
      <c r="EV71" s="168"/>
      <c r="EW71" s="169"/>
      <c r="EX71" s="168"/>
      <c r="EY71" s="170"/>
      <c r="EZ71" s="171"/>
      <c r="FA71" s="68"/>
      <c r="FB71" s="68"/>
      <c r="FC71" s="68"/>
      <c r="FD71" s="167"/>
      <c r="FE71" s="168"/>
      <c r="FF71" s="169"/>
      <c r="FG71" s="168"/>
      <c r="FH71" s="170"/>
      <c r="FI71" s="171"/>
      <c r="FJ71" s="68"/>
      <c r="FK71" s="68"/>
      <c r="FL71" s="68"/>
      <c r="FM71" s="167"/>
      <c r="FN71" s="168"/>
      <c r="FO71" s="169"/>
      <c r="FP71" s="168"/>
      <c r="FQ71" s="170"/>
      <c r="FR71" s="171"/>
      <c r="FS71" s="68"/>
      <c r="FT71" s="68"/>
      <c r="FU71" s="68"/>
      <c r="FV71" s="167"/>
      <c r="FW71" s="168"/>
      <c r="FX71" s="169"/>
      <c r="FY71" s="168"/>
      <c r="FZ71" s="170"/>
      <c r="GA71" s="171"/>
      <c r="GB71" s="68"/>
      <c r="GC71" s="68"/>
      <c r="GD71" s="68"/>
      <c r="GE71" s="167"/>
      <c r="GF71" s="168"/>
      <c r="GG71" s="169"/>
      <c r="GH71" s="168"/>
      <c r="GI71" s="170"/>
      <c r="GJ71" s="171"/>
      <c r="GK71" s="68"/>
      <c r="GL71" s="68"/>
      <c r="GM71" s="68"/>
      <c r="GN71" s="167"/>
      <c r="GO71" s="168"/>
      <c r="GP71" s="169"/>
      <c r="GQ71" s="168"/>
      <c r="GR71" s="170"/>
      <c r="GS71" s="171"/>
      <c r="GT71" s="171"/>
      <c r="GU71" s="64"/>
      <c r="GV71" s="65"/>
      <c r="GW71" s="66"/>
      <c r="GX71" s="66"/>
      <c r="GY71" s="167"/>
      <c r="GZ71" s="86"/>
    </row>
    <row r="72" spans="1:208" x14ac:dyDescent="0.25">
      <c r="A72"/>
      <c r="D72" s="35"/>
      <c r="E72" s="36"/>
      <c r="F72" s="37"/>
      <c r="G72" s="38"/>
      <c r="H72" s="39"/>
      <c r="I72" s="40"/>
      <c r="J72" s="174"/>
      <c r="K72" s="407"/>
      <c r="L72" s="70"/>
      <c r="M72" s="71"/>
      <c r="N72" s="175"/>
      <c r="O72" s="72"/>
      <c r="P72" s="113">
        <f t="shared" si="5"/>
        <v>0</v>
      </c>
      <c r="Q72" s="117"/>
      <c r="R72" s="117"/>
      <c r="S72" s="117"/>
      <c r="T72" s="39">
        <f t="shared" ref="T72:T79" si="6">Q72*O72</f>
        <v>0</v>
      </c>
      <c r="U72" s="138"/>
      <c r="V72" s="172"/>
      <c r="W72" s="86"/>
      <c r="X72" s="68"/>
      <c r="Y72" s="167"/>
      <c r="Z72" s="168"/>
      <c r="AA72" s="169"/>
      <c r="AB72" s="168"/>
      <c r="AC72" s="170"/>
      <c r="AD72" s="171"/>
      <c r="AE72" s="68"/>
      <c r="AF72" s="68"/>
      <c r="AG72" s="68"/>
      <c r="AH72" s="167"/>
      <c r="AI72" s="168"/>
      <c r="AJ72" s="169"/>
      <c r="AK72" s="168"/>
      <c r="AL72" s="170"/>
      <c r="AM72" s="171"/>
      <c r="AN72" s="68"/>
      <c r="AO72" s="68"/>
      <c r="AP72" s="68"/>
      <c r="AQ72" s="167"/>
      <c r="AR72" s="168"/>
      <c r="AS72" s="169"/>
      <c r="AT72" s="168"/>
      <c r="AU72" s="170"/>
      <c r="AV72" s="171"/>
      <c r="AW72" s="68"/>
      <c r="AX72" s="68"/>
      <c r="AY72" s="68"/>
      <c r="AZ72" s="167"/>
      <c r="BA72" s="168"/>
      <c r="BB72" s="169"/>
      <c r="BC72" s="168"/>
      <c r="BD72" s="170"/>
      <c r="BE72" s="171"/>
      <c r="BF72" s="68"/>
      <c r="BG72" s="68"/>
      <c r="BH72" s="68"/>
      <c r="BI72" s="167"/>
      <c r="BJ72" s="168"/>
      <c r="BK72" s="169"/>
      <c r="BL72" s="168"/>
      <c r="BM72" s="170"/>
      <c r="BN72" s="171"/>
      <c r="BO72" s="68"/>
      <c r="BP72" s="68"/>
      <c r="BQ72" s="68"/>
      <c r="BR72" s="167"/>
      <c r="BS72" s="168"/>
      <c r="BT72" s="169"/>
      <c r="BU72" s="168"/>
      <c r="BV72" s="170"/>
      <c r="BW72" s="171"/>
      <c r="BX72" s="68"/>
      <c r="BY72" s="68"/>
      <c r="BZ72" s="68"/>
      <c r="CA72" s="167"/>
      <c r="CB72" s="168"/>
      <c r="CC72" s="169"/>
      <c r="CD72" s="168"/>
      <c r="CE72" s="170"/>
      <c r="CF72" s="171"/>
      <c r="CG72" s="68"/>
      <c r="CH72" s="68"/>
      <c r="CI72" s="68"/>
      <c r="CJ72" s="167"/>
      <c r="CK72" s="168"/>
      <c r="CL72" s="169"/>
      <c r="CM72" s="168"/>
      <c r="CN72" s="170"/>
      <c r="CO72" s="171"/>
      <c r="CP72" s="68"/>
      <c r="CQ72" s="68"/>
      <c r="CR72" s="68"/>
      <c r="CS72" s="167"/>
      <c r="CT72" s="168"/>
      <c r="CU72" s="169"/>
      <c r="CV72" s="168"/>
      <c r="CW72" s="170"/>
      <c r="CX72" s="171"/>
      <c r="CY72" s="68"/>
      <c r="CZ72" s="68"/>
      <c r="DA72" s="68"/>
      <c r="DB72" s="167"/>
      <c r="DC72" s="168"/>
      <c r="DD72" s="169"/>
      <c r="DE72" s="168"/>
      <c r="DF72" s="170"/>
      <c r="DG72" s="171"/>
      <c r="DH72" s="68"/>
      <c r="DI72" s="68"/>
      <c r="DJ72" s="68"/>
      <c r="DK72" s="167"/>
      <c r="DL72" s="168"/>
      <c r="DM72" s="169"/>
      <c r="DN72" s="168"/>
      <c r="DO72" s="170"/>
      <c r="DP72" s="171"/>
      <c r="DQ72" s="68"/>
      <c r="DR72" s="68"/>
      <c r="DS72" s="68"/>
      <c r="DT72" s="167"/>
      <c r="DU72" s="168"/>
      <c r="DV72" s="169"/>
      <c r="DW72" s="168"/>
      <c r="DX72" s="170"/>
      <c r="DY72" s="171"/>
      <c r="DZ72" s="68"/>
      <c r="EA72" s="68"/>
      <c r="EB72" s="68"/>
      <c r="EC72" s="167"/>
      <c r="ED72" s="168"/>
      <c r="EE72" s="169"/>
      <c r="EF72" s="168"/>
      <c r="EG72" s="170"/>
      <c r="EH72" s="171"/>
      <c r="EI72" s="68"/>
      <c r="EJ72" s="68"/>
      <c r="EK72" s="68"/>
      <c r="EL72" s="167"/>
      <c r="EM72" s="168"/>
      <c r="EN72" s="169"/>
      <c r="EO72" s="168"/>
      <c r="EP72" s="170"/>
      <c r="EQ72" s="171"/>
      <c r="ER72" s="68"/>
      <c r="ES72" s="68"/>
      <c r="ET72" s="68"/>
      <c r="EU72" s="167"/>
      <c r="EV72" s="168"/>
      <c r="EW72" s="169"/>
      <c r="EX72" s="168"/>
      <c r="EY72" s="170"/>
      <c r="EZ72" s="171"/>
      <c r="FA72" s="68"/>
      <c r="FB72" s="68"/>
      <c r="FC72" s="68"/>
      <c r="FD72" s="167"/>
      <c r="FE72" s="168"/>
      <c r="FF72" s="169"/>
      <c r="FG72" s="168"/>
      <c r="FH72" s="170"/>
      <c r="FI72" s="171"/>
      <c r="FJ72" s="68"/>
      <c r="FK72" s="68"/>
      <c r="FL72" s="68"/>
      <c r="FM72" s="167"/>
      <c r="FN72" s="168"/>
      <c r="FO72" s="169"/>
      <c r="FP72" s="168"/>
      <c r="FQ72" s="170"/>
      <c r="FR72" s="171"/>
      <c r="FS72" s="68"/>
      <c r="FT72" s="68"/>
      <c r="FU72" s="68"/>
      <c r="FV72" s="167"/>
      <c r="FW72" s="168"/>
      <c r="FX72" s="169"/>
      <c r="FY72" s="168"/>
      <c r="FZ72" s="170"/>
      <c r="GA72" s="171"/>
      <c r="GB72" s="68"/>
      <c r="GC72" s="68"/>
      <c r="GD72" s="68"/>
      <c r="GE72" s="167"/>
      <c r="GF72" s="168"/>
      <c r="GG72" s="169"/>
      <c r="GH72" s="168"/>
      <c r="GI72" s="170"/>
      <c r="GJ72" s="171"/>
      <c r="GK72" s="68"/>
      <c r="GL72" s="68"/>
      <c r="GM72" s="68"/>
      <c r="GN72" s="167"/>
      <c r="GO72" s="168"/>
      <c r="GP72" s="169"/>
      <c r="GQ72" s="168"/>
      <c r="GR72" s="170"/>
      <c r="GS72" s="171"/>
      <c r="GT72" s="171"/>
      <c r="GU72" s="64"/>
      <c r="GV72" s="65"/>
      <c r="GW72" s="66"/>
      <c r="GX72" s="66"/>
      <c r="GY72" s="391"/>
      <c r="GZ72" s="67"/>
    </row>
    <row r="73" spans="1:208" x14ac:dyDescent="0.25">
      <c r="A73"/>
      <c r="D73" s="35"/>
      <c r="E73" s="36"/>
      <c r="F73" s="37"/>
      <c r="G73" s="38"/>
      <c r="H73" s="39"/>
      <c r="I73" s="40"/>
      <c r="J73" s="177"/>
      <c r="K73" s="452"/>
      <c r="N73" s="179"/>
      <c r="P73" s="27"/>
      <c r="Q73" s="180"/>
      <c r="R73" s="180"/>
      <c r="S73" s="180"/>
      <c r="T73" s="39">
        <f t="shared" si="6"/>
        <v>0</v>
      </c>
      <c r="U73" s="181"/>
      <c r="V73" s="182"/>
      <c r="W73" s="30"/>
      <c r="X73" s="8"/>
      <c r="Y73" s="183"/>
      <c r="Z73" s="184"/>
      <c r="AA73" s="185"/>
      <c r="AB73" s="184"/>
      <c r="AC73" s="186"/>
      <c r="AD73" s="187"/>
      <c r="AE73" s="8"/>
      <c r="AF73" s="8"/>
      <c r="AG73" s="188"/>
      <c r="AH73" s="183"/>
      <c r="AI73" s="184"/>
      <c r="AJ73" s="185"/>
      <c r="AK73" s="28"/>
      <c r="AL73" s="186"/>
      <c r="AM73" s="187"/>
      <c r="AN73" s="8"/>
      <c r="AO73" s="8"/>
      <c r="AP73" s="188"/>
      <c r="AQ73" s="183"/>
      <c r="AR73" s="184"/>
      <c r="AS73" s="185"/>
      <c r="AT73" s="184"/>
      <c r="AU73" s="186"/>
      <c r="AV73" s="187"/>
      <c r="AW73" s="8"/>
      <c r="AX73" s="8"/>
      <c r="AY73" s="188"/>
      <c r="AZ73" s="183"/>
      <c r="BA73" s="184"/>
      <c r="BB73" s="185"/>
      <c r="BC73" s="28"/>
      <c r="BD73" s="186"/>
      <c r="BE73" s="187"/>
      <c r="BF73" s="8"/>
      <c r="BG73" s="8"/>
      <c r="BH73" s="188"/>
      <c r="BI73" s="183"/>
      <c r="BJ73" s="184"/>
      <c r="BK73" s="185"/>
      <c r="BL73" s="28"/>
      <c r="BM73" s="186"/>
      <c r="BN73" s="187"/>
      <c r="BO73" s="8"/>
      <c r="BP73" s="8"/>
      <c r="BQ73" s="188"/>
      <c r="BR73" s="183"/>
      <c r="BS73" s="184"/>
      <c r="BT73" s="185"/>
      <c r="BU73" s="184"/>
      <c r="BV73" s="186"/>
      <c r="BW73" s="187"/>
      <c r="BX73" s="8"/>
      <c r="BY73" s="8"/>
      <c r="BZ73" s="188"/>
      <c r="CA73" s="183"/>
      <c r="CB73" s="184"/>
      <c r="CC73" s="185"/>
      <c r="CD73" s="184"/>
      <c r="CE73" s="186"/>
      <c r="CF73" s="187"/>
      <c r="CG73" s="8"/>
      <c r="CH73" s="8"/>
      <c r="CI73" s="188"/>
      <c r="CJ73" s="183"/>
      <c r="CK73" s="184"/>
      <c r="CL73" s="185"/>
      <c r="CM73" s="184"/>
      <c r="CN73" s="186"/>
      <c r="CO73" s="187"/>
      <c r="CP73" s="8"/>
      <c r="CQ73" s="8"/>
      <c r="CR73" s="188"/>
      <c r="CS73" s="183"/>
      <c r="CT73" s="184"/>
      <c r="CU73" s="189"/>
      <c r="CV73" s="28"/>
      <c r="CW73" s="190"/>
      <c r="CX73" s="187"/>
      <c r="CY73" s="8"/>
      <c r="CZ73" s="8"/>
      <c r="DA73" s="188"/>
      <c r="DB73" s="183"/>
      <c r="DC73" s="184"/>
      <c r="DD73" s="185"/>
      <c r="DE73" s="184"/>
      <c r="DF73" s="186"/>
      <c r="DG73" s="187"/>
      <c r="DH73" s="8"/>
      <c r="DI73" s="8"/>
      <c r="DJ73" s="188"/>
      <c r="DK73" s="183"/>
      <c r="DL73" s="184"/>
      <c r="DM73" s="189"/>
      <c r="DN73" s="28"/>
      <c r="DO73" s="190"/>
      <c r="DP73" s="187"/>
      <c r="DQ73" s="8"/>
      <c r="DR73" s="8"/>
      <c r="DS73" s="188"/>
      <c r="DT73" s="183"/>
      <c r="DU73" s="184"/>
      <c r="DV73" s="185"/>
      <c r="DW73" s="184"/>
      <c r="DX73" s="186"/>
      <c r="DY73" s="187"/>
      <c r="DZ73" s="8"/>
      <c r="EA73" s="8"/>
      <c r="EB73" s="188"/>
      <c r="EC73" s="183"/>
      <c r="ED73" s="184"/>
      <c r="EE73" s="189"/>
      <c r="EF73" s="28"/>
      <c r="EG73" s="190"/>
      <c r="EH73" s="187"/>
      <c r="EI73" s="8"/>
      <c r="EJ73" s="8"/>
      <c r="EK73" s="188"/>
      <c r="EL73" s="183"/>
      <c r="EM73" s="184"/>
      <c r="EN73" s="189"/>
      <c r="EO73" s="28"/>
      <c r="EP73" s="190"/>
      <c r="EQ73" s="187"/>
      <c r="ER73" s="8"/>
      <c r="ES73" s="8"/>
      <c r="ET73" s="188"/>
      <c r="EU73" s="183"/>
      <c r="EV73" s="184"/>
      <c r="EW73" s="185"/>
      <c r="EX73" s="184"/>
      <c r="EY73" s="186"/>
      <c r="EZ73" s="187"/>
      <c r="FA73" s="8"/>
      <c r="FB73" s="8"/>
      <c r="FC73" s="188"/>
      <c r="FD73" s="183"/>
      <c r="FE73" s="184"/>
      <c r="FF73" s="185"/>
      <c r="FG73" s="184"/>
      <c r="FH73" s="186"/>
      <c r="FI73" s="187"/>
      <c r="FJ73" s="8"/>
      <c r="FK73" s="8"/>
      <c r="FL73" s="188"/>
      <c r="FM73" s="183"/>
      <c r="FN73" s="184"/>
      <c r="FO73" s="185"/>
      <c r="FP73" s="184"/>
      <c r="FQ73" s="186"/>
      <c r="FR73" s="187"/>
      <c r="FS73" s="8"/>
      <c r="FT73" s="8"/>
      <c r="FU73" s="188"/>
      <c r="FV73" s="183"/>
      <c r="FW73" s="184"/>
      <c r="FX73" s="185"/>
      <c r="FY73" s="184"/>
      <c r="FZ73" s="186"/>
      <c r="GA73" s="187"/>
      <c r="GB73" s="8"/>
      <c r="GC73" s="8"/>
      <c r="GD73" s="188"/>
      <c r="GE73" s="183"/>
      <c r="GF73" s="184"/>
      <c r="GG73" s="185"/>
      <c r="GH73" s="184"/>
      <c r="GI73" s="186"/>
      <c r="GJ73" s="187"/>
      <c r="GK73" s="8"/>
      <c r="GL73" s="8"/>
      <c r="GM73" s="188"/>
      <c r="GN73" s="183"/>
      <c r="GO73" s="184"/>
      <c r="GP73" s="185"/>
      <c r="GQ73" s="184"/>
      <c r="GR73" s="186"/>
      <c r="GS73" s="187"/>
      <c r="GT73" s="187"/>
      <c r="GU73" s="29"/>
      <c r="GV73" s="191"/>
      <c r="GW73" s="31"/>
      <c r="GX73" s="31"/>
      <c r="GY73" s="387"/>
      <c r="GZ73" s="33"/>
    </row>
    <row r="74" spans="1:208" x14ac:dyDescent="0.25">
      <c r="A74"/>
      <c r="D74" s="35"/>
      <c r="E74" s="36"/>
      <c r="F74" s="37"/>
      <c r="G74" s="38"/>
      <c r="H74" s="39"/>
      <c r="I74" s="40"/>
      <c r="J74" s="177"/>
      <c r="K74" s="452"/>
      <c r="P74" s="27"/>
      <c r="Q74" s="180"/>
      <c r="R74" s="180"/>
      <c r="S74" s="180"/>
      <c r="T74" s="39">
        <f t="shared" si="6"/>
        <v>0</v>
      </c>
      <c r="U74" s="181"/>
      <c r="V74" s="182"/>
      <c r="W74" s="30"/>
      <c r="X74" s="8"/>
      <c r="Y74" s="183"/>
      <c r="Z74" s="184"/>
      <c r="AA74" s="185"/>
      <c r="AB74" s="184"/>
      <c r="AC74" s="186"/>
      <c r="AD74" s="187"/>
      <c r="AE74" s="8"/>
      <c r="AF74" s="8"/>
      <c r="AG74" s="188"/>
      <c r="AH74" s="183"/>
      <c r="AI74" s="184"/>
      <c r="AJ74" s="185"/>
      <c r="AK74" s="28"/>
      <c r="AL74" s="186"/>
      <c r="AM74" s="187"/>
      <c r="AN74" s="8"/>
      <c r="AO74" s="8"/>
      <c r="AP74" s="188"/>
      <c r="AQ74" s="183"/>
      <c r="AR74" s="184"/>
      <c r="AS74" s="185"/>
      <c r="AT74" s="184"/>
      <c r="AU74" s="186"/>
      <c r="AV74" s="187"/>
      <c r="AW74" s="8"/>
      <c r="AX74" s="8"/>
      <c r="AY74" s="188"/>
      <c r="AZ74" s="183"/>
      <c r="BA74" s="184"/>
      <c r="BB74" s="185"/>
      <c r="BC74" s="28"/>
      <c r="BD74" s="186"/>
      <c r="BE74" s="187"/>
      <c r="BF74" s="8"/>
      <c r="BG74" s="8"/>
      <c r="BH74" s="188"/>
      <c r="BI74" s="183"/>
      <c r="BJ74" s="184"/>
      <c r="BK74" s="185"/>
      <c r="BL74" s="28"/>
      <c r="BM74" s="186"/>
      <c r="BN74" s="187"/>
      <c r="BO74" s="8"/>
      <c r="BP74" s="8"/>
      <c r="BQ74" s="188"/>
      <c r="BR74" s="183"/>
      <c r="BS74" s="184"/>
      <c r="BT74" s="185"/>
      <c r="BU74" s="184"/>
      <c r="BV74" s="186"/>
      <c r="BW74" s="187"/>
      <c r="BX74" s="8"/>
      <c r="BY74" s="8"/>
      <c r="BZ74" s="188"/>
      <c r="CA74" s="183"/>
      <c r="CB74" s="184"/>
      <c r="CC74" s="185"/>
      <c r="CD74" s="184"/>
      <c r="CE74" s="186"/>
      <c r="CF74" s="187"/>
      <c r="CG74" s="8"/>
      <c r="CH74" s="8"/>
      <c r="CI74" s="188"/>
      <c r="CJ74" s="183"/>
      <c r="CK74" s="184"/>
      <c r="CL74" s="185"/>
      <c r="CM74" s="184"/>
      <c r="CN74" s="186"/>
      <c r="CO74" s="187"/>
      <c r="CP74" s="8"/>
      <c r="CQ74" s="8"/>
      <c r="CR74" s="188"/>
      <c r="CS74" s="183"/>
      <c r="CT74" s="184"/>
      <c r="CU74" s="189"/>
      <c r="CV74" s="28"/>
      <c r="CW74" s="190"/>
      <c r="CX74" s="187"/>
      <c r="CY74" s="8"/>
      <c r="CZ74" s="8"/>
      <c r="DA74" s="188"/>
      <c r="DB74" s="183"/>
      <c r="DC74" s="184"/>
      <c r="DD74" s="185"/>
      <c r="DE74" s="184"/>
      <c r="DF74" s="186"/>
      <c r="DG74" s="187"/>
      <c r="DH74" s="8"/>
      <c r="DI74" s="8"/>
      <c r="DJ74" s="188"/>
      <c r="DK74" s="183"/>
      <c r="DL74" s="184"/>
      <c r="DM74" s="189"/>
      <c r="DN74" s="28"/>
      <c r="DO74" s="190"/>
      <c r="DP74" s="187"/>
      <c r="DQ74" s="8"/>
      <c r="DR74" s="8"/>
      <c r="DS74" s="188"/>
      <c r="DT74" s="183"/>
      <c r="DU74" s="184"/>
      <c r="DV74" s="185"/>
      <c r="DW74" s="184"/>
      <c r="DX74" s="186"/>
      <c r="DY74" s="187"/>
      <c r="DZ74" s="8"/>
      <c r="EA74" s="8"/>
      <c r="EB74" s="188"/>
      <c r="EC74" s="183"/>
      <c r="ED74" s="184"/>
      <c r="EE74" s="189"/>
      <c r="EF74" s="28"/>
      <c r="EG74" s="190"/>
      <c r="EH74" s="187"/>
      <c r="EI74" s="8"/>
      <c r="EJ74" s="8"/>
      <c r="EK74" s="188"/>
      <c r="EL74" s="183"/>
      <c r="EM74" s="184"/>
      <c r="EN74" s="189"/>
      <c r="EO74" s="28"/>
      <c r="EP74" s="190"/>
      <c r="EQ74" s="187"/>
      <c r="ER74" s="8"/>
      <c r="ES74" s="8"/>
      <c r="ET74" s="188"/>
      <c r="EU74" s="183"/>
      <c r="EV74" s="184"/>
      <c r="EW74" s="185"/>
      <c r="EX74" s="184"/>
      <c r="EY74" s="186"/>
      <c r="EZ74" s="187"/>
      <c r="FA74" s="8"/>
      <c r="FB74" s="8"/>
      <c r="FC74" s="188"/>
      <c r="FD74" s="183"/>
      <c r="FE74" s="184"/>
      <c r="FF74" s="185"/>
      <c r="FG74" s="184"/>
      <c r="FH74" s="186"/>
      <c r="FI74" s="187"/>
      <c r="FJ74" s="8"/>
      <c r="FK74" s="8"/>
      <c r="FL74" s="188"/>
      <c r="FM74" s="183"/>
      <c r="FN74" s="184"/>
      <c r="FO74" s="185"/>
      <c r="FP74" s="184"/>
      <c r="FQ74" s="186"/>
      <c r="FR74" s="187"/>
      <c r="FS74" s="8"/>
      <c r="FT74" s="8"/>
      <c r="FU74" s="188"/>
      <c r="FV74" s="183"/>
      <c r="FW74" s="184"/>
      <c r="FX74" s="185"/>
      <c r="FY74" s="184"/>
      <c r="FZ74" s="186"/>
      <c r="GA74" s="187"/>
      <c r="GB74" s="8"/>
      <c r="GC74" s="8"/>
      <c r="GD74" s="188"/>
      <c r="GE74" s="183"/>
      <c r="GF74" s="184"/>
      <c r="GG74" s="185"/>
      <c r="GH74" s="184"/>
      <c r="GI74" s="186"/>
      <c r="GJ74" s="187"/>
      <c r="GK74" s="8"/>
      <c r="GL74" s="8"/>
      <c r="GM74" s="188"/>
      <c r="GN74" s="183"/>
      <c r="GO74" s="184"/>
      <c r="GP74" s="185"/>
      <c r="GQ74" s="184"/>
      <c r="GR74" s="186"/>
      <c r="GS74" s="187"/>
      <c r="GT74" s="187"/>
      <c r="GU74" s="29"/>
      <c r="GV74" s="191"/>
      <c r="GW74" s="31"/>
      <c r="GX74" s="31"/>
      <c r="GY74" s="387"/>
      <c r="GZ74" s="33"/>
    </row>
    <row r="75" spans="1:208" ht="16.5" thickBot="1" x14ac:dyDescent="0.3">
      <c r="A75"/>
      <c r="D75" s="35"/>
      <c r="E75" s="36"/>
      <c r="F75" s="37"/>
      <c r="G75" s="38"/>
      <c r="H75" s="39"/>
      <c r="I75" s="40"/>
      <c r="J75" s="177"/>
      <c r="K75" s="452"/>
      <c r="O75" s="192"/>
      <c r="P75" s="27"/>
      <c r="Q75" s="180"/>
      <c r="R75" s="180"/>
      <c r="S75" s="180"/>
      <c r="T75" s="39">
        <f t="shared" si="6"/>
        <v>0</v>
      </c>
      <c r="U75" s="181"/>
      <c r="V75" s="182"/>
      <c r="W75" s="30"/>
      <c r="X75" s="8"/>
      <c r="Y75" s="183"/>
      <c r="Z75" s="184"/>
      <c r="AA75" s="185"/>
      <c r="AB75" s="184"/>
      <c r="AC75" s="186"/>
      <c r="AD75" s="187"/>
      <c r="AE75" s="8"/>
      <c r="AF75" s="8"/>
      <c r="AG75" s="188"/>
      <c r="AH75" s="183"/>
      <c r="AI75" s="184"/>
      <c r="AJ75" s="185"/>
      <c r="AK75" s="28"/>
      <c r="AL75" s="186"/>
      <c r="AM75" s="187"/>
      <c r="AN75" s="8"/>
      <c r="AO75" s="8"/>
      <c r="AP75" s="188"/>
      <c r="AQ75" s="183"/>
      <c r="AR75" s="184"/>
      <c r="AS75" s="185"/>
      <c r="AT75" s="184"/>
      <c r="AU75" s="186"/>
      <c r="AV75" s="187"/>
      <c r="AW75" s="8"/>
      <c r="AX75" s="8"/>
      <c r="AY75" s="188"/>
      <c r="AZ75" s="183"/>
      <c r="BA75" s="184"/>
      <c r="BB75" s="185"/>
      <c r="BC75" s="28"/>
      <c r="BD75" s="186"/>
      <c r="BE75" s="187"/>
      <c r="BF75" s="8"/>
      <c r="BG75" s="8"/>
      <c r="BH75" s="188"/>
      <c r="BI75" s="183"/>
      <c r="BJ75" s="184"/>
      <c r="BK75" s="185"/>
      <c r="BL75" s="28"/>
      <c r="BM75" s="186"/>
      <c r="BN75" s="187"/>
      <c r="BO75" s="8"/>
      <c r="BP75" s="8"/>
      <c r="BQ75" s="188"/>
      <c r="BR75" s="183"/>
      <c r="BS75" s="184"/>
      <c r="BT75" s="185"/>
      <c r="BU75" s="184"/>
      <c r="BV75" s="186"/>
      <c r="BW75" s="187"/>
      <c r="BX75" s="8"/>
      <c r="BY75" s="8"/>
      <c r="BZ75" s="188"/>
      <c r="CA75" s="183"/>
      <c r="CB75" s="184"/>
      <c r="CC75" s="185"/>
      <c r="CD75" s="184"/>
      <c r="CE75" s="186"/>
      <c r="CF75" s="187"/>
      <c r="CG75" s="8"/>
      <c r="CH75" s="8"/>
      <c r="CI75" s="188"/>
      <c r="CJ75" s="183"/>
      <c r="CK75" s="184"/>
      <c r="CL75" s="185"/>
      <c r="CM75" s="184"/>
      <c r="CN75" s="186"/>
      <c r="CO75" s="187"/>
      <c r="CP75" s="8"/>
      <c r="CQ75" s="8"/>
      <c r="CR75" s="188"/>
      <c r="CS75" s="183"/>
      <c r="CT75" s="184"/>
      <c r="CU75" s="189"/>
      <c r="CV75" s="28"/>
      <c r="CW75" s="190"/>
      <c r="CX75" s="187"/>
      <c r="CY75" s="8"/>
      <c r="CZ75" s="8"/>
      <c r="DA75" s="188"/>
      <c r="DB75" s="183"/>
      <c r="DC75" s="184"/>
      <c r="DD75" s="185"/>
      <c r="DE75" s="184"/>
      <c r="DF75" s="186"/>
      <c r="DG75" s="187"/>
      <c r="DH75" s="8"/>
      <c r="DI75" s="8"/>
      <c r="DJ75" s="188"/>
      <c r="DK75" s="183"/>
      <c r="DL75" s="184"/>
      <c r="DM75" s="189"/>
      <c r="DN75" s="28"/>
      <c r="DO75" s="190"/>
      <c r="DP75" s="187"/>
      <c r="DQ75" s="8"/>
      <c r="DR75" s="8"/>
      <c r="DS75" s="188"/>
      <c r="DT75" s="183"/>
      <c r="DU75" s="184"/>
      <c r="DV75" s="185"/>
      <c r="DW75" s="184"/>
      <c r="DX75" s="186"/>
      <c r="DY75" s="187"/>
      <c r="DZ75" s="8"/>
      <c r="EA75" s="8"/>
      <c r="EB75" s="188"/>
      <c r="EC75" s="183"/>
      <c r="ED75" s="184"/>
      <c r="EE75" s="189"/>
      <c r="EF75" s="28"/>
      <c r="EG75" s="190"/>
      <c r="EH75" s="187"/>
      <c r="EI75" s="8"/>
      <c r="EJ75" s="8"/>
      <c r="EK75" s="188"/>
      <c r="EL75" s="183"/>
      <c r="EM75" s="184"/>
      <c r="EN75" s="189"/>
      <c r="EO75" s="28"/>
      <c r="EP75" s="190"/>
      <c r="EQ75" s="187"/>
      <c r="ER75" s="8"/>
      <c r="ES75" s="8"/>
      <c r="ET75" s="188"/>
      <c r="EU75" s="183"/>
      <c r="EV75" s="184"/>
      <c r="EW75" s="185"/>
      <c r="EX75" s="184"/>
      <c r="EY75" s="186"/>
      <c r="EZ75" s="187"/>
      <c r="FA75" s="8"/>
      <c r="FB75" s="8"/>
      <c r="FC75" s="188"/>
      <c r="FD75" s="183"/>
      <c r="FE75" s="184"/>
      <c r="FF75" s="185"/>
      <c r="FG75" s="184"/>
      <c r="FH75" s="186"/>
      <c r="FI75" s="187"/>
      <c r="FJ75" s="8"/>
      <c r="FK75" s="8"/>
      <c r="FL75" s="188"/>
      <c r="FM75" s="183"/>
      <c r="FN75" s="184"/>
      <c r="FO75" s="185"/>
      <c r="FP75" s="184"/>
      <c r="FQ75" s="186"/>
      <c r="FR75" s="187"/>
      <c r="FS75" s="8"/>
      <c r="FT75" s="8"/>
      <c r="FU75" s="188"/>
      <c r="FV75" s="183"/>
      <c r="FW75" s="184"/>
      <c r="FX75" s="185"/>
      <c r="FY75" s="184"/>
      <c r="FZ75" s="186"/>
      <c r="GA75" s="187"/>
      <c r="GB75" s="8"/>
      <c r="GC75" s="8"/>
      <c r="GD75" s="188"/>
      <c r="GE75" s="183"/>
      <c r="GF75" s="184"/>
      <c r="GG75" s="185"/>
      <c r="GH75" s="184"/>
      <c r="GI75" s="186"/>
      <c r="GJ75" s="187"/>
      <c r="GK75" s="8"/>
      <c r="GL75" s="8"/>
      <c r="GM75" s="188"/>
      <c r="GN75" s="183"/>
      <c r="GO75" s="184"/>
      <c r="GP75" s="185"/>
      <c r="GQ75" s="184"/>
      <c r="GR75" s="186"/>
      <c r="GS75" s="187"/>
      <c r="GT75" s="187"/>
      <c r="GU75" s="29"/>
      <c r="GV75" s="191"/>
      <c r="GW75" s="31"/>
      <c r="GX75" s="31"/>
      <c r="GY75" s="387"/>
      <c r="GZ75" s="33"/>
    </row>
    <row r="76" spans="1:208" ht="20.25" thickTop="1" thickBot="1" x14ac:dyDescent="0.35">
      <c r="A76"/>
      <c r="D76" s="35"/>
      <c r="E76" s="36"/>
      <c r="F76" s="37"/>
      <c r="G76" s="38"/>
      <c r="H76" s="39"/>
      <c r="I76" s="40"/>
      <c r="J76" s="177"/>
      <c r="K76" s="452"/>
      <c r="M76" s="870" t="s">
        <v>28</v>
      </c>
      <c r="N76" s="871"/>
      <c r="O76" s="872">
        <f>SUM(O9:O75)</f>
        <v>602872.21</v>
      </c>
      <c r="P76" s="193"/>
      <c r="Q76" s="180"/>
      <c r="R76" s="194"/>
      <c r="S76" s="180"/>
      <c r="T76" s="39">
        <f t="shared" si="6"/>
        <v>0</v>
      </c>
      <c r="U76" s="181"/>
      <c r="V76" s="182"/>
      <c r="W76" s="30"/>
      <c r="X76" s="195"/>
      <c r="Y76" s="196"/>
      <c r="Z76" s="197"/>
      <c r="AA76" s="198"/>
      <c r="AB76" s="197"/>
      <c r="AC76" s="199"/>
      <c r="AD76" s="200"/>
      <c r="AE76" s="195"/>
      <c r="AF76" s="195"/>
      <c r="AG76" s="201"/>
      <c r="AH76" s="196"/>
      <c r="AI76" s="197"/>
      <c r="AJ76" s="198"/>
      <c r="AK76" s="202"/>
      <c r="AL76" s="199"/>
      <c r="AM76" s="200"/>
      <c r="AN76" s="195"/>
      <c r="AO76" s="195"/>
      <c r="AP76" s="201"/>
      <c r="AQ76" s="196"/>
      <c r="AR76" s="197"/>
      <c r="AS76" s="198"/>
      <c r="AT76" s="197"/>
      <c r="AU76" s="199"/>
      <c r="AV76" s="200"/>
      <c r="AW76" s="195"/>
      <c r="AX76" s="195"/>
      <c r="AY76" s="201"/>
      <c r="AZ76" s="196"/>
      <c r="BA76" s="197"/>
      <c r="BB76" s="198"/>
      <c r="BC76" s="202"/>
      <c r="BD76" s="199"/>
      <c r="BE76" s="200"/>
      <c r="BF76" s="195"/>
      <c r="BG76" s="195"/>
      <c r="BH76" s="201"/>
      <c r="BI76" s="196"/>
      <c r="BJ76" s="197"/>
      <c r="BK76" s="198"/>
      <c r="BL76" s="202"/>
      <c r="BM76" s="199"/>
      <c r="BN76" s="200"/>
      <c r="BO76" s="195"/>
      <c r="BP76" s="195"/>
      <c r="BQ76" s="201"/>
      <c r="BR76" s="196"/>
      <c r="BS76" s="197"/>
      <c r="BT76" s="198"/>
      <c r="BU76" s="197"/>
      <c r="BV76" s="199"/>
      <c r="BW76" s="200"/>
      <c r="BX76" s="195"/>
      <c r="BY76" s="195"/>
      <c r="BZ76" s="201"/>
      <c r="CA76" s="196"/>
      <c r="CB76" s="197"/>
      <c r="CC76" s="198"/>
      <c r="CD76" s="197"/>
      <c r="CE76" s="199"/>
      <c r="CF76" s="200"/>
      <c r="CG76" s="195"/>
      <c r="CH76" s="195"/>
      <c r="CI76" s="201"/>
      <c r="CJ76" s="196"/>
      <c r="CK76" s="197"/>
      <c r="CL76" s="198"/>
      <c r="CM76" s="197"/>
      <c r="CN76" s="199"/>
      <c r="CO76" s="200"/>
      <c r="CP76" s="195"/>
      <c r="CQ76" s="195"/>
      <c r="CR76" s="201"/>
      <c r="CS76" s="196"/>
      <c r="CT76" s="197"/>
      <c r="CU76" s="203"/>
      <c r="CV76" s="202"/>
      <c r="CW76" s="204"/>
      <c r="CX76" s="200"/>
      <c r="CY76" s="195"/>
      <c r="CZ76" s="195"/>
      <c r="DA76" s="201"/>
      <c r="DB76" s="196"/>
      <c r="DC76" s="197"/>
      <c r="DD76" s="198"/>
      <c r="DE76" s="197"/>
      <c r="DF76" s="199"/>
      <c r="DG76" s="200"/>
      <c r="DH76" s="195"/>
      <c r="DI76" s="195"/>
      <c r="DJ76" s="201"/>
      <c r="DK76" s="196"/>
      <c r="DL76" s="197"/>
      <c r="DM76" s="203"/>
      <c r="DN76" s="202"/>
      <c r="DO76" s="204"/>
      <c r="DP76" s="200"/>
      <c r="DQ76" s="195"/>
      <c r="DR76" s="195"/>
      <c r="DS76" s="201"/>
      <c r="DT76" s="196"/>
      <c r="DU76" s="197"/>
      <c r="DV76" s="198"/>
      <c r="DW76" s="197"/>
      <c r="DX76" s="199"/>
      <c r="DY76" s="200"/>
      <c r="DZ76" s="195"/>
      <c r="EA76" s="195"/>
      <c r="EB76" s="201"/>
      <c r="EC76" s="196"/>
      <c r="ED76" s="197"/>
      <c r="EE76" s="203"/>
      <c r="EF76" s="202"/>
      <c r="EG76" s="204"/>
      <c r="EH76" s="200"/>
      <c r="EI76" s="195"/>
      <c r="EJ76" s="195"/>
      <c r="EK76" s="201"/>
      <c r="EL76" s="196"/>
      <c r="EM76" s="197"/>
      <c r="EN76" s="203"/>
      <c r="EO76" s="202"/>
      <c r="EP76" s="204"/>
      <c r="EQ76" s="200"/>
      <c r="ER76" s="195"/>
      <c r="ES76" s="195"/>
      <c r="ET76" s="201"/>
      <c r="EU76" s="196"/>
      <c r="EV76" s="197"/>
      <c r="EW76" s="198"/>
      <c r="EX76" s="197"/>
      <c r="EY76" s="199"/>
      <c r="EZ76" s="200"/>
      <c r="FA76" s="195"/>
      <c r="FB76" s="195"/>
      <c r="FC76" s="201"/>
      <c r="FD76" s="196"/>
      <c r="FE76" s="197"/>
      <c r="FF76" s="198"/>
      <c r="FG76" s="197"/>
      <c r="FH76" s="199"/>
      <c r="FI76" s="200"/>
      <c r="FJ76" s="195"/>
      <c r="FK76" s="195"/>
      <c r="FL76" s="201"/>
      <c r="FM76" s="196"/>
      <c r="FN76" s="197"/>
      <c r="FO76" s="198"/>
      <c r="FP76" s="197"/>
      <c r="FQ76" s="199"/>
      <c r="FR76" s="200"/>
      <c r="FS76" s="195"/>
      <c r="FT76" s="195"/>
      <c r="FU76" s="201"/>
      <c r="FV76" s="196"/>
      <c r="FW76" s="197"/>
      <c r="FX76" s="198"/>
      <c r="FY76" s="197"/>
      <c r="FZ76" s="199"/>
      <c r="GA76" s="200"/>
      <c r="GB76" s="195"/>
      <c r="GC76" s="195"/>
      <c r="GD76" s="201"/>
      <c r="GE76" s="196"/>
      <c r="GF76" s="197"/>
      <c r="GG76" s="198"/>
      <c r="GH76" s="197"/>
      <c r="GI76" s="199"/>
      <c r="GJ76" s="200"/>
      <c r="GK76" s="195"/>
      <c r="GL76" s="195"/>
      <c r="GM76" s="201"/>
      <c r="GN76" s="196"/>
      <c r="GO76" s="197"/>
      <c r="GP76" s="198"/>
      <c r="GQ76" s="197"/>
      <c r="GR76" s="199"/>
      <c r="GS76" s="200"/>
      <c r="GT76" s="187"/>
      <c r="GU76" s="29"/>
      <c r="GV76" s="205"/>
      <c r="GZ76" s="33"/>
    </row>
    <row r="77" spans="1:208" ht="19.5" thickBot="1" x14ac:dyDescent="0.3">
      <c r="A77"/>
      <c r="D77" s="35"/>
      <c r="E77" s="36"/>
      <c r="F77" s="37"/>
      <c r="G77" s="38"/>
      <c r="H77" s="39"/>
      <c r="I77" s="40"/>
      <c r="J77" s="208"/>
      <c r="K77" s="452"/>
      <c r="O77" s="873"/>
      <c r="P77" s="193"/>
      <c r="Q77" s="180"/>
      <c r="R77" s="194"/>
      <c r="S77" s="180"/>
      <c r="T77" s="39">
        <f t="shared" si="6"/>
        <v>0</v>
      </c>
      <c r="U77" s="181"/>
      <c r="V77" s="182"/>
      <c r="W77" s="30"/>
      <c r="X77" s="195"/>
      <c r="Y77" s="196"/>
      <c r="Z77" s="197"/>
      <c r="AA77" s="198"/>
      <c r="AB77" s="197"/>
      <c r="AC77" s="199"/>
      <c r="AD77" s="200"/>
      <c r="AE77" s="195"/>
      <c r="AF77" s="195"/>
      <c r="AG77" s="201"/>
      <c r="AH77" s="196"/>
      <c r="AI77" s="197"/>
      <c r="AJ77" s="198"/>
      <c r="AK77" s="202"/>
      <c r="AL77" s="199"/>
      <c r="AM77" s="200"/>
      <c r="AN77" s="195"/>
      <c r="AO77" s="195"/>
      <c r="AP77" s="201"/>
      <c r="AQ77" s="196"/>
      <c r="AR77" s="197"/>
      <c r="AS77" s="198"/>
      <c r="AT77" s="197"/>
      <c r="AU77" s="199"/>
      <c r="AV77" s="200"/>
      <c r="AW77" s="195"/>
      <c r="AX77" s="195"/>
      <c r="AY77" s="201"/>
      <c r="AZ77" s="196"/>
      <c r="BA77" s="197"/>
      <c r="BB77" s="198"/>
      <c r="BC77" s="202"/>
      <c r="BD77" s="199"/>
      <c r="BE77" s="200"/>
      <c r="BF77" s="195"/>
      <c r="BG77" s="195"/>
      <c r="BH77" s="201"/>
      <c r="BI77" s="196"/>
      <c r="BJ77" s="197"/>
      <c r="BK77" s="198"/>
      <c r="BL77" s="202"/>
      <c r="BM77" s="199"/>
      <c r="BN77" s="200"/>
      <c r="BO77" s="195"/>
      <c r="BP77" s="195"/>
      <c r="BQ77" s="201"/>
      <c r="BR77" s="196"/>
      <c r="BS77" s="197"/>
      <c r="BT77" s="198"/>
      <c r="BU77" s="197"/>
      <c r="BV77" s="199"/>
      <c r="BW77" s="200"/>
      <c r="BX77" s="195"/>
      <c r="BY77" s="195"/>
      <c r="BZ77" s="201"/>
      <c r="CA77" s="196"/>
      <c r="CB77" s="197"/>
      <c r="CC77" s="198"/>
      <c r="CD77" s="197"/>
      <c r="CE77" s="199"/>
      <c r="CF77" s="200"/>
      <c r="CG77" s="195"/>
      <c r="CH77" s="195"/>
      <c r="CI77" s="201"/>
      <c r="CJ77" s="196"/>
      <c r="CK77" s="197"/>
      <c r="CL77" s="198"/>
      <c r="CM77" s="197"/>
      <c r="CN77" s="199"/>
      <c r="CO77" s="200"/>
      <c r="CP77" s="195"/>
      <c r="CQ77" s="195"/>
      <c r="CR77" s="201"/>
      <c r="CS77" s="196"/>
      <c r="CT77" s="197"/>
      <c r="CU77" s="203"/>
      <c r="CV77" s="202"/>
      <c r="CW77" s="204"/>
      <c r="CX77" s="200"/>
      <c r="CY77" s="195"/>
      <c r="CZ77" s="195"/>
      <c r="DA77" s="201"/>
      <c r="DB77" s="196"/>
      <c r="DC77" s="197"/>
      <c r="DD77" s="198"/>
      <c r="DE77" s="197"/>
      <c r="DF77" s="199"/>
      <c r="DG77" s="200"/>
      <c r="DH77" s="195"/>
      <c r="DI77" s="195"/>
      <c r="DJ77" s="201"/>
      <c r="DK77" s="196"/>
      <c r="DL77" s="197"/>
      <c r="DM77" s="203"/>
      <c r="DN77" s="202"/>
      <c r="DO77" s="204"/>
      <c r="DP77" s="200"/>
      <c r="DQ77" s="195"/>
      <c r="DR77" s="195"/>
      <c r="DS77" s="201"/>
      <c r="DT77" s="196"/>
      <c r="DU77" s="197"/>
      <c r="DV77" s="198"/>
      <c r="DW77" s="197"/>
      <c r="DX77" s="199"/>
      <c r="DY77" s="200"/>
      <c r="DZ77" s="195"/>
      <c r="EA77" s="195"/>
      <c r="EB77" s="201"/>
      <c r="EC77" s="196"/>
      <c r="ED77" s="197"/>
      <c r="EE77" s="203"/>
      <c r="EF77" s="202"/>
      <c r="EG77" s="204"/>
      <c r="EH77" s="200"/>
      <c r="EI77" s="195"/>
      <c r="EJ77" s="195"/>
      <c r="EK77" s="201"/>
      <c r="EL77" s="196"/>
      <c r="EM77" s="197"/>
      <c r="EN77" s="203"/>
      <c r="EO77" s="202"/>
      <c r="EP77" s="204"/>
      <c r="EQ77" s="200"/>
      <c r="ER77" s="195"/>
      <c r="ES77" s="195"/>
      <c r="ET77" s="201"/>
      <c r="EU77" s="196"/>
      <c r="EV77" s="197"/>
      <c r="EW77" s="198"/>
      <c r="EX77" s="197"/>
      <c r="EY77" s="199"/>
      <c r="EZ77" s="200"/>
      <c r="FA77" s="195"/>
      <c r="FB77" s="195"/>
      <c r="FC77" s="201"/>
      <c r="FD77" s="196"/>
      <c r="FE77" s="197"/>
      <c r="FF77" s="198"/>
      <c r="FG77" s="197"/>
      <c r="FH77" s="199"/>
      <c r="FI77" s="200"/>
      <c r="FJ77" s="195"/>
      <c r="FK77" s="195"/>
      <c r="FL77" s="201"/>
      <c r="FM77" s="196"/>
      <c r="FN77" s="197"/>
      <c r="FO77" s="198"/>
      <c r="FP77" s="197"/>
      <c r="FQ77" s="199"/>
      <c r="FR77" s="200"/>
      <c r="FS77" s="195"/>
      <c r="FT77" s="195"/>
      <c r="FU77" s="201"/>
      <c r="FV77" s="196"/>
      <c r="FW77" s="197"/>
      <c r="FX77" s="198"/>
      <c r="FY77" s="197"/>
      <c r="FZ77" s="199"/>
      <c r="GA77" s="200"/>
      <c r="GB77" s="195"/>
      <c r="GC77" s="195"/>
      <c r="GD77" s="201"/>
      <c r="GE77" s="196"/>
      <c r="GF77" s="197"/>
      <c r="GG77" s="198"/>
      <c r="GH77" s="197"/>
      <c r="GI77" s="199"/>
      <c r="GJ77" s="200"/>
      <c r="GK77" s="195"/>
      <c r="GL77" s="195"/>
      <c r="GM77" s="201"/>
      <c r="GN77" s="196"/>
      <c r="GO77" s="197"/>
      <c r="GP77" s="198"/>
      <c r="GQ77" s="197"/>
      <c r="GR77" s="199"/>
      <c r="GS77" s="200"/>
      <c r="GT77" s="187"/>
      <c r="GU77" s="29"/>
      <c r="GV77" s="205"/>
      <c r="GZ77" s="33"/>
    </row>
    <row r="78" spans="1:208" ht="16.5" thickTop="1" x14ac:dyDescent="0.25">
      <c r="A78"/>
      <c r="D78" s="35"/>
      <c r="E78" s="36"/>
      <c r="F78" s="37"/>
      <c r="G78" s="38"/>
      <c r="H78" s="39"/>
      <c r="I78" s="40"/>
      <c r="J78" s="177"/>
      <c r="K78" s="452"/>
      <c r="P78" s="27"/>
      <c r="Q78" s="180"/>
      <c r="R78" s="180"/>
      <c r="S78" s="180"/>
      <c r="T78" s="39">
        <f t="shared" si="6"/>
        <v>0</v>
      </c>
      <c r="U78" s="181"/>
      <c r="V78" s="182"/>
      <c r="W78" s="30"/>
      <c r="X78" s="195"/>
      <c r="Y78" s="196"/>
      <c r="Z78" s="197"/>
      <c r="AA78" s="198"/>
      <c r="AB78" s="197"/>
      <c r="AC78" s="199"/>
      <c r="AD78" s="200"/>
      <c r="AE78" s="195"/>
      <c r="AF78" s="195"/>
      <c r="AG78" s="201"/>
      <c r="AH78" s="196"/>
      <c r="AI78" s="197"/>
      <c r="AJ78" s="198"/>
      <c r="AK78" s="202"/>
      <c r="AL78" s="199"/>
      <c r="AM78" s="200"/>
      <c r="AN78" s="195"/>
      <c r="AO78" s="195"/>
      <c r="AP78" s="201"/>
      <c r="AQ78" s="196"/>
      <c r="AR78" s="197"/>
      <c r="AS78" s="198"/>
      <c r="AT78" s="197"/>
      <c r="AU78" s="199"/>
      <c r="AV78" s="200"/>
      <c r="AW78" s="195"/>
      <c r="AX78" s="195"/>
      <c r="AY78" s="201"/>
      <c r="AZ78" s="196"/>
      <c r="BA78" s="197"/>
      <c r="BB78" s="198"/>
      <c r="BC78" s="202"/>
      <c r="BD78" s="199"/>
      <c r="BE78" s="200"/>
      <c r="BF78" s="195"/>
      <c r="BG78" s="195"/>
      <c r="BH78" s="201"/>
      <c r="BI78" s="196"/>
      <c r="BJ78" s="197"/>
      <c r="BK78" s="198"/>
      <c r="BL78" s="202"/>
      <c r="BM78" s="199"/>
      <c r="BN78" s="200"/>
      <c r="BO78" s="195"/>
      <c r="BP78" s="195"/>
      <c r="BQ78" s="201"/>
      <c r="BR78" s="196"/>
      <c r="BS78" s="197"/>
      <c r="BT78" s="198"/>
      <c r="BU78" s="197"/>
      <c r="BV78" s="199"/>
      <c r="BW78" s="200"/>
      <c r="BX78" s="195"/>
      <c r="BY78" s="195"/>
      <c r="BZ78" s="201"/>
      <c r="CA78" s="196"/>
      <c r="CB78" s="197"/>
      <c r="CC78" s="198"/>
      <c r="CD78" s="197"/>
      <c r="CE78" s="199"/>
      <c r="CF78" s="200"/>
      <c r="CG78" s="195"/>
      <c r="CH78" s="195"/>
      <c r="CI78" s="201"/>
      <c r="CJ78" s="196"/>
      <c r="CK78" s="197"/>
      <c r="CL78" s="198"/>
      <c r="CM78" s="197"/>
      <c r="CN78" s="199"/>
      <c r="CO78" s="200"/>
      <c r="CP78" s="195"/>
      <c r="CQ78" s="195"/>
      <c r="CR78" s="201"/>
      <c r="CS78" s="196"/>
      <c r="CT78" s="197"/>
      <c r="CU78" s="203"/>
      <c r="CV78" s="202"/>
      <c r="CW78" s="204"/>
      <c r="CX78" s="200"/>
      <c r="CY78" s="195"/>
      <c r="CZ78" s="195"/>
      <c r="DA78" s="201"/>
      <c r="DB78" s="196"/>
      <c r="DC78" s="197"/>
      <c r="DD78" s="198"/>
      <c r="DE78" s="197"/>
      <c r="DF78" s="199"/>
      <c r="DG78" s="200"/>
      <c r="DH78" s="195"/>
      <c r="DI78" s="195"/>
      <c r="DJ78" s="201"/>
      <c r="DK78" s="196"/>
      <c r="DL78" s="197"/>
      <c r="DM78" s="203"/>
      <c r="DN78" s="202"/>
      <c r="DO78" s="204"/>
      <c r="DP78" s="200"/>
      <c r="DQ78" s="195"/>
      <c r="DR78" s="195"/>
      <c r="DS78" s="201"/>
      <c r="DT78" s="196"/>
      <c r="DU78" s="197"/>
      <c r="DV78" s="198"/>
      <c r="DW78" s="197"/>
      <c r="DX78" s="199"/>
      <c r="DY78" s="200"/>
      <c r="DZ78" s="195"/>
      <c r="EA78" s="195"/>
      <c r="EB78" s="201"/>
      <c r="EC78" s="196"/>
      <c r="ED78" s="197"/>
      <c r="EE78" s="203"/>
      <c r="EF78" s="202"/>
      <c r="EG78" s="204"/>
      <c r="EH78" s="200"/>
      <c r="EI78" s="195"/>
      <c r="EJ78" s="195"/>
      <c r="EK78" s="201"/>
      <c r="EL78" s="196"/>
      <c r="EM78" s="197"/>
      <c r="EN78" s="203"/>
      <c r="EO78" s="202"/>
      <c r="EP78" s="204"/>
      <c r="EQ78" s="200"/>
      <c r="ER78" s="195"/>
      <c r="ES78" s="195"/>
      <c r="ET78" s="201"/>
      <c r="EU78" s="196"/>
      <c r="EV78" s="197"/>
      <c r="EW78" s="198"/>
      <c r="EX78" s="197"/>
      <c r="EY78" s="199"/>
      <c r="EZ78" s="200"/>
      <c r="FA78" s="195"/>
      <c r="FB78" s="195"/>
      <c r="FC78" s="201"/>
      <c r="FD78" s="196"/>
      <c r="FE78" s="197"/>
      <c r="FF78" s="198"/>
      <c r="FG78" s="197"/>
      <c r="FH78" s="199"/>
      <c r="FI78" s="200"/>
      <c r="FJ78" s="195"/>
      <c r="FK78" s="195"/>
      <c r="FL78" s="201"/>
      <c r="FM78" s="196"/>
      <c r="FN78" s="197"/>
      <c r="FO78" s="198"/>
      <c r="FP78" s="197"/>
      <c r="FQ78" s="199"/>
      <c r="FR78" s="200"/>
      <c r="FS78" s="195"/>
      <c r="FT78" s="195"/>
      <c r="FU78" s="201"/>
      <c r="FV78" s="196"/>
      <c r="FW78" s="197"/>
      <c r="FX78" s="198"/>
      <c r="FY78" s="197"/>
      <c r="FZ78" s="199"/>
      <c r="GA78" s="200"/>
      <c r="GB78" s="195"/>
      <c r="GC78" s="195"/>
      <c r="GD78" s="201"/>
      <c r="GE78" s="196"/>
      <c r="GF78" s="197"/>
      <c r="GG78" s="198"/>
      <c r="GH78" s="197"/>
      <c r="GI78" s="199"/>
      <c r="GJ78" s="200"/>
      <c r="GK78" s="195"/>
      <c r="GL78" s="195"/>
      <c r="GM78" s="201"/>
      <c r="GN78" s="196"/>
      <c r="GO78" s="197"/>
      <c r="GP78" s="198"/>
      <c r="GQ78" s="197"/>
      <c r="GR78" s="199"/>
      <c r="GS78" s="200"/>
      <c r="GT78" s="187"/>
      <c r="GU78" s="29"/>
      <c r="GV78" s="205"/>
      <c r="GZ78" s="33"/>
    </row>
    <row r="79" spans="1:208" ht="16.5" thickBot="1" x14ac:dyDescent="0.3">
      <c r="A79"/>
      <c r="D79" s="35"/>
      <c r="E79" s="36"/>
      <c r="F79" s="37"/>
      <c r="G79" s="38"/>
      <c r="H79" s="39"/>
      <c r="I79" s="40"/>
      <c r="J79" s="177"/>
      <c r="K79" s="452"/>
      <c r="P79" s="27"/>
      <c r="Q79" s="209"/>
      <c r="T79" s="39">
        <f t="shared" si="6"/>
        <v>0</v>
      </c>
      <c r="U79" s="210"/>
      <c r="W79" s="30"/>
      <c r="X79" s="195"/>
      <c r="Y79" s="183"/>
      <c r="Z79" s="197"/>
      <c r="AA79" s="198"/>
      <c r="AB79" s="197"/>
      <c r="AC79" s="199"/>
      <c r="AD79" s="200"/>
      <c r="AE79" s="195"/>
      <c r="AF79" s="195"/>
      <c r="AG79" s="201"/>
      <c r="AH79" s="183"/>
      <c r="AI79" s="197"/>
      <c r="AJ79" s="198"/>
      <c r="AK79" s="202"/>
      <c r="AL79" s="199"/>
      <c r="AM79" s="200"/>
      <c r="AN79" s="195"/>
      <c r="AO79" s="195"/>
      <c r="AP79" s="201"/>
      <c r="AQ79" s="183"/>
      <c r="AR79" s="197"/>
      <c r="AS79" s="198"/>
      <c r="AT79" s="197"/>
      <c r="AU79" s="199"/>
      <c r="AV79" s="200"/>
      <c r="AW79" s="195"/>
      <c r="AX79" s="195"/>
      <c r="AY79" s="201"/>
      <c r="AZ79" s="183"/>
      <c r="BA79" s="197"/>
      <c r="BB79" s="198"/>
      <c r="BC79" s="202"/>
      <c r="BD79" s="199"/>
      <c r="BE79" s="200"/>
      <c r="BF79" s="195"/>
      <c r="BG79" s="195"/>
      <c r="BH79" s="201"/>
      <c r="BI79" s="183"/>
      <c r="BJ79" s="197"/>
      <c r="BK79" s="198"/>
      <c r="BL79" s="202"/>
      <c r="BM79" s="199"/>
      <c r="BN79" s="200"/>
      <c r="BO79" s="195"/>
      <c r="BP79" s="195"/>
      <c r="BQ79" s="201"/>
      <c r="BR79" s="183"/>
      <c r="BS79" s="197"/>
      <c r="BT79" s="198"/>
      <c r="BU79" s="197"/>
      <c r="BV79" s="199"/>
      <c r="BW79" s="200"/>
      <c r="BX79" s="195"/>
      <c r="BY79" s="195"/>
      <c r="BZ79" s="201"/>
      <c r="CA79" s="183"/>
      <c r="CB79" s="197"/>
      <c r="CC79" s="198"/>
      <c r="CD79" s="197"/>
      <c r="CE79" s="199"/>
      <c r="CF79" s="200"/>
      <c r="CG79" s="195"/>
      <c r="CH79" s="195"/>
      <c r="CI79" s="201"/>
      <c r="CJ79" s="183"/>
      <c r="CK79" s="197"/>
      <c r="CL79" s="198"/>
      <c r="CM79" s="197"/>
      <c r="CN79" s="199"/>
      <c r="CO79" s="200"/>
      <c r="CP79" s="195"/>
      <c r="CQ79" s="195"/>
      <c r="CR79" s="201"/>
      <c r="CS79" s="183"/>
      <c r="CT79" s="197"/>
      <c r="CU79" s="203"/>
      <c r="CV79" s="202"/>
      <c r="CW79" s="204"/>
      <c r="CX79" s="200"/>
      <c r="CY79" s="195"/>
      <c r="CZ79" s="195"/>
      <c r="DA79" s="201"/>
      <c r="DB79" s="183"/>
      <c r="DC79" s="197"/>
      <c r="DD79" s="198"/>
      <c r="DE79" s="197"/>
      <c r="DF79" s="199"/>
      <c r="DG79" s="200"/>
      <c r="DH79" s="195"/>
      <c r="DI79" s="195"/>
      <c r="DJ79" s="201"/>
      <c r="DK79" s="183"/>
      <c r="DL79" s="197"/>
      <c r="DM79" s="203"/>
      <c r="DN79" s="202"/>
      <c r="DO79" s="204"/>
      <c r="DP79" s="200"/>
      <c r="DQ79" s="195"/>
      <c r="DR79" s="195"/>
      <c r="DS79" s="201"/>
      <c r="DT79" s="183"/>
      <c r="DU79" s="197"/>
      <c r="DV79" s="198"/>
      <c r="DW79" s="197"/>
      <c r="DX79" s="199"/>
      <c r="DY79" s="200"/>
      <c r="DZ79" s="195"/>
      <c r="EA79" s="195"/>
      <c r="EB79" s="201"/>
      <c r="EC79" s="183"/>
      <c r="ED79" s="197"/>
      <c r="EE79" s="203"/>
      <c r="EF79" s="202"/>
      <c r="EG79" s="204"/>
      <c r="EH79" s="200"/>
      <c r="EI79" s="195"/>
      <c r="EJ79" s="195"/>
      <c r="EK79" s="201"/>
      <c r="EL79" s="183"/>
      <c r="EM79" s="197"/>
      <c r="EN79" s="203"/>
      <c r="EO79" s="202"/>
      <c r="EP79" s="204"/>
      <c r="EQ79" s="200"/>
      <c r="ER79" s="195"/>
      <c r="ES79" s="195"/>
      <c r="ET79" s="201"/>
      <c r="EU79" s="183"/>
      <c r="EV79" s="197"/>
      <c r="EW79" s="198"/>
      <c r="EX79" s="197"/>
      <c r="EY79" s="199"/>
      <c r="EZ79" s="200"/>
      <c r="FA79" s="195"/>
      <c r="FB79" s="195"/>
      <c r="FC79" s="201"/>
      <c r="FD79" s="183"/>
      <c r="FE79" s="197"/>
      <c r="FF79" s="198"/>
      <c r="FG79" s="197"/>
      <c r="FH79" s="199"/>
      <c r="FI79" s="200"/>
      <c r="FJ79" s="195"/>
      <c r="FK79" s="195"/>
      <c r="FL79" s="201"/>
      <c r="FM79" s="183"/>
      <c r="FN79" s="197"/>
      <c r="FO79" s="198"/>
      <c r="FP79" s="197"/>
      <c r="FQ79" s="199"/>
      <c r="FR79" s="200"/>
      <c r="FS79" s="195"/>
      <c r="FT79" s="195"/>
      <c r="FU79" s="201"/>
      <c r="FV79" s="183"/>
      <c r="FW79" s="197"/>
      <c r="FX79" s="198"/>
      <c r="FY79" s="197"/>
      <c r="FZ79" s="199"/>
      <c r="GA79" s="200"/>
      <c r="GB79" s="195"/>
      <c r="GC79" s="195"/>
      <c r="GD79" s="201"/>
      <c r="GE79" s="183"/>
      <c r="GF79" s="197"/>
      <c r="GG79" s="198"/>
      <c r="GH79" s="197"/>
      <c r="GI79" s="199"/>
      <c r="GJ79" s="200"/>
      <c r="GK79" s="195"/>
      <c r="GL79" s="195"/>
      <c r="GM79" s="201"/>
      <c r="GN79" s="183"/>
      <c r="GO79" s="197"/>
      <c r="GP79" s="198"/>
      <c r="GQ79" s="197"/>
      <c r="GR79" s="199"/>
      <c r="GS79" s="200"/>
      <c r="GT79" s="187"/>
      <c r="GU79" s="29"/>
      <c r="GV79" s="211"/>
      <c r="GZ79" s="33"/>
    </row>
    <row r="80" spans="1:208" ht="17.25" thickTop="1" thickBot="1" x14ac:dyDescent="0.3">
      <c r="A80"/>
      <c r="D80" s="35"/>
      <c r="E80" s="36"/>
      <c r="F80" s="37"/>
      <c r="G80" s="38"/>
      <c r="H80" s="39"/>
      <c r="I80" s="40"/>
      <c r="J80" s="177"/>
      <c r="M80" s="212"/>
      <c r="N80" s="213"/>
      <c r="O80" s="874" t="s">
        <v>29</v>
      </c>
      <c r="P80" s="875"/>
      <c r="Q80" s="875"/>
      <c r="R80" s="214">
        <f>SUM(R9:R79)</f>
        <v>0</v>
      </c>
      <c r="S80" s="215"/>
      <c r="T80" s="216">
        <f>SUM(T9:T79)</f>
        <v>18245617.105000004</v>
      </c>
      <c r="U80" s="217"/>
      <c r="W80" s="218">
        <f t="shared" ref="W80:CH80" si="7">SUM(W9:W79)</f>
        <v>412211.8</v>
      </c>
      <c r="X80" s="219">
        <f t="shared" si="7"/>
        <v>0</v>
      </c>
      <c r="Y80" s="219">
        <f t="shared" si="7"/>
        <v>0</v>
      </c>
      <c r="Z80" s="219">
        <f t="shared" si="7"/>
        <v>0</v>
      </c>
      <c r="AA80" s="219">
        <f t="shared" si="7"/>
        <v>0</v>
      </c>
      <c r="AB80" s="219">
        <f t="shared" si="7"/>
        <v>0</v>
      </c>
      <c r="AC80" s="219">
        <f t="shared" si="7"/>
        <v>0</v>
      </c>
      <c r="AD80" s="219">
        <f t="shared" si="7"/>
        <v>0</v>
      </c>
      <c r="AE80" s="219">
        <f t="shared" si="7"/>
        <v>0</v>
      </c>
      <c r="AF80" s="219">
        <f t="shared" si="7"/>
        <v>0</v>
      </c>
      <c r="AG80" s="219">
        <f t="shared" si="7"/>
        <v>0</v>
      </c>
      <c r="AH80" s="219">
        <f t="shared" si="7"/>
        <v>0</v>
      </c>
      <c r="AI80" s="219">
        <f t="shared" si="7"/>
        <v>0</v>
      </c>
      <c r="AJ80" s="219">
        <f t="shared" si="7"/>
        <v>0</v>
      </c>
      <c r="AK80" s="219">
        <f t="shared" si="7"/>
        <v>0</v>
      </c>
      <c r="AL80" s="219">
        <f t="shared" si="7"/>
        <v>0</v>
      </c>
      <c r="AM80" s="219">
        <f t="shared" si="7"/>
        <v>0</v>
      </c>
      <c r="AN80" s="219">
        <f t="shared" si="7"/>
        <v>0</v>
      </c>
      <c r="AO80" s="219">
        <f t="shared" si="7"/>
        <v>0</v>
      </c>
      <c r="AP80" s="219">
        <f t="shared" si="7"/>
        <v>0</v>
      </c>
      <c r="AQ80" s="219">
        <f t="shared" si="7"/>
        <v>0</v>
      </c>
      <c r="AR80" s="219">
        <f t="shared" si="7"/>
        <v>0</v>
      </c>
      <c r="AS80" s="219">
        <f t="shared" si="7"/>
        <v>0</v>
      </c>
      <c r="AT80" s="219">
        <f t="shared" si="7"/>
        <v>0</v>
      </c>
      <c r="AU80" s="219">
        <f t="shared" si="7"/>
        <v>0</v>
      </c>
      <c r="AV80" s="219">
        <f t="shared" si="7"/>
        <v>0</v>
      </c>
      <c r="AW80" s="219">
        <f t="shared" si="7"/>
        <v>0</v>
      </c>
      <c r="AX80" s="219">
        <f t="shared" si="7"/>
        <v>0</v>
      </c>
      <c r="AY80" s="219">
        <f t="shared" si="7"/>
        <v>0</v>
      </c>
      <c r="AZ80" s="219">
        <f t="shared" si="7"/>
        <v>0</v>
      </c>
      <c r="BA80" s="219">
        <f t="shared" si="7"/>
        <v>0</v>
      </c>
      <c r="BB80" s="219">
        <f t="shared" si="7"/>
        <v>0</v>
      </c>
      <c r="BC80" s="219">
        <f t="shared" si="7"/>
        <v>0</v>
      </c>
      <c r="BD80" s="219">
        <f t="shared" si="7"/>
        <v>0</v>
      </c>
      <c r="BE80" s="219">
        <f t="shared" si="7"/>
        <v>0</v>
      </c>
      <c r="BF80" s="219">
        <f t="shared" si="7"/>
        <v>0</v>
      </c>
      <c r="BG80" s="219">
        <f t="shared" si="7"/>
        <v>0</v>
      </c>
      <c r="BH80" s="219">
        <f t="shared" si="7"/>
        <v>0</v>
      </c>
      <c r="BI80" s="219">
        <f t="shared" si="7"/>
        <v>0</v>
      </c>
      <c r="BJ80" s="219">
        <f t="shared" si="7"/>
        <v>0</v>
      </c>
      <c r="BK80" s="219">
        <f t="shared" si="7"/>
        <v>0</v>
      </c>
      <c r="BL80" s="219">
        <f t="shared" si="7"/>
        <v>0</v>
      </c>
      <c r="BM80" s="219">
        <f t="shared" si="7"/>
        <v>0</v>
      </c>
      <c r="BN80" s="219">
        <f t="shared" si="7"/>
        <v>0</v>
      </c>
      <c r="BO80" s="219">
        <f t="shared" si="7"/>
        <v>0</v>
      </c>
      <c r="BP80" s="219">
        <f t="shared" si="7"/>
        <v>0</v>
      </c>
      <c r="BQ80" s="219">
        <f t="shared" si="7"/>
        <v>0</v>
      </c>
      <c r="BR80" s="219">
        <f t="shared" si="7"/>
        <v>0</v>
      </c>
      <c r="BS80" s="219">
        <f t="shared" si="7"/>
        <v>0</v>
      </c>
      <c r="BT80" s="219">
        <f t="shared" si="7"/>
        <v>0</v>
      </c>
      <c r="BU80" s="219">
        <f t="shared" si="7"/>
        <v>0</v>
      </c>
      <c r="BV80" s="219">
        <f t="shared" si="7"/>
        <v>0</v>
      </c>
      <c r="BW80" s="219">
        <f t="shared" si="7"/>
        <v>0</v>
      </c>
      <c r="BX80" s="219">
        <f t="shared" si="7"/>
        <v>0</v>
      </c>
      <c r="BY80" s="219">
        <f t="shared" si="7"/>
        <v>0</v>
      </c>
      <c r="BZ80" s="219">
        <f t="shared" si="7"/>
        <v>0</v>
      </c>
      <c r="CA80" s="219">
        <f t="shared" si="7"/>
        <v>0</v>
      </c>
      <c r="CB80" s="219">
        <f t="shared" si="7"/>
        <v>0</v>
      </c>
      <c r="CC80" s="219">
        <f t="shared" si="7"/>
        <v>0</v>
      </c>
      <c r="CD80" s="219">
        <f t="shared" si="7"/>
        <v>0</v>
      </c>
      <c r="CE80" s="219">
        <f t="shared" si="7"/>
        <v>0</v>
      </c>
      <c r="CF80" s="219">
        <f t="shared" si="7"/>
        <v>0</v>
      </c>
      <c r="CG80" s="219">
        <f t="shared" si="7"/>
        <v>0</v>
      </c>
      <c r="CH80" s="219">
        <f t="shared" si="7"/>
        <v>0</v>
      </c>
      <c r="CI80" s="219">
        <f t="shared" ref="CI80:ET80" si="8">SUM(CI9:CI79)</f>
        <v>0</v>
      </c>
      <c r="CJ80" s="219">
        <f t="shared" si="8"/>
        <v>0</v>
      </c>
      <c r="CK80" s="219">
        <f t="shared" si="8"/>
        <v>0</v>
      </c>
      <c r="CL80" s="219">
        <f t="shared" si="8"/>
        <v>0</v>
      </c>
      <c r="CM80" s="219">
        <f t="shared" si="8"/>
        <v>0</v>
      </c>
      <c r="CN80" s="219">
        <f t="shared" si="8"/>
        <v>0</v>
      </c>
      <c r="CO80" s="219">
        <f t="shared" si="8"/>
        <v>0</v>
      </c>
      <c r="CP80" s="219">
        <f t="shared" si="8"/>
        <v>0</v>
      </c>
      <c r="CQ80" s="219">
        <f t="shared" si="8"/>
        <v>0</v>
      </c>
      <c r="CR80" s="219">
        <f t="shared" si="8"/>
        <v>0</v>
      </c>
      <c r="CS80" s="219">
        <f t="shared" si="8"/>
        <v>0</v>
      </c>
      <c r="CT80" s="219">
        <f t="shared" si="8"/>
        <v>0</v>
      </c>
      <c r="CU80" s="219">
        <f t="shared" si="8"/>
        <v>0</v>
      </c>
      <c r="CV80" s="219">
        <f t="shared" si="8"/>
        <v>0</v>
      </c>
      <c r="CW80" s="219">
        <f t="shared" si="8"/>
        <v>0</v>
      </c>
      <c r="CX80" s="219">
        <f t="shared" si="8"/>
        <v>0</v>
      </c>
      <c r="CY80" s="219">
        <f t="shared" si="8"/>
        <v>0</v>
      </c>
      <c r="CZ80" s="219">
        <f t="shared" si="8"/>
        <v>0</v>
      </c>
      <c r="DA80" s="219">
        <f t="shared" si="8"/>
        <v>0</v>
      </c>
      <c r="DB80" s="219">
        <f t="shared" si="8"/>
        <v>0</v>
      </c>
      <c r="DC80" s="219">
        <f t="shared" si="8"/>
        <v>0</v>
      </c>
      <c r="DD80" s="219">
        <f t="shared" si="8"/>
        <v>0</v>
      </c>
      <c r="DE80" s="219">
        <f t="shared" si="8"/>
        <v>0</v>
      </c>
      <c r="DF80" s="219">
        <f t="shared" si="8"/>
        <v>0</v>
      </c>
      <c r="DG80" s="219">
        <f t="shared" si="8"/>
        <v>0</v>
      </c>
      <c r="DH80" s="219">
        <f t="shared" si="8"/>
        <v>0</v>
      </c>
      <c r="DI80" s="219">
        <f t="shared" si="8"/>
        <v>0</v>
      </c>
      <c r="DJ80" s="219">
        <f t="shared" si="8"/>
        <v>0</v>
      </c>
      <c r="DK80" s="219">
        <f t="shared" si="8"/>
        <v>0</v>
      </c>
      <c r="DL80" s="219">
        <f t="shared" si="8"/>
        <v>0</v>
      </c>
      <c r="DM80" s="219">
        <f t="shared" si="8"/>
        <v>0</v>
      </c>
      <c r="DN80" s="219">
        <f t="shared" si="8"/>
        <v>0</v>
      </c>
      <c r="DO80" s="219">
        <f t="shared" si="8"/>
        <v>0</v>
      </c>
      <c r="DP80" s="219">
        <f t="shared" si="8"/>
        <v>0</v>
      </c>
      <c r="DQ80" s="219">
        <f t="shared" si="8"/>
        <v>0</v>
      </c>
      <c r="DR80" s="219">
        <f t="shared" si="8"/>
        <v>0</v>
      </c>
      <c r="DS80" s="219">
        <f t="shared" si="8"/>
        <v>0</v>
      </c>
      <c r="DT80" s="219">
        <f t="shared" si="8"/>
        <v>0</v>
      </c>
      <c r="DU80" s="219">
        <f t="shared" si="8"/>
        <v>0</v>
      </c>
      <c r="DV80" s="219">
        <f t="shared" si="8"/>
        <v>0</v>
      </c>
      <c r="DW80" s="219">
        <f t="shared" si="8"/>
        <v>0</v>
      </c>
      <c r="DX80" s="219">
        <f t="shared" si="8"/>
        <v>0</v>
      </c>
      <c r="DY80" s="219">
        <f t="shared" si="8"/>
        <v>0</v>
      </c>
      <c r="DZ80" s="219">
        <f t="shared" si="8"/>
        <v>0</v>
      </c>
      <c r="EA80" s="219">
        <f t="shared" si="8"/>
        <v>0</v>
      </c>
      <c r="EB80" s="219">
        <f t="shared" si="8"/>
        <v>0</v>
      </c>
      <c r="EC80" s="219">
        <f t="shared" si="8"/>
        <v>0</v>
      </c>
      <c r="ED80" s="219">
        <f t="shared" si="8"/>
        <v>0</v>
      </c>
      <c r="EE80" s="219">
        <f t="shared" si="8"/>
        <v>0</v>
      </c>
      <c r="EF80" s="219">
        <f t="shared" si="8"/>
        <v>0</v>
      </c>
      <c r="EG80" s="219">
        <f t="shared" si="8"/>
        <v>0</v>
      </c>
      <c r="EH80" s="219">
        <f t="shared" si="8"/>
        <v>0</v>
      </c>
      <c r="EI80" s="219">
        <f t="shared" si="8"/>
        <v>0</v>
      </c>
      <c r="EJ80" s="219">
        <f t="shared" si="8"/>
        <v>0</v>
      </c>
      <c r="EK80" s="219">
        <f t="shared" si="8"/>
        <v>0</v>
      </c>
      <c r="EL80" s="219">
        <f t="shared" si="8"/>
        <v>0</v>
      </c>
      <c r="EM80" s="219">
        <f t="shared" si="8"/>
        <v>0</v>
      </c>
      <c r="EN80" s="219">
        <f t="shared" si="8"/>
        <v>0</v>
      </c>
      <c r="EO80" s="219">
        <f t="shared" si="8"/>
        <v>0</v>
      </c>
      <c r="EP80" s="219">
        <f t="shared" si="8"/>
        <v>0</v>
      </c>
      <c r="EQ80" s="219">
        <f t="shared" si="8"/>
        <v>0</v>
      </c>
      <c r="ER80" s="219">
        <f t="shared" si="8"/>
        <v>0</v>
      </c>
      <c r="ES80" s="219">
        <f t="shared" si="8"/>
        <v>0</v>
      </c>
      <c r="ET80" s="219">
        <f t="shared" si="8"/>
        <v>0</v>
      </c>
      <c r="EU80" s="219">
        <f t="shared" ref="EU80:GS80" si="9">SUM(EU9:EU79)</f>
        <v>0</v>
      </c>
      <c r="EV80" s="219">
        <f t="shared" si="9"/>
        <v>0</v>
      </c>
      <c r="EW80" s="219">
        <f t="shared" si="9"/>
        <v>0</v>
      </c>
      <c r="EX80" s="219">
        <f t="shared" si="9"/>
        <v>0</v>
      </c>
      <c r="EY80" s="219">
        <f t="shared" si="9"/>
        <v>0</v>
      </c>
      <c r="EZ80" s="219">
        <f t="shared" si="9"/>
        <v>0</v>
      </c>
      <c r="FA80" s="219">
        <f t="shared" si="9"/>
        <v>0</v>
      </c>
      <c r="FB80" s="219">
        <f t="shared" si="9"/>
        <v>0</v>
      </c>
      <c r="FC80" s="219">
        <f t="shared" si="9"/>
        <v>0</v>
      </c>
      <c r="FD80" s="219">
        <f t="shared" si="9"/>
        <v>0</v>
      </c>
      <c r="FE80" s="219">
        <f t="shared" si="9"/>
        <v>0</v>
      </c>
      <c r="FF80" s="219">
        <f t="shared" si="9"/>
        <v>0</v>
      </c>
      <c r="FG80" s="219">
        <f t="shared" si="9"/>
        <v>0</v>
      </c>
      <c r="FH80" s="219">
        <f t="shared" si="9"/>
        <v>0</v>
      </c>
      <c r="FI80" s="219">
        <f t="shared" si="9"/>
        <v>0</v>
      </c>
      <c r="FJ80" s="219">
        <f t="shared" si="9"/>
        <v>0</v>
      </c>
      <c r="FK80" s="219">
        <f t="shared" si="9"/>
        <v>0</v>
      </c>
      <c r="FL80" s="219">
        <f t="shared" si="9"/>
        <v>0</v>
      </c>
      <c r="FM80" s="219">
        <f t="shared" si="9"/>
        <v>0</v>
      </c>
      <c r="FN80" s="219">
        <f t="shared" si="9"/>
        <v>0</v>
      </c>
      <c r="FO80" s="219">
        <f t="shared" si="9"/>
        <v>0</v>
      </c>
      <c r="FP80" s="219">
        <f t="shared" si="9"/>
        <v>0</v>
      </c>
      <c r="FQ80" s="219">
        <f t="shared" si="9"/>
        <v>0</v>
      </c>
      <c r="FR80" s="219">
        <f t="shared" si="9"/>
        <v>0</v>
      </c>
      <c r="FS80" s="219">
        <f t="shared" si="9"/>
        <v>0</v>
      </c>
      <c r="FT80" s="219">
        <f t="shared" si="9"/>
        <v>0</v>
      </c>
      <c r="FU80" s="219">
        <f t="shared" si="9"/>
        <v>0</v>
      </c>
      <c r="FV80" s="219">
        <f t="shared" si="9"/>
        <v>0</v>
      </c>
      <c r="FW80" s="219">
        <f t="shared" si="9"/>
        <v>0</v>
      </c>
      <c r="FX80" s="219">
        <f t="shared" si="9"/>
        <v>0</v>
      </c>
      <c r="FY80" s="219">
        <f t="shared" si="9"/>
        <v>0</v>
      </c>
      <c r="FZ80" s="219">
        <f t="shared" si="9"/>
        <v>0</v>
      </c>
      <c r="GA80" s="219">
        <f t="shared" si="9"/>
        <v>0</v>
      </c>
      <c r="GB80" s="219">
        <f t="shared" si="9"/>
        <v>0</v>
      </c>
      <c r="GC80" s="219">
        <f t="shared" si="9"/>
        <v>0</v>
      </c>
      <c r="GD80" s="219">
        <f t="shared" si="9"/>
        <v>0</v>
      </c>
      <c r="GE80" s="219">
        <f t="shared" si="9"/>
        <v>0</v>
      </c>
      <c r="GF80" s="219">
        <f t="shared" si="9"/>
        <v>0</v>
      </c>
      <c r="GG80" s="219">
        <f t="shared" si="9"/>
        <v>0</v>
      </c>
      <c r="GH80" s="219">
        <f t="shared" si="9"/>
        <v>0</v>
      </c>
      <c r="GI80" s="219">
        <f t="shared" si="9"/>
        <v>0</v>
      </c>
      <c r="GJ80" s="219">
        <f t="shared" si="9"/>
        <v>0</v>
      </c>
      <c r="GK80" s="219">
        <f t="shared" si="9"/>
        <v>0</v>
      </c>
      <c r="GL80" s="219">
        <f t="shared" si="9"/>
        <v>0</v>
      </c>
      <c r="GM80" s="219">
        <f t="shared" si="9"/>
        <v>0</v>
      </c>
      <c r="GN80" s="219">
        <f t="shared" si="9"/>
        <v>0</v>
      </c>
      <c r="GO80" s="219">
        <f t="shared" si="9"/>
        <v>0</v>
      </c>
      <c r="GP80" s="219">
        <f t="shared" si="9"/>
        <v>0</v>
      </c>
      <c r="GQ80" s="219">
        <f t="shared" si="9"/>
        <v>0</v>
      </c>
      <c r="GR80" s="219">
        <f t="shared" si="9"/>
        <v>0</v>
      </c>
      <c r="GS80" s="219">
        <f t="shared" si="9"/>
        <v>0</v>
      </c>
      <c r="GT80" s="219"/>
      <c r="GU80" s="220">
        <f>SUM(GU9:GU79)</f>
        <v>582608</v>
      </c>
      <c r="GV80" s="221"/>
      <c r="GW80" s="62"/>
      <c r="GX80" s="62"/>
      <c r="GY80" s="219"/>
      <c r="GZ80" s="223">
        <f>SUM(GZ9:GZ79)</f>
        <v>110432</v>
      </c>
    </row>
    <row r="81" spans="1:208" x14ac:dyDescent="0.25">
      <c r="D81" s="35"/>
      <c r="E81" s="36"/>
      <c r="F81" s="37"/>
      <c r="G81" s="38"/>
      <c r="H81" s="39"/>
      <c r="I81" s="40"/>
      <c r="J81" s="177"/>
      <c r="M81" s="212"/>
      <c r="N81" s="213"/>
      <c r="O81" s="224"/>
      <c r="P81" s="225"/>
      <c r="Q81" s="226"/>
      <c r="R81" s="226"/>
      <c r="S81" s="226"/>
      <c r="T81" s="39"/>
      <c r="U81" s="217"/>
      <c r="X81" s="227"/>
      <c r="Y81" s="228"/>
      <c r="Z81" s="229"/>
      <c r="AA81" s="36"/>
      <c r="AB81" s="229"/>
      <c r="AC81" s="230"/>
      <c r="AD81" s="87"/>
      <c r="AG81" s="227"/>
      <c r="AH81" s="228"/>
      <c r="AI81" s="229"/>
      <c r="AJ81" s="36"/>
      <c r="AK81" s="231"/>
      <c r="AL81" s="230"/>
      <c r="AM81" s="87"/>
      <c r="AP81" s="227"/>
      <c r="AQ81" s="228"/>
      <c r="AR81" s="229"/>
      <c r="AS81" s="36"/>
      <c r="AT81" s="229"/>
      <c r="AU81" s="230"/>
      <c r="AV81" s="87"/>
      <c r="AY81" s="227"/>
      <c r="AZ81" s="228"/>
      <c r="BA81" s="229"/>
      <c r="BB81" s="36"/>
      <c r="BC81" s="231"/>
      <c r="BD81" s="230"/>
      <c r="BE81" s="87"/>
      <c r="BH81" s="227"/>
      <c r="BI81" s="228"/>
      <c r="BJ81" s="229"/>
      <c r="BK81" s="36"/>
      <c r="BL81" s="231"/>
      <c r="BM81" s="230"/>
      <c r="BN81" s="87"/>
      <c r="BQ81" s="227"/>
      <c r="BR81" s="228"/>
      <c r="BS81" s="229"/>
      <c r="BT81" s="36"/>
      <c r="BU81" s="229"/>
      <c r="BV81" s="230"/>
      <c r="BW81" s="87"/>
      <c r="BZ81" s="227"/>
      <c r="CA81" s="228"/>
      <c r="CB81" s="229"/>
      <c r="CC81" s="36"/>
      <c r="CD81" s="229"/>
      <c r="CE81" s="230"/>
      <c r="CF81" s="87"/>
      <c r="CI81" s="227"/>
      <c r="CJ81" s="228"/>
      <c r="CK81" s="229"/>
      <c r="CL81" s="36"/>
      <c r="CM81" s="229"/>
      <c r="CN81" s="230"/>
      <c r="CO81" s="87"/>
      <c r="CR81" s="227"/>
      <c r="CS81" s="228"/>
      <c r="CT81" s="229"/>
      <c r="CU81" s="232"/>
      <c r="CV81" s="231"/>
      <c r="CW81" s="233"/>
      <c r="CX81" s="87"/>
      <c r="DA81" s="227"/>
      <c r="DB81" s="228"/>
      <c r="DC81" s="229"/>
      <c r="DD81" s="36"/>
      <c r="DE81" s="229"/>
      <c r="DF81" s="230"/>
      <c r="DG81" s="87"/>
      <c r="DJ81" s="227"/>
      <c r="DK81" s="228"/>
      <c r="DL81" s="229"/>
      <c r="DM81" s="232"/>
      <c r="DN81" s="231"/>
      <c r="DO81" s="233"/>
      <c r="DP81" s="87"/>
      <c r="DS81" s="227"/>
      <c r="DT81" s="228"/>
      <c r="DU81" s="229"/>
      <c r="DV81" s="36"/>
      <c r="DW81" s="229"/>
      <c r="DX81" s="230"/>
      <c r="DY81" s="87"/>
      <c r="EB81" s="227"/>
      <c r="EC81" s="228"/>
      <c r="ED81" s="229"/>
      <c r="EE81" s="232"/>
      <c r="EF81" s="231"/>
      <c r="EG81" s="233"/>
      <c r="EH81" s="87"/>
      <c r="EK81" s="227"/>
      <c r="EL81" s="228"/>
      <c r="EM81" s="229"/>
      <c r="EN81" s="232"/>
      <c r="EO81" s="231"/>
      <c r="EP81" s="233"/>
      <c r="EQ81" s="87"/>
      <c r="ET81" s="227"/>
      <c r="EU81" s="228"/>
      <c r="EV81" s="229"/>
      <c r="EW81" s="36"/>
      <c r="EX81" s="229"/>
      <c r="EY81" s="230"/>
      <c r="EZ81" s="87"/>
      <c r="FC81" s="227"/>
      <c r="FD81" s="228"/>
      <c r="FE81" s="229"/>
      <c r="FF81" s="36"/>
      <c r="FG81" s="229"/>
      <c r="FH81" s="230"/>
      <c r="FI81" s="87"/>
      <c r="FL81" s="227"/>
      <c r="FM81" s="228"/>
      <c r="FN81" s="229"/>
      <c r="FO81" s="36"/>
      <c r="FP81" s="229"/>
      <c r="FQ81" s="230"/>
      <c r="FR81" s="87"/>
      <c r="FU81" s="227"/>
      <c r="FV81" s="228"/>
      <c r="FW81" s="229"/>
      <c r="FX81" s="36"/>
      <c r="FY81" s="229"/>
      <c r="FZ81" s="230"/>
      <c r="GA81" s="87"/>
      <c r="GD81" s="227"/>
      <c r="GE81" s="228"/>
      <c r="GF81" s="229"/>
      <c r="GG81" s="36"/>
      <c r="GH81" s="229"/>
      <c r="GI81" s="230"/>
      <c r="GJ81" s="87"/>
      <c r="GM81" s="227"/>
      <c r="GN81" s="228"/>
      <c r="GO81" s="229"/>
      <c r="GP81" s="36"/>
      <c r="GQ81" s="229"/>
      <c r="GR81" s="230"/>
      <c r="GS81" s="87"/>
      <c r="GT81" s="187"/>
      <c r="GU81"/>
      <c r="GW81" s="235"/>
      <c r="GX81" s="235"/>
      <c r="GY81" s="195"/>
      <c r="GZ81"/>
    </row>
    <row r="82" spans="1:208" ht="16.5" thickBot="1" x14ac:dyDescent="0.3">
      <c r="D82" s="35"/>
      <c r="E82" s="36"/>
      <c r="F82" s="37"/>
      <c r="G82" s="38"/>
      <c r="H82" s="39"/>
      <c r="I82" s="40"/>
      <c r="J82" s="177"/>
      <c r="M82" s="212"/>
      <c r="N82" s="213"/>
      <c r="O82" s="224"/>
      <c r="P82" s="225"/>
      <c r="Q82" s="226"/>
      <c r="R82" s="226"/>
      <c r="S82" s="226"/>
      <c r="T82" s="39"/>
      <c r="U82" s="217"/>
      <c r="X82" s="227"/>
      <c r="Y82" s="228"/>
      <c r="Z82" s="229"/>
      <c r="AA82" s="36"/>
      <c r="AB82" s="229"/>
      <c r="AC82" s="230"/>
      <c r="AD82" s="87"/>
      <c r="AG82" s="227"/>
      <c r="AH82" s="228"/>
      <c r="AI82" s="229"/>
      <c r="AJ82" s="36"/>
      <c r="AK82" s="231"/>
      <c r="AL82" s="230"/>
      <c r="AM82" s="87"/>
      <c r="AP82" s="227"/>
      <c r="AQ82" s="228"/>
      <c r="AR82" s="229"/>
      <c r="AS82" s="36"/>
      <c r="AT82" s="229"/>
      <c r="AU82" s="230"/>
      <c r="AV82" s="87"/>
      <c r="AY82" s="227"/>
      <c r="AZ82" s="228"/>
      <c r="BA82" s="229"/>
      <c r="BB82" s="36"/>
      <c r="BC82" s="231"/>
      <c r="BD82" s="230"/>
      <c r="BE82" s="87"/>
      <c r="BH82" s="227"/>
      <c r="BI82" s="228"/>
      <c r="BJ82" s="229"/>
      <c r="BK82" s="36"/>
      <c r="BL82" s="231"/>
      <c r="BM82" s="230"/>
      <c r="BN82" s="87"/>
      <c r="BQ82" s="227"/>
      <c r="BR82" s="228"/>
      <c r="BS82" s="229"/>
      <c r="BT82" s="36"/>
      <c r="BU82" s="229"/>
      <c r="BV82" s="230"/>
      <c r="BW82" s="87"/>
      <c r="BZ82" s="227"/>
      <c r="CA82" s="228"/>
      <c r="CB82" s="229"/>
      <c r="CC82" s="36"/>
      <c r="CD82" s="229"/>
      <c r="CE82" s="230"/>
      <c r="CF82" s="87"/>
      <c r="CI82" s="227"/>
      <c r="CJ82" s="228"/>
      <c r="CK82" s="229"/>
      <c r="CL82" s="36"/>
      <c r="CM82" s="229"/>
      <c r="CN82" s="230"/>
      <c r="CO82" s="87"/>
      <c r="CR82" s="227"/>
      <c r="CS82" s="228"/>
      <c r="CT82" s="229"/>
      <c r="CU82" s="232"/>
      <c r="CV82" s="231"/>
      <c r="CW82" s="233"/>
      <c r="CX82" s="87"/>
      <c r="DA82" s="227"/>
      <c r="DB82" s="228"/>
      <c r="DC82" s="229"/>
      <c r="DD82" s="36"/>
      <c r="DE82" s="229"/>
      <c r="DF82" s="230"/>
      <c r="DG82" s="87"/>
      <c r="DJ82" s="227"/>
      <c r="DK82" s="228"/>
      <c r="DL82" s="229"/>
      <c r="DM82" s="232"/>
      <c r="DN82" s="231"/>
      <c r="DO82" s="233"/>
      <c r="DP82" s="87"/>
      <c r="DS82" s="227"/>
      <c r="DT82" s="228"/>
      <c r="DU82" s="229"/>
      <c r="DV82" s="36"/>
      <c r="DW82" s="229"/>
      <c r="DX82" s="230"/>
      <c r="DY82" s="87"/>
      <c r="EB82" s="227"/>
      <c r="EC82" s="228"/>
      <c r="ED82" s="229"/>
      <c r="EE82" s="232"/>
      <c r="EF82" s="231"/>
      <c r="EG82" s="233"/>
      <c r="EH82" s="87"/>
      <c r="EK82" s="227"/>
      <c r="EL82" s="228"/>
      <c r="EM82" s="229"/>
      <c r="EN82" s="232"/>
      <c r="EO82" s="231"/>
      <c r="EP82" s="233"/>
      <c r="EQ82" s="87"/>
      <c r="ET82" s="227"/>
      <c r="EU82" s="228"/>
      <c r="EV82" s="229"/>
      <c r="EW82" s="36"/>
      <c r="EX82" s="229"/>
      <c r="EY82" s="230"/>
      <c r="EZ82" s="87"/>
      <c r="FC82" s="227"/>
      <c r="FD82" s="228"/>
      <c r="FE82" s="229"/>
      <c r="FF82" s="36"/>
      <c r="FG82" s="229"/>
      <c r="FH82" s="230"/>
      <c r="FI82" s="87"/>
      <c r="FL82" s="227"/>
      <c r="FM82" s="228"/>
      <c r="FN82" s="229"/>
      <c r="FO82" s="36"/>
      <c r="FP82" s="229"/>
      <c r="FQ82" s="230"/>
      <c r="FR82" s="87"/>
      <c r="FU82" s="227"/>
      <c r="FV82" s="228"/>
      <c r="FW82" s="229"/>
      <c r="FX82" s="36"/>
      <c r="FY82" s="229"/>
      <c r="FZ82" s="230"/>
      <c r="GA82" s="87"/>
      <c r="GD82" s="227"/>
      <c r="GE82" s="228"/>
      <c r="GF82" s="229"/>
      <c r="GG82" s="36"/>
      <c r="GH82" s="229"/>
      <c r="GI82" s="230"/>
      <c r="GJ82" s="87"/>
      <c r="GM82" s="227"/>
      <c r="GN82" s="228"/>
      <c r="GO82" s="229"/>
      <c r="GP82" s="36"/>
      <c r="GQ82" s="229"/>
      <c r="GR82" s="230"/>
      <c r="GS82" s="87"/>
      <c r="GT82" s="187"/>
      <c r="GU82"/>
      <c r="GW82" s="235"/>
      <c r="GX82" s="235"/>
      <c r="GY82" s="195"/>
      <c r="GZ82"/>
    </row>
    <row r="83" spans="1:208" ht="16.5" thickTop="1" x14ac:dyDescent="0.25">
      <c r="D83" s="35"/>
      <c r="E83" s="36"/>
      <c r="F83" s="37"/>
      <c r="G83" s="38"/>
      <c r="H83" s="39"/>
      <c r="I83" s="40"/>
      <c r="J83" s="177"/>
      <c r="M83" s="212"/>
      <c r="O83" s="876" t="s">
        <v>30</v>
      </c>
      <c r="P83" s="877"/>
      <c r="Q83" s="877"/>
      <c r="R83" s="237"/>
      <c r="S83" s="237"/>
      <c r="T83" s="880">
        <f>GZ80+GU80+W80+T80+R80</f>
        <v>19350868.905000005</v>
      </c>
      <c r="U83" s="881"/>
      <c r="X83" s="227"/>
      <c r="Y83" s="228"/>
      <c r="Z83" s="229"/>
      <c r="AA83" s="36"/>
      <c r="AB83" s="229"/>
      <c r="AC83" s="230"/>
      <c r="AD83" s="87"/>
      <c r="AG83" s="227"/>
      <c r="AH83" s="228"/>
      <c r="AI83" s="229"/>
      <c r="AJ83" s="36"/>
      <c r="AK83" s="231"/>
      <c r="AL83" s="230"/>
      <c r="AM83" s="87"/>
      <c r="AP83" s="227"/>
      <c r="AQ83" s="228"/>
      <c r="AR83" s="229"/>
      <c r="AS83" s="36"/>
      <c r="AT83" s="229"/>
      <c r="AU83" s="230"/>
      <c r="AV83" s="87"/>
      <c r="AY83" s="227"/>
      <c r="AZ83" s="228"/>
      <c r="BA83" s="229"/>
      <c r="BB83" s="36"/>
      <c r="BC83" s="231"/>
      <c r="BD83" s="230"/>
      <c r="BE83" s="87"/>
      <c r="BH83" s="227"/>
      <c r="BI83" s="228"/>
      <c r="BJ83" s="229"/>
      <c r="BK83" s="36"/>
      <c r="BL83" s="231"/>
      <c r="BM83" s="230"/>
      <c r="BN83" s="87"/>
      <c r="BQ83" s="227"/>
      <c r="BR83" s="228"/>
      <c r="BS83" s="229"/>
      <c r="BT83" s="36"/>
      <c r="BU83" s="229"/>
      <c r="BV83" s="230"/>
      <c r="BW83" s="87"/>
      <c r="BZ83" s="227"/>
      <c r="CA83" s="228"/>
      <c r="CB83" s="229"/>
      <c r="CC83" s="36"/>
      <c r="CD83" s="229"/>
      <c r="CE83" s="230"/>
      <c r="CF83" s="87"/>
      <c r="CI83" s="227"/>
      <c r="CJ83" s="228"/>
      <c r="CK83" s="229"/>
      <c r="CL83" s="36"/>
      <c r="CM83" s="229"/>
      <c r="CN83" s="230"/>
      <c r="CO83" s="87"/>
      <c r="CR83" s="227"/>
      <c r="CS83" s="228"/>
      <c r="CT83" s="229"/>
      <c r="CU83" s="232"/>
      <c r="CV83" s="231"/>
      <c r="CW83" s="233"/>
      <c r="CX83" s="87"/>
      <c r="DA83" s="227"/>
      <c r="DB83" s="228"/>
      <c r="DC83" s="229"/>
      <c r="DD83" s="36"/>
      <c r="DE83" s="229"/>
      <c r="DF83" s="230"/>
      <c r="DG83" s="87"/>
      <c r="DJ83" s="227"/>
      <c r="DK83" s="228"/>
      <c r="DL83" s="229"/>
      <c r="DM83" s="232"/>
      <c r="DN83" s="231"/>
      <c r="DO83" s="233"/>
      <c r="DP83" s="87"/>
      <c r="DS83" s="227"/>
      <c r="DT83" s="228"/>
      <c r="DU83" s="229"/>
      <c r="DV83" s="36"/>
      <c r="DW83" s="229"/>
      <c r="DX83" s="230"/>
      <c r="DY83" s="87"/>
      <c r="EB83" s="227"/>
      <c r="EC83" s="228"/>
      <c r="ED83" s="229"/>
      <c r="EE83" s="232"/>
      <c r="EF83" s="231"/>
      <c r="EG83" s="233"/>
      <c r="EH83" s="87"/>
      <c r="EK83" s="227"/>
      <c r="EL83" s="228"/>
      <c r="EM83" s="229"/>
      <c r="EN83" s="232"/>
      <c r="EO83" s="231"/>
      <c r="EP83" s="233"/>
      <c r="EQ83" s="87"/>
      <c r="ET83" s="227"/>
      <c r="EU83" s="228"/>
      <c r="EV83" s="229"/>
      <c r="EW83" s="36"/>
      <c r="EX83" s="229"/>
      <c r="EY83" s="230"/>
      <c r="EZ83" s="87"/>
      <c r="FC83" s="227"/>
      <c r="FD83" s="228"/>
      <c r="FE83" s="229"/>
      <c r="FF83" s="36"/>
      <c r="FG83" s="229"/>
      <c r="FH83" s="230"/>
      <c r="FI83" s="87"/>
      <c r="FL83" s="227"/>
      <c r="FM83" s="228"/>
      <c r="FN83" s="229"/>
      <c r="FO83" s="36"/>
      <c r="FP83" s="229"/>
      <c r="FQ83" s="230"/>
      <c r="FR83" s="87"/>
      <c r="FU83" s="227"/>
      <c r="FV83" s="228"/>
      <c r="FW83" s="229"/>
      <c r="FX83" s="36"/>
      <c r="FY83" s="229"/>
      <c r="FZ83" s="230"/>
      <c r="GA83" s="87"/>
      <c r="GD83" s="227"/>
      <c r="GE83" s="228"/>
      <c r="GF83" s="229"/>
      <c r="GG83" s="36"/>
      <c r="GH83" s="229"/>
      <c r="GI83" s="230"/>
      <c r="GJ83" s="87"/>
      <c r="GM83" s="227"/>
      <c r="GN83" s="228"/>
      <c r="GO83" s="229"/>
      <c r="GP83" s="36"/>
      <c r="GQ83" s="229"/>
      <c r="GR83" s="230"/>
      <c r="GS83" s="87"/>
      <c r="GT83" s="187"/>
      <c r="GU83"/>
      <c r="GW83" s="235"/>
      <c r="GX83" s="235"/>
      <c r="GY83" s="195"/>
      <c r="GZ83"/>
    </row>
    <row r="84" spans="1:208" ht="16.5" thickBot="1" x14ac:dyDescent="0.3">
      <c r="D84" s="35"/>
      <c r="E84" s="36"/>
      <c r="F84" s="37"/>
      <c r="G84" s="38"/>
      <c r="H84" s="39"/>
      <c r="I84" s="40"/>
      <c r="J84" s="238"/>
      <c r="M84" s="212"/>
      <c r="O84" s="878"/>
      <c r="P84" s="879"/>
      <c r="Q84" s="879"/>
      <c r="R84" s="239"/>
      <c r="S84" s="239"/>
      <c r="T84" s="882"/>
      <c r="U84" s="883"/>
      <c r="X84" s="227"/>
      <c r="Y84" s="228"/>
      <c r="Z84" s="229"/>
      <c r="AA84" s="36"/>
      <c r="AB84" s="229"/>
      <c r="AC84" s="230"/>
      <c r="AD84" s="87"/>
      <c r="AG84" s="227"/>
      <c r="AH84" s="228"/>
      <c r="AI84" s="229"/>
      <c r="AJ84" s="36"/>
      <c r="AK84" s="231"/>
      <c r="AL84" s="230"/>
      <c r="AM84" s="87"/>
      <c r="AP84" s="227"/>
      <c r="AQ84" s="228"/>
      <c r="AR84" s="229"/>
      <c r="AS84" s="36"/>
      <c r="AT84" s="229"/>
      <c r="AU84" s="230"/>
      <c r="AV84" s="87"/>
      <c r="AY84" s="227"/>
      <c r="AZ84" s="228"/>
      <c r="BA84" s="229"/>
      <c r="BB84" s="36"/>
      <c r="BC84" s="231"/>
      <c r="BD84" s="230"/>
      <c r="BE84" s="87"/>
      <c r="BH84" s="227"/>
      <c r="BI84" s="228"/>
      <c r="BJ84" s="229"/>
      <c r="BK84" s="36"/>
      <c r="BL84" s="231"/>
      <c r="BM84" s="230"/>
      <c r="BN84" s="87"/>
      <c r="BQ84" s="227"/>
      <c r="BR84" s="228"/>
      <c r="BS84" s="229"/>
      <c r="BT84" s="36"/>
      <c r="BU84" s="229"/>
      <c r="BV84" s="230"/>
      <c r="BW84" s="87"/>
      <c r="BZ84" s="227"/>
      <c r="CA84" s="228"/>
      <c r="CB84" s="229"/>
      <c r="CC84" s="36"/>
      <c r="CD84" s="229"/>
      <c r="CE84" s="230"/>
      <c r="CF84" s="87"/>
      <c r="CI84" s="227"/>
      <c r="CJ84" s="228"/>
      <c r="CK84" s="229"/>
      <c r="CL84" s="36"/>
      <c r="CM84" s="229"/>
      <c r="CN84" s="230"/>
      <c r="CO84" s="87"/>
      <c r="CR84" s="227"/>
      <c r="CS84" s="228"/>
      <c r="CT84" s="229"/>
      <c r="CU84" s="232"/>
      <c r="CV84" s="231"/>
      <c r="CW84" s="233"/>
      <c r="CX84" s="87"/>
      <c r="DA84" s="227"/>
      <c r="DB84" s="228"/>
      <c r="DC84" s="229"/>
      <c r="DD84" s="36"/>
      <c r="DE84" s="229"/>
      <c r="DF84" s="230"/>
      <c r="DG84" s="87"/>
      <c r="DJ84" s="227"/>
      <c r="DK84" s="228"/>
      <c r="DL84" s="229"/>
      <c r="DM84" s="232"/>
      <c r="DN84" s="231"/>
      <c r="DO84" s="233"/>
      <c r="DP84" s="87"/>
      <c r="DS84" s="227"/>
      <c r="DT84" s="228"/>
      <c r="DU84" s="229"/>
      <c r="DV84" s="36"/>
      <c r="DW84" s="229"/>
      <c r="DX84" s="230"/>
      <c r="DY84" s="87"/>
      <c r="EB84" s="227"/>
      <c r="EC84" s="228"/>
      <c r="ED84" s="229"/>
      <c r="EE84" s="232"/>
      <c r="EF84" s="231"/>
      <c r="EG84" s="233"/>
      <c r="EH84" s="87"/>
      <c r="EK84" s="227"/>
      <c r="EL84" s="228"/>
      <c r="EM84" s="229"/>
      <c r="EN84" s="232"/>
      <c r="EO84" s="231"/>
      <c r="EP84" s="233"/>
      <c r="EQ84" s="87"/>
      <c r="ET84" s="227"/>
      <c r="EU84" s="228"/>
      <c r="EV84" s="229"/>
      <c r="EW84" s="36"/>
      <c r="EX84" s="229"/>
      <c r="EY84" s="230"/>
      <c r="EZ84" s="87"/>
      <c r="FC84" s="227"/>
      <c r="FD84" s="228"/>
      <c r="FE84" s="229"/>
      <c r="FF84" s="36"/>
      <c r="FG84" s="229"/>
      <c r="FH84" s="230"/>
      <c r="FI84" s="87"/>
      <c r="FL84" s="227"/>
      <c r="FM84" s="228"/>
      <c r="FN84" s="229"/>
      <c r="FO84" s="36"/>
      <c r="FP84" s="229"/>
      <c r="FQ84" s="230"/>
      <c r="FR84" s="87"/>
      <c r="FU84" s="227"/>
      <c r="FV84" s="228"/>
      <c r="FW84" s="229"/>
      <c r="FX84" s="36"/>
      <c r="FY84" s="229"/>
      <c r="FZ84" s="230"/>
      <c r="GA84" s="87"/>
      <c r="GD84" s="227"/>
      <c r="GE84" s="228"/>
      <c r="GF84" s="229"/>
      <c r="GG84" s="36"/>
      <c r="GH84" s="229"/>
      <c r="GI84" s="230"/>
      <c r="GJ84" s="87"/>
      <c r="GM84" s="227"/>
      <c r="GN84" s="228"/>
      <c r="GO84" s="229"/>
      <c r="GP84" s="36"/>
      <c r="GQ84" s="229"/>
      <c r="GR84" s="230"/>
      <c r="GS84" s="87"/>
      <c r="GT84" s="187"/>
      <c r="GU84"/>
      <c r="GW84" s="235"/>
      <c r="GX84" s="235"/>
      <c r="GY84" s="195"/>
      <c r="GZ84"/>
    </row>
    <row r="85" spans="1:208" ht="16.5" thickTop="1" x14ac:dyDescent="0.25">
      <c r="D85" s="35"/>
      <c r="E85" s="36"/>
      <c r="F85" s="37"/>
      <c r="G85" s="38"/>
      <c r="H85" s="39"/>
      <c r="I85" s="40"/>
      <c r="J85" s="238"/>
      <c r="M85" s="212"/>
      <c r="O85" s="224"/>
      <c r="P85" s="225"/>
      <c r="Q85" s="226"/>
      <c r="R85" s="226"/>
      <c r="S85" s="226"/>
      <c r="T85" s="39"/>
      <c r="U85" s="217"/>
      <c r="X85" s="227"/>
      <c r="Y85" s="228"/>
      <c r="Z85" s="229"/>
      <c r="AA85" s="36"/>
      <c r="AB85" s="229"/>
      <c r="AC85" s="230"/>
      <c r="AD85" s="87"/>
      <c r="AG85" s="227"/>
      <c r="AH85" s="228"/>
      <c r="AI85" s="229"/>
      <c r="AJ85" s="36"/>
      <c r="AK85" s="231"/>
      <c r="AL85" s="230"/>
      <c r="AM85" s="87"/>
      <c r="AP85" s="227"/>
      <c r="AQ85" s="228"/>
      <c r="AR85" s="229"/>
      <c r="AS85" s="36"/>
      <c r="AT85" s="229"/>
      <c r="AU85" s="230"/>
      <c r="AV85" s="87"/>
      <c r="AY85" s="227"/>
      <c r="AZ85" s="228"/>
      <c r="BA85" s="229"/>
      <c r="BB85" s="36"/>
      <c r="BC85" s="231"/>
      <c r="BD85" s="230"/>
      <c r="BE85" s="87"/>
      <c r="BH85" s="227"/>
      <c r="BI85" s="228"/>
      <c r="BJ85" s="229"/>
      <c r="BK85" s="36"/>
      <c r="BL85" s="231"/>
      <c r="BM85" s="230"/>
      <c r="BN85" s="87"/>
      <c r="BQ85" s="227"/>
      <c r="BR85" s="228"/>
      <c r="BS85" s="229"/>
      <c r="BT85" s="36"/>
      <c r="BU85" s="229"/>
      <c r="BV85" s="230"/>
      <c r="BW85" s="87"/>
      <c r="BZ85" s="227"/>
      <c r="CA85" s="228"/>
      <c r="CB85" s="229"/>
      <c r="CC85" s="36"/>
      <c r="CD85" s="229"/>
      <c r="CE85" s="230"/>
      <c r="CF85" s="87"/>
      <c r="CI85" s="227"/>
      <c r="CJ85" s="228"/>
      <c r="CK85" s="229"/>
      <c r="CL85" s="36"/>
      <c r="CM85" s="229"/>
      <c r="CN85" s="230"/>
      <c r="CO85" s="87"/>
      <c r="CR85" s="227"/>
      <c r="CS85" s="228"/>
      <c r="CT85" s="229"/>
      <c r="CU85" s="232"/>
      <c r="CV85" s="231"/>
      <c r="CW85" s="233"/>
      <c r="CX85" s="87"/>
      <c r="DA85" s="227"/>
      <c r="DB85" s="228"/>
      <c r="DC85" s="229"/>
      <c r="DD85" s="36"/>
      <c r="DE85" s="229"/>
      <c r="DF85" s="230"/>
      <c r="DG85" s="87"/>
      <c r="DJ85" s="227"/>
      <c r="DK85" s="228"/>
      <c r="DL85" s="229"/>
      <c r="DM85" s="232"/>
      <c r="DN85" s="231"/>
      <c r="DO85" s="233"/>
      <c r="DP85" s="87"/>
      <c r="DS85" s="227"/>
      <c r="DT85" s="228"/>
      <c r="DU85" s="229"/>
      <c r="DV85" s="36"/>
      <c r="DW85" s="229"/>
      <c r="DX85" s="230"/>
      <c r="DY85" s="87"/>
      <c r="EB85" s="227"/>
      <c r="EC85" s="228"/>
      <c r="ED85" s="229"/>
      <c r="EE85" s="232"/>
      <c r="EF85" s="231"/>
      <c r="EG85" s="233"/>
      <c r="EH85" s="87"/>
      <c r="EK85" s="227"/>
      <c r="EL85" s="228"/>
      <c r="EM85" s="229"/>
      <c r="EN85" s="232"/>
      <c r="EO85" s="231"/>
      <c r="EP85" s="233"/>
      <c r="EQ85" s="87"/>
      <c r="ET85" s="227"/>
      <c r="EU85" s="228"/>
      <c r="EV85" s="229"/>
      <c r="EW85" s="36"/>
      <c r="EX85" s="229"/>
      <c r="EY85" s="230"/>
      <c r="EZ85" s="87"/>
      <c r="FC85" s="227"/>
      <c r="FD85" s="228"/>
      <c r="FE85" s="229"/>
      <c r="FF85" s="36"/>
      <c r="FG85" s="229"/>
      <c r="FH85" s="230"/>
      <c r="FI85" s="87"/>
      <c r="FL85" s="227"/>
      <c r="FM85" s="228"/>
      <c r="FN85" s="229"/>
      <c r="FO85" s="36"/>
      <c r="FP85" s="229"/>
      <c r="FQ85" s="230"/>
      <c r="FR85" s="87"/>
      <c r="FU85" s="227"/>
      <c r="FV85" s="228"/>
      <c r="FW85" s="229"/>
      <c r="FX85" s="36"/>
      <c r="FY85" s="229"/>
      <c r="FZ85" s="230"/>
      <c r="GA85" s="87"/>
      <c r="GD85" s="227"/>
      <c r="GE85" s="228"/>
      <c r="GF85" s="229"/>
      <c r="GG85" s="36"/>
      <c r="GH85" s="229"/>
      <c r="GI85" s="230"/>
      <c r="GJ85" s="87"/>
      <c r="GM85" s="227"/>
      <c r="GN85" s="228"/>
      <c r="GO85" s="229"/>
      <c r="GP85" s="36"/>
      <c r="GQ85" s="229"/>
      <c r="GR85" s="230"/>
      <c r="GS85" s="87"/>
      <c r="GT85" s="187"/>
      <c r="GU85"/>
      <c r="GW85" s="235"/>
      <c r="GX85" s="235"/>
      <c r="GY85" s="195"/>
      <c r="GZ85"/>
    </row>
    <row r="86" spans="1:208" x14ac:dyDescent="0.25">
      <c r="D86" s="35"/>
      <c r="E86" s="36"/>
      <c r="F86" s="37"/>
      <c r="G86" s="38"/>
      <c r="H86" s="39"/>
      <c r="I86" s="40"/>
      <c r="J86" s="177"/>
      <c r="M86" s="212"/>
      <c r="O86" s="224"/>
      <c r="P86" s="225"/>
      <c r="Q86" s="226"/>
      <c r="R86" s="226"/>
      <c r="S86" s="226"/>
      <c r="T86" s="39"/>
      <c r="U86" s="217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36"/>
      <c r="AK86" s="231"/>
      <c r="AL86" s="230"/>
      <c r="AM86" s="87"/>
      <c r="AP86" s="227"/>
      <c r="AQ86" s="228"/>
      <c r="AR86" s="229"/>
      <c r="AS86" s="36"/>
      <c r="AT86" s="229"/>
      <c r="AU86" s="230"/>
      <c r="AV86" s="87"/>
      <c r="AY86" s="227"/>
      <c r="AZ86" s="228"/>
      <c r="BA86" s="229"/>
      <c r="BB86" s="36"/>
      <c r="BC86" s="231"/>
      <c r="BD86" s="230"/>
      <c r="BE86" s="87"/>
      <c r="BH86" s="227"/>
      <c r="BI86" s="228"/>
      <c r="BJ86" s="229"/>
      <c r="BK86" s="36"/>
      <c r="BL86" s="231"/>
      <c r="BM86" s="230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/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/>
      <c r="DC86" s="229"/>
      <c r="DD86" s="36"/>
      <c r="DE86" s="229"/>
      <c r="DF86" s="230"/>
      <c r="DG86" s="87"/>
      <c r="DJ86" s="227"/>
      <c r="DK86" s="228"/>
      <c r="DL86" s="229"/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/>
      <c r="ED86" s="229"/>
      <c r="EE86" s="232"/>
      <c r="EF86" s="231"/>
      <c r="EG86" s="233"/>
      <c r="EH86" s="87"/>
      <c r="EK86" s="227"/>
      <c r="EL86" s="228"/>
      <c r="EM86" s="229"/>
      <c r="EN86" s="232"/>
      <c r="EO86" s="231"/>
      <c r="EP86" s="233"/>
      <c r="EQ86" s="87"/>
      <c r="ET86" s="227"/>
      <c r="EU86" s="228"/>
      <c r="EV86" s="229"/>
      <c r="EW86" s="36"/>
      <c r="EX86" s="229"/>
      <c r="EY86" s="230"/>
      <c r="EZ86" s="87"/>
      <c r="FC86" s="227"/>
      <c r="FD86" s="228"/>
      <c r="FE86" s="229"/>
      <c r="FF86" s="36"/>
      <c r="FG86" s="229"/>
      <c r="FH86" s="230"/>
      <c r="FI86" s="87"/>
      <c r="FL86" s="227"/>
      <c r="FM86" s="228"/>
      <c r="FN86" s="229"/>
      <c r="FO86" s="36"/>
      <c r="FP86" s="229"/>
      <c r="FQ86" s="230"/>
      <c r="FR86" s="87"/>
      <c r="FU86" s="227"/>
      <c r="FV86" s="228"/>
      <c r="FW86" s="229"/>
      <c r="FX86" s="36"/>
      <c r="FY86" s="229"/>
      <c r="FZ86" s="230"/>
      <c r="GA86" s="87"/>
      <c r="GD86" s="227"/>
      <c r="GE86" s="228"/>
      <c r="GF86" s="229"/>
      <c r="GG86" s="36"/>
      <c r="GH86" s="229"/>
      <c r="GI86" s="230"/>
      <c r="GJ86" s="87"/>
      <c r="GM86" s="227"/>
      <c r="GN86" s="228"/>
      <c r="GO86" s="229"/>
      <c r="GP86" s="36"/>
      <c r="GQ86" s="229"/>
      <c r="GR86" s="230"/>
      <c r="GS86" s="87"/>
      <c r="GT86" s="187"/>
      <c r="GU86"/>
      <c r="GW86" s="235"/>
      <c r="GX86" s="235"/>
      <c r="GY86" s="195"/>
      <c r="GZ86"/>
    </row>
    <row r="87" spans="1:208" x14ac:dyDescent="0.25">
      <c r="A87" s="1">
        <v>25</v>
      </c>
      <c r="B87" t="e">
        <f>#REF!</f>
        <v>#REF!</v>
      </c>
      <c r="C87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77"/>
      <c r="M87" s="212"/>
      <c r="O87" s="224"/>
      <c r="P87" s="240"/>
      <c r="Q87" s="226"/>
      <c r="R87" s="226"/>
      <c r="S87" s="226"/>
      <c r="T87" s="39"/>
      <c r="U87" s="241"/>
      <c r="X87" s="227"/>
      <c r="Y87" s="228"/>
      <c r="Z87" s="229"/>
      <c r="AA87" s="198"/>
      <c r="AB87" s="197"/>
      <c r="AC87" s="199"/>
      <c r="AD87" s="200"/>
      <c r="AG87" s="227"/>
      <c r="AH87" s="228"/>
      <c r="AI87" s="229"/>
      <c r="AJ87" s="232"/>
      <c r="AK87" s="231"/>
      <c r="AL87" s="233"/>
      <c r="AM87" s="87"/>
      <c r="AP87" s="227"/>
      <c r="AQ87" s="228">
        <v>21</v>
      </c>
      <c r="AR87" s="229"/>
      <c r="AS87" s="232"/>
      <c r="AT87" s="229"/>
      <c r="AU87" s="233"/>
      <c r="AV87" s="87"/>
      <c r="AY87" s="227"/>
      <c r="AZ87" s="228">
        <v>21</v>
      </c>
      <c r="BA87" s="229"/>
      <c r="BB87" s="232"/>
      <c r="BC87" s="231"/>
      <c r="BD87" s="233"/>
      <c r="BE87" s="87"/>
      <c r="BH87" s="227"/>
      <c r="BI87" s="228"/>
      <c r="BJ87" s="229"/>
      <c r="BK87" s="232"/>
      <c r="BL87" s="231"/>
      <c r="BM87" s="233"/>
      <c r="BN87" s="87"/>
      <c r="BQ87" s="227"/>
      <c r="BR87" s="228"/>
      <c r="BS87" s="229"/>
      <c r="BT87" s="36"/>
      <c r="BU87" s="229"/>
      <c r="BV87" s="230"/>
      <c r="BW87" s="87"/>
      <c r="BZ87" s="227"/>
      <c r="CA87" s="228"/>
      <c r="CB87" s="229"/>
      <c r="CC87" s="36"/>
      <c r="CD87" s="229"/>
      <c r="CE87" s="230"/>
      <c r="CF87" s="87"/>
      <c r="CI87" s="227"/>
      <c r="CJ87" s="228">
        <v>21</v>
      </c>
      <c r="CK87" s="229"/>
      <c r="CL87" s="36"/>
      <c r="CM87" s="229"/>
      <c r="CN87" s="230"/>
      <c r="CO87" s="87"/>
      <c r="CR87" s="227"/>
      <c r="CS87" s="228"/>
      <c r="CT87" s="229"/>
      <c r="CU87" s="232"/>
      <c r="CV87" s="231"/>
      <c r="CW87" s="233"/>
      <c r="CX87" s="87"/>
      <c r="DA87" s="227"/>
      <c r="DB87" s="228">
        <v>21</v>
      </c>
      <c r="DC87" s="229"/>
      <c r="DD87" s="36"/>
      <c r="DE87" s="229"/>
      <c r="DF87" s="230"/>
      <c r="DG87" s="87"/>
      <c r="DJ87" s="227"/>
      <c r="DK87" s="228"/>
      <c r="DL87" s="229"/>
      <c r="DM87" s="232"/>
      <c r="DN87" s="231"/>
      <c r="DO87" s="233"/>
      <c r="DP87" s="87"/>
      <c r="DS87" s="227"/>
      <c r="DT87" s="228"/>
      <c r="DU87" s="229"/>
      <c r="DV87" s="36"/>
      <c r="DW87" s="229"/>
      <c r="DX87" s="230"/>
      <c r="DY87" s="87"/>
      <c r="EB87" s="227"/>
      <c r="EC87" s="228">
        <v>21</v>
      </c>
      <c r="ED87" s="229"/>
      <c r="EE87" s="232"/>
      <c r="EF87" s="231"/>
      <c r="EG87" s="233"/>
      <c r="EH87" s="87"/>
      <c r="EK87" s="227"/>
      <c r="EL87" s="228">
        <v>21</v>
      </c>
      <c r="EM87" s="229"/>
      <c r="EN87" s="232"/>
      <c r="EO87" s="231"/>
      <c r="EP87" s="233"/>
      <c r="EQ87" s="87"/>
      <c r="ET87" s="227"/>
      <c r="EU87" s="228">
        <v>21</v>
      </c>
      <c r="EV87" s="229"/>
      <c r="EW87" s="36"/>
      <c r="EX87" s="229"/>
      <c r="EY87" s="230"/>
      <c r="EZ87" s="87"/>
      <c r="FC87" s="227"/>
      <c r="FD87" s="228">
        <v>21</v>
      </c>
      <c r="FE87" s="229"/>
      <c r="FF87" s="36"/>
      <c r="FG87" s="229"/>
      <c r="FH87" s="230"/>
      <c r="FI87" s="87"/>
      <c r="FL87" s="227"/>
      <c r="FM87" s="228">
        <v>21</v>
      </c>
      <c r="FN87" s="229"/>
      <c r="FO87" s="36"/>
      <c r="FP87" s="229"/>
      <c r="FQ87" s="230"/>
      <c r="FR87" s="87"/>
      <c r="FU87" s="227"/>
      <c r="FV87" s="228">
        <v>21</v>
      </c>
      <c r="FW87" s="229"/>
      <c r="FX87" s="36"/>
      <c r="FY87" s="229"/>
      <c r="FZ87" s="230"/>
      <c r="GA87" s="87"/>
      <c r="GD87" s="227"/>
      <c r="GE87" s="228">
        <v>21</v>
      </c>
      <c r="GF87" s="229"/>
      <c r="GG87" s="36"/>
      <c r="GH87" s="229"/>
      <c r="GI87" s="230"/>
      <c r="GJ87" s="87"/>
      <c r="GM87" s="227"/>
      <c r="GN87" s="228">
        <v>21</v>
      </c>
      <c r="GO87" s="229"/>
      <c r="GP87" s="36"/>
      <c r="GQ87" s="229"/>
      <c r="GR87" s="230"/>
      <c r="GS87" s="87"/>
      <c r="GT87" s="187"/>
      <c r="GU87"/>
      <c r="GW87" s="235"/>
      <c r="GX87" s="235"/>
      <c r="GY87" s="195"/>
      <c r="GZ87"/>
    </row>
    <row r="88" spans="1:208" x14ac:dyDescent="0.25">
      <c r="A88" s="1">
        <v>26</v>
      </c>
      <c r="B88" t="e">
        <f>#REF!</f>
        <v>#REF!</v>
      </c>
      <c r="C88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38"/>
      <c r="M88" s="212"/>
      <c r="T88" s="39"/>
      <c r="U88" s="242"/>
      <c r="X88" s="227"/>
      <c r="Y88" s="228"/>
      <c r="Z88" s="229"/>
      <c r="AA88" s="36"/>
      <c r="AB88" s="229"/>
      <c r="AC88" s="230"/>
      <c r="AD88" s="87"/>
      <c r="AG88" s="227"/>
      <c r="AH88" s="228"/>
      <c r="AI88" s="229"/>
      <c r="AJ88" s="232"/>
      <c r="AK88" s="231"/>
      <c r="AL88" s="233"/>
      <c r="AM88" s="87"/>
      <c r="AP88" s="227"/>
      <c r="AQ88" s="228">
        <v>22</v>
      </c>
      <c r="AR88" s="231"/>
      <c r="AS88" s="232"/>
      <c r="AT88" s="229"/>
      <c r="AU88" s="233"/>
      <c r="AV88" s="87"/>
      <c r="AY88" s="227"/>
      <c r="AZ88" s="228">
        <v>22</v>
      </c>
      <c r="BA88" s="229"/>
      <c r="BB88" s="232"/>
      <c r="BC88" s="231"/>
      <c r="BD88" s="233"/>
      <c r="BE88" s="87"/>
      <c r="BH88" s="227"/>
      <c r="BI88" s="228"/>
      <c r="BJ88" s="229"/>
      <c r="BK88" s="232"/>
      <c r="BL88" s="231"/>
      <c r="BM88" s="233"/>
      <c r="BN88" s="87"/>
      <c r="BQ88" s="227"/>
      <c r="BR88" s="228"/>
      <c r="BS88" s="229"/>
      <c r="BT88" s="36"/>
      <c r="BU88" s="229"/>
      <c r="BV88" s="230"/>
      <c r="BW88" s="87"/>
      <c r="BZ88" s="227"/>
      <c r="CA88" s="228"/>
      <c r="CB88" s="229"/>
      <c r="CC88" s="36"/>
      <c r="CD88" s="229"/>
      <c r="CE88" s="230"/>
      <c r="CF88" s="87"/>
      <c r="CI88" s="227"/>
      <c r="CJ88" s="228">
        <v>22</v>
      </c>
      <c r="CK88" s="229"/>
      <c r="CL88" s="36"/>
      <c r="CM88" s="229"/>
      <c r="CN88" s="230"/>
      <c r="CO88" s="87"/>
      <c r="CR88" s="227"/>
      <c r="CS88" s="228"/>
      <c r="CT88" s="229"/>
      <c r="CU88" s="232"/>
      <c r="CV88" s="231"/>
      <c r="CW88" s="233"/>
      <c r="CX88" s="87"/>
      <c r="DA88" s="227"/>
      <c r="DB88" s="228">
        <v>22</v>
      </c>
      <c r="DC88" s="229"/>
      <c r="DD88" s="232"/>
      <c r="DE88" s="231"/>
      <c r="DF88" s="233"/>
      <c r="DG88" s="87"/>
      <c r="DJ88" s="227"/>
      <c r="DK88" s="228"/>
      <c r="DL88" s="229">
        <v>0</v>
      </c>
      <c r="DM88" s="232"/>
      <c r="DN88" s="231"/>
      <c r="DO88" s="233"/>
      <c r="DP88" s="87"/>
      <c r="DS88" s="227"/>
      <c r="DT88" s="228"/>
      <c r="DU88" s="229"/>
      <c r="DV88" s="36"/>
      <c r="DW88" s="229"/>
      <c r="DX88" s="230"/>
      <c r="DY88" s="87"/>
      <c r="EB88" s="227"/>
      <c r="EC88" s="228">
        <v>22</v>
      </c>
      <c r="ED88" s="229"/>
      <c r="EE88" s="232"/>
      <c r="EF88" s="231"/>
      <c r="EG88" s="233"/>
      <c r="EH88" s="87"/>
      <c r="EK88" s="227"/>
      <c r="EL88" s="228">
        <v>22</v>
      </c>
      <c r="EM88" s="229"/>
      <c r="EN88" s="232"/>
      <c r="EO88" s="231"/>
      <c r="EP88" s="233"/>
      <c r="EQ88" s="87"/>
      <c r="ET88" s="227"/>
      <c r="EU88" s="228">
        <v>22</v>
      </c>
      <c r="EV88" s="229"/>
      <c r="EW88" s="36"/>
      <c r="EX88" s="229"/>
      <c r="EY88" s="230"/>
      <c r="EZ88" s="87"/>
      <c r="FC88" s="227"/>
      <c r="FD88" s="228">
        <v>22</v>
      </c>
      <c r="FE88" s="229"/>
      <c r="FF88" s="36"/>
      <c r="FG88" s="229"/>
      <c r="FH88" s="230"/>
      <c r="FI88" s="87"/>
      <c r="FL88" s="227"/>
      <c r="FM88" s="228">
        <v>22</v>
      </c>
      <c r="FN88" s="229"/>
      <c r="FO88" s="36"/>
      <c r="FP88" s="229"/>
      <c r="FQ88" s="230"/>
      <c r="FR88" s="87"/>
      <c r="FU88" s="227"/>
      <c r="FV88" s="228">
        <v>22</v>
      </c>
      <c r="FW88" s="229"/>
      <c r="FX88" s="36"/>
      <c r="FY88" s="229"/>
      <c r="FZ88" s="230"/>
      <c r="GA88" s="87"/>
      <c r="GD88" s="227"/>
      <c r="GE88" s="228">
        <v>22</v>
      </c>
      <c r="GF88" s="229"/>
      <c r="GG88" s="36"/>
      <c r="GH88" s="229"/>
      <c r="GI88" s="230"/>
      <c r="GJ88" s="87"/>
      <c r="GM88" s="227"/>
      <c r="GN88" s="228">
        <v>22</v>
      </c>
      <c r="GO88" s="229"/>
      <c r="GP88" s="36"/>
      <c r="GQ88" s="229"/>
      <c r="GR88" s="230"/>
      <c r="GS88" s="87"/>
      <c r="GT88" s="187"/>
      <c r="GU88"/>
      <c r="GW88" s="235"/>
      <c r="GX88" s="235"/>
      <c r="GY88" s="195"/>
      <c r="GZ88"/>
    </row>
    <row r="89" spans="1:208" ht="16.5" thickBot="1" x14ac:dyDescent="0.3">
      <c r="A89" s="1">
        <v>27</v>
      </c>
      <c r="B89" t="e">
        <f>#REF!</f>
        <v>#REF!</v>
      </c>
      <c r="C89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38"/>
      <c r="U89" s="242"/>
      <c r="X89" s="227"/>
      <c r="Y89" s="228"/>
      <c r="Z89" s="231"/>
      <c r="AA89" s="36"/>
      <c r="AB89" s="229"/>
      <c r="AC89" s="230"/>
      <c r="AD89" s="87"/>
      <c r="AG89" s="243"/>
      <c r="AH89" s="244"/>
      <c r="AI89" s="245"/>
      <c r="AJ89" s="246"/>
      <c r="AK89" s="247"/>
      <c r="AL89" s="248"/>
      <c r="AP89" s="227"/>
      <c r="AQ89" s="228">
        <v>23</v>
      </c>
      <c r="AR89" s="231"/>
      <c r="AS89" s="232"/>
      <c r="AT89" s="229"/>
      <c r="AU89" s="230"/>
      <c r="AV89" s="87"/>
      <c r="AY89" s="227"/>
      <c r="AZ89" s="228"/>
      <c r="BA89" s="231"/>
      <c r="BB89" s="232"/>
      <c r="BC89" s="249"/>
      <c r="BD89" s="230"/>
      <c r="BE89" s="87"/>
      <c r="BH89" s="243"/>
      <c r="BI89" s="250"/>
      <c r="BJ89" s="245"/>
      <c r="BK89" s="251"/>
      <c r="BL89" s="247"/>
      <c r="BM89" s="252"/>
      <c r="BN89" s="87"/>
      <c r="BR89" s="228"/>
      <c r="BS89" s="231"/>
      <c r="BT89" s="36"/>
      <c r="BU89" s="231"/>
      <c r="BV89" s="230"/>
      <c r="BW89" s="87"/>
      <c r="BZ89" s="243"/>
      <c r="CA89" s="253"/>
      <c r="CB89" s="245"/>
      <c r="CC89" s="246"/>
      <c r="CD89" s="247"/>
      <c r="CE89" s="248"/>
      <c r="CI89" s="227"/>
      <c r="CJ89" s="228">
        <v>23</v>
      </c>
      <c r="CK89" s="231"/>
      <c r="CM89" s="231"/>
      <c r="CR89" s="243"/>
      <c r="CS89" s="253"/>
      <c r="CT89" s="245">
        <v>0</v>
      </c>
      <c r="CU89" s="246"/>
      <c r="CV89" s="247">
        <v>0</v>
      </c>
      <c r="CW89" s="248"/>
      <c r="DA89" s="243"/>
      <c r="DB89" s="253"/>
      <c r="DC89" s="245">
        <v>0</v>
      </c>
      <c r="DD89" s="246"/>
      <c r="DE89" s="247">
        <v>0</v>
      </c>
      <c r="DF89" s="248"/>
      <c r="DJ89" s="243"/>
      <c r="DK89" s="253"/>
      <c r="DL89" s="245">
        <v>0</v>
      </c>
      <c r="DM89" s="246"/>
      <c r="DN89" s="247">
        <v>0</v>
      </c>
      <c r="DO89" s="248"/>
      <c r="DS89" s="243"/>
      <c r="DT89" s="253"/>
      <c r="DU89" s="245">
        <v>0</v>
      </c>
      <c r="DV89" s="246"/>
      <c r="DW89" s="247">
        <v>0</v>
      </c>
      <c r="DX89" s="248"/>
      <c r="EB89" s="243"/>
      <c r="EC89" s="253"/>
      <c r="ED89" s="245">
        <v>0</v>
      </c>
      <c r="EE89" s="246"/>
      <c r="EF89" s="247">
        <v>0</v>
      </c>
      <c r="EG89" s="248"/>
      <c r="EK89" s="243"/>
      <c r="EL89" s="253"/>
      <c r="EM89" s="245">
        <v>0</v>
      </c>
      <c r="EN89" s="246"/>
      <c r="EO89" s="247">
        <v>0</v>
      </c>
      <c r="EP89" s="248"/>
      <c r="ET89" s="243"/>
      <c r="EU89" s="253"/>
      <c r="EV89" s="245">
        <v>0</v>
      </c>
      <c r="EW89" s="246"/>
      <c r="EX89" s="247">
        <v>0</v>
      </c>
      <c r="EY89" s="248"/>
      <c r="FC89" s="243"/>
      <c r="FD89" s="253"/>
      <c r="FE89" s="245">
        <v>0</v>
      </c>
      <c r="FF89" s="246"/>
      <c r="FG89" s="247">
        <v>0</v>
      </c>
      <c r="FH89" s="248"/>
      <c r="FL89" s="243"/>
      <c r="FM89" s="253"/>
      <c r="FN89" s="245">
        <v>0</v>
      </c>
      <c r="FO89" s="246"/>
      <c r="FP89" s="247">
        <v>0</v>
      </c>
      <c r="FQ89" s="248"/>
      <c r="FU89" s="243"/>
      <c r="FV89" s="253"/>
      <c r="FW89" s="245">
        <v>0</v>
      </c>
      <c r="FX89" s="246"/>
      <c r="FY89" s="247">
        <v>0</v>
      </c>
      <c r="FZ89" s="248"/>
      <c r="GD89" s="243"/>
      <c r="GE89" s="253"/>
      <c r="GF89" s="245">
        <v>0</v>
      </c>
      <c r="GG89" s="246"/>
      <c r="GH89" s="247">
        <v>0</v>
      </c>
      <c r="GI89" s="248"/>
      <c r="GM89" s="243"/>
      <c r="GN89" s="253"/>
      <c r="GO89" s="245">
        <v>0</v>
      </c>
      <c r="GP89" s="246"/>
      <c r="GQ89" s="247">
        <v>0</v>
      </c>
      <c r="GR89" s="248"/>
      <c r="GU89"/>
      <c r="GW89" s="235"/>
      <c r="GX89" s="235"/>
      <c r="GY89" s="195"/>
      <c r="GZ89"/>
    </row>
    <row r="90" spans="1:208" x14ac:dyDescent="0.25">
      <c r="J90" s="177"/>
      <c r="K90" s="452"/>
      <c r="T90" s="39"/>
      <c r="U90" s="217"/>
      <c r="GU90"/>
      <c r="GW90" s="235"/>
      <c r="GX90" s="235"/>
      <c r="GY90" s="195"/>
      <c r="GZ90"/>
    </row>
    <row r="91" spans="1:208" x14ac:dyDescent="0.25">
      <c r="J91" s="238"/>
      <c r="K91" s="452"/>
      <c r="T91" s="39"/>
      <c r="U91" s="217"/>
      <c r="GU91"/>
      <c r="GW91" s="235"/>
      <c r="GX91" s="235"/>
      <c r="GY91" s="195"/>
      <c r="GZ91"/>
    </row>
    <row r="92" spans="1:208" x14ac:dyDescent="0.25">
      <c r="J92" s="177"/>
      <c r="K92" s="452"/>
      <c r="O92" s="224"/>
      <c r="P92" s="225"/>
      <c r="Q92" s="226"/>
      <c r="R92" s="226"/>
      <c r="S92" s="226"/>
      <c r="T92" s="39"/>
      <c r="U92" s="217"/>
      <c r="GU92"/>
      <c r="GW92" s="235"/>
      <c r="GX92" s="235"/>
      <c r="GY92" s="195"/>
      <c r="GZ92"/>
    </row>
    <row r="93" spans="1:208" x14ac:dyDescent="0.25">
      <c r="J93" s="238"/>
      <c r="K93" s="452"/>
      <c r="M93" s="212"/>
      <c r="O93" s="224"/>
      <c r="P93" s="225"/>
      <c r="Q93" s="226"/>
      <c r="R93" s="226"/>
      <c r="S93" s="226"/>
      <c r="T93" s="39"/>
      <c r="U93" s="217"/>
      <c r="GU93"/>
      <c r="GW93" s="235"/>
      <c r="GX93" s="235"/>
      <c r="GY93" s="195"/>
      <c r="GZ93"/>
    </row>
    <row r="94" spans="1:208" x14ac:dyDescent="0.25">
      <c r="J94" s="177"/>
      <c r="K94" s="452"/>
      <c r="M94" s="212"/>
      <c r="O94" s="884"/>
      <c r="P94" s="884"/>
      <c r="Q94" s="884"/>
      <c r="T94" s="39"/>
      <c r="U94" s="217"/>
      <c r="GU94"/>
      <c r="GW94" s="235"/>
      <c r="GX94" s="235"/>
      <c r="GY94" s="195"/>
      <c r="GZ94"/>
    </row>
    <row r="95" spans="1:208" x14ac:dyDescent="0.25">
      <c r="J95" s="238"/>
      <c r="GU95"/>
      <c r="GW95" s="235"/>
      <c r="GX95" s="235"/>
      <c r="GY95" s="195"/>
      <c r="GZ95"/>
    </row>
    <row r="96" spans="1:208" x14ac:dyDescent="0.25">
      <c r="J96" s="177"/>
      <c r="GU96"/>
      <c r="GW96" s="235"/>
      <c r="GX96" s="235"/>
      <c r="GY96" s="195"/>
      <c r="GZ96"/>
    </row>
    <row r="97" spans="1:208" x14ac:dyDescent="0.25">
      <c r="A97"/>
      <c r="F97"/>
      <c r="J97" s="177"/>
      <c r="K97" s="453"/>
      <c r="L97"/>
      <c r="M97"/>
      <c r="N97"/>
      <c r="O97" s="37"/>
      <c r="P97"/>
      <c r="Q97"/>
      <c r="R97"/>
      <c r="S97"/>
      <c r="V97"/>
      <c r="W97"/>
      <c r="GU97"/>
      <c r="GW97" s="235"/>
      <c r="GX97" s="235"/>
      <c r="GY97" s="195"/>
      <c r="GZ97"/>
    </row>
    <row r="98" spans="1:208" x14ac:dyDescent="0.25">
      <c r="A98"/>
      <c r="F98"/>
      <c r="J98" s="238"/>
      <c r="K98" s="453"/>
      <c r="L98"/>
      <c r="M98"/>
      <c r="N98"/>
      <c r="O98" s="37"/>
      <c r="P98"/>
      <c r="Q98"/>
      <c r="R98"/>
      <c r="S98"/>
      <c r="V98"/>
      <c r="W98"/>
      <c r="GU98"/>
      <c r="GW98" s="235"/>
      <c r="GX98" s="235"/>
      <c r="GY98" s="195"/>
      <c r="GZ98"/>
    </row>
    <row r="99" spans="1:208" x14ac:dyDescent="0.25">
      <c r="A99"/>
      <c r="F99"/>
      <c r="J99" s="238"/>
      <c r="K99" s="453"/>
      <c r="L99"/>
      <c r="M99"/>
      <c r="N99"/>
      <c r="O99" s="37"/>
      <c r="P99"/>
      <c r="Q99"/>
      <c r="R99"/>
      <c r="S99"/>
      <c r="V99"/>
      <c r="W99"/>
      <c r="GU99"/>
      <c r="GW99" s="235"/>
      <c r="GX99" s="235"/>
      <c r="GY99" s="195"/>
      <c r="GZ99"/>
    </row>
    <row r="100" spans="1:208" x14ac:dyDescent="0.25">
      <c r="A100"/>
      <c r="F100"/>
      <c r="J100" s="238"/>
      <c r="K100" s="453"/>
      <c r="L100"/>
      <c r="M100"/>
      <c r="N100"/>
      <c r="O100" s="37"/>
      <c r="P100"/>
      <c r="Q100"/>
      <c r="R100"/>
      <c r="S100"/>
      <c r="V100"/>
      <c r="W100"/>
      <c r="GU100"/>
      <c r="GW100" s="235"/>
      <c r="GX100" s="235"/>
      <c r="GY100" s="195"/>
      <c r="GZ100"/>
    </row>
    <row r="101" spans="1:208" x14ac:dyDescent="0.25">
      <c r="A101"/>
      <c r="F101"/>
      <c r="J101" s="255"/>
      <c r="K101" s="453"/>
      <c r="L101"/>
      <c r="M101"/>
      <c r="N101"/>
      <c r="O101" s="37"/>
      <c r="P101"/>
      <c r="Q101"/>
      <c r="R101"/>
      <c r="S101"/>
      <c r="V101"/>
      <c r="W101"/>
      <c r="GU101"/>
      <c r="GW101" s="235"/>
      <c r="GX101" s="235"/>
      <c r="GY101" s="195"/>
      <c r="GZ101"/>
    </row>
    <row r="102" spans="1:208" x14ac:dyDescent="0.25">
      <c r="A102"/>
      <c r="F102"/>
      <c r="J102" s="208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195"/>
      <c r="GZ102"/>
    </row>
    <row r="103" spans="1:208" x14ac:dyDescent="0.25">
      <c r="A103"/>
      <c r="F103"/>
      <c r="J103" s="177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195"/>
      <c r="GZ103"/>
    </row>
    <row r="104" spans="1:208" x14ac:dyDescent="0.25">
      <c r="A104"/>
      <c r="F104"/>
      <c r="J104" s="177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195"/>
      <c r="GZ104"/>
    </row>
    <row r="105" spans="1:208" x14ac:dyDescent="0.25">
      <c r="A105"/>
      <c r="F105"/>
      <c r="J105" s="177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195"/>
      <c r="GZ105"/>
    </row>
    <row r="106" spans="1:208" x14ac:dyDescent="0.25">
      <c r="A106"/>
      <c r="F106"/>
      <c r="J106" s="177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195"/>
      <c r="GZ106"/>
    </row>
    <row r="107" spans="1:208" x14ac:dyDescent="0.25">
      <c r="A107"/>
      <c r="F107"/>
      <c r="J107" s="177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195"/>
      <c r="GZ107"/>
    </row>
    <row r="108" spans="1:208" x14ac:dyDescent="0.25">
      <c r="A108"/>
      <c r="F108"/>
      <c r="J108" s="177"/>
      <c r="K108" s="453"/>
      <c r="L108"/>
      <c r="M108"/>
      <c r="N108"/>
      <c r="O108" s="37"/>
      <c r="P108"/>
      <c r="Q108"/>
      <c r="R108"/>
      <c r="S108"/>
      <c r="V108"/>
      <c r="W108"/>
      <c r="GU108"/>
      <c r="GW108" s="235"/>
      <c r="GX108" s="235"/>
      <c r="GY108" s="195"/>
      <c r="GZ108"/>
    </row>
    <row r="109" spans="1:208" x14ac:dyDescent="0.25">
      <c r="A109"/>
      <c r="F109"/>
      <c r="J109" s="177"/>
      <c r="K109" s="453"/>
      <c r="L109"/>
      <c r="M109"/>
      <c r="N109"/>
      <c r="O109" s="37"/>
      <c r="P109"/>
      <c r="Q109"/>
      <c r="R109"/>
      <c r="S109"/>
      <c r="V109"/>
      <c r="W109"/>
      <c r="GU109"/>
      <c r="GW109" s="235"/>
      <c r="GX109" s="235"/>
      <c r="GY109" s="195"/>
      <c r="GZ109"/>
    </row>
  </sheetData>
  <mergeCells count="32">
    <mergeCell ref="J1:Q1"/>
    <mergeCell ref="X1:AC1"/>
    <mergeCell ref="AF1:AL1"/>
    <mergeCell ref="AO1:AU1"/>
    <mergeCell ref="AX1:BD1"/>
    <mergeCell ref="R17:S17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4:S4"/>
    <mergeCell ref="R14:S14"/>
    <mergeCell ref="FB1:FH1"/>
    <mergeCell ref="FK1:FQ1"/>
    <mergeCell ref="T83:U84"/>
    <mergeCell ref="O94:Q94"/>
    <mergeCell ref="R27:S27"/>
    <mergeCell ref="R41:S41"/>
    <mergeCell ref="M76:N76"/>
    <mergeCell ref="O76:O77"/>
    <mergeCell ref="O80:Q80"/>
    <mergeCell ref="O83:Q8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6FF99"/>
  </sheetPr>
  <dimension ref="A1:N148"/>
  <sheetViews>
    <sheetView topLeftCell="A90" workbookViewId="0">
      <selection activeCell="A93" sqref="A93"/>
    </sheetView>
  </sheetViews>
  <sheetFormatPr baseColWidth="10" defaultRowHeight="15.75" x14ac:dyDescent="0.25"/>
  <cols>
    <col min="1" max="1" width="25.5703125" style="8" customWidth="1"/>
    <col min="2" max="2" width="15" style="685" customWidth="1"/>
    <col min="3" max="3" width="11.42578125" style="62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4.85546875" style="780" bestFit="1" customWidth="1"/>
    <col min="9" max="9" width="11.85546875" style="62" customWidth="1"/>
    <col min="10" max="11" width="11.42578125" style="195"/>
  </cols>
  <sheetData>
    <row r="1" spans="1:14" ht="21" x14ac:dyDescent="0.35">
      <c r="A1" s="885" t="s">
        <v>555</v>
      </c>
      <c r="B1" s="885"/>
      <c r="C1" s="885"/>
      <c r="D1" s="885"/>
      <c r="E1" s="885"/>
      <c r="F1" s="885"/>
      <c r="G1" s="885"/>
    </row>
    <row r="2" spans="1:14" ht="16.5" thickBot="1" x14ac:dyDescent="0.3">
      <c r="D2" s="260"/>
    </row>
    <row r="3" spans="1:14" ht="17.25" thickTop="1" thickBot="1" x14ac:dyDescent="0.3">
      <c r="A3" s="262" t="s">
        <v>8</v>
      </c>
      <c r="B3" s="686" t="s">
        <v>16</v>
      </c>
      <c r="C3" s="263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781"/>
    </row>
    <row r="4" spans="1:14" ht="16.5" thickTop="1" x14ac:dyDescent="0.25">
      <c r="A4" s="268" t="s">
        <v>1206</v>
      </c>
      <c r="B4" s="687" t="s">
        <v>1348</v>
      </c>
      <c r="C4" s="269">
        <v>42918</v>
      </c>
      <c r="D4" s="270">
        <v>4562</v>
      </c>
      <c r="E4" s="261">
        <v>202.8</v>
      </c>
      <c r="F4" s="29">
        <v>69</v>
      </c>
      <c r="G4" s="39">
        <f t="shared" ref="G4:G90" si="0">F4*E4</f>
        <v>13993.2</v>
      </c>
      <c r="H4" s="752">
        <v>42917</v>
      </c>
      <c r="I4" s="62" t="s">
        <v>1172</v>
      </c>
      <c r="L4" s="195"/>
      <c r="M4" s="195"/>
      <c r="N4" s="195"/>
    </row>
    <row r="5" spans="1:14" x14ac:dyDescent="0.25">
      <c r="A5" s="268" t="s">
        <v>1494</v>
      </c>
      <c r="B5" s="687" t="s">
        <v>924</v>
      </c>
      <c r="C5" s="269">
        <v>42918</v>
      </c>
      <c r="D5" s="270">
        <v>4563</v>
      </c>
      <c r="E5" s="261">
        <v>19.5</v>
      </c>
      <c r="F5" s="29">
        <v>63</v>
      </c>
      <c r="G5" s="39">
        <f t="shared" si="0"/>
        <v>1228.5</v>
      </c>
      <c r="H5" s="752">
        <v>42917</v>
      </c>
      <c r="I5" s="62" t="s">
        <v>1172</v>
      </c>
      <c r="L5" s="195"/>
      <c r="M5" s="195"/>
      <c r="N5" s="195"/>
    </row>
    <row r="6" spans="1:14" x14ac:dyDescent="0.25">
      <c r="A6" s="268" t="s">
        <v>1173</v>
      </c>
      <c r="B6" s="687" t="s">
        <v>1489</v>
      </c>
      <c r="C6" s="269">
        <v>42918</v>
      </c>
      <c r="D6" s="270">
        <v>4564</v>
      </c>
      <c r="E6" s="261">
        <v>101.9</v>
      </c>
      <c r="F6" s="29">
        <v>27</v>
      </c>
      <c r="G6" s="39">
        <f>F6*E6+138.4*48</f>
        <v>9394.5</v>
      </c>
      <c r="H6" s="752">
        <v>42922</v>
      </c>
      <c r="I6" s="62" t="s">
        <v>1172</v>
      </c>
      <c r="L6" s="195"/>
      <c r="M6" s="195"/>
      <c r="N6" s="195"/>
    </row>
    <row r="7" spans="1:14" x14ac:dyDescent="0.25">
      <c r="A7" s="273" t="s">
        <v>1173</v>
      </c>
      <c r="B7" s="23" t="s">
        <v>1489</v>
      </c>
      <c r="C7" s="438">
        <v>42919</v>
      </c>
      <c r="D7" s="270">
        <v>4565</v>
      </c>
      <c r="E7" s="261">
        <v>199.8</v>
      </c>
      <c r="F7" s="29">
        <v>48</v>
      </c>
      <c r="G7" s="39">
        <f t="shared" si="0"/>
        <v>9590.4000000000015</v>
      </c>
      <c r="H7" s="752">
        <v>42922</v>
      </c>
      <c r="I7" s="62" t="s">
        <v>1172</v>
      </c>
      <c r="L7" s="195"/>
      <c r="M7" s="195"/>
      <c r="N7" s="195"/>
    </row>
    <row r="8" spans="1:14" x14ac:dyDescent="0.25">
      <c r="A8" s="273" t="s">
        <v>1211</v>
      </c>
      <c r="B8" s="23" t="s">
        <v>206</v>
      </c>
      <c r="C8" s="274">
        <v>42919</v>
      </c>
      <c r="D8" s="270">
        <v>4566</v>
      </c>
      <c r="E8" s="261">
        <v>153.6</v>
      </c>
      <c r="F8" s="29">
        <v>70</v>
      </c>
      <c r="G8" s="39">
        <f t="shared" si="0"/>
        <v>10752</v>
      </c>
      <c r="H8" s="752">
        <v>42919</v>
      </c>
      <c r="I8" s="62" t="s">
        <v>1172</v>
      </c>
      <c r="L8" s="195"/>
      <c r="M8" s="195"/>
      <c r="N8" s="195"/>
    </row>
    <row r="9" spans="1:14" x14ac:dyDescent="0.25">
      <c r="A9" s="273" t="s">
        <v>1171</v>
      </c>
      <c r="B9" s="23" t="s">
        <v>206</v>
      </c>
      <c r="C9" s="274">
        <v>42919</v>
      </c>
      <c r="D9" s="270">
        <v>4567</v>
      </c>
      <c r="E9" s="261">
        <v>368.9</v>
      </c>
      <c r="F9" s="29">
        <v>68</v>
      </c>
      <c r="G9" s="39">
        <f t="shared" si="0"/>
        <v>25085.199999999997</v>
      </c>
      <c r="H9" s="752">
        <v>42919</v>
      </c>
      <c r="I9" s="62" t="s">
        <v>1172</v>
      </c>
      <c r="L9" s="195"/>
      <c r="M9" s="195"/>
      <c r="N9" s="195"/>
    </row>
    <row r="10" spans="1:14" x14ac:dyDescent="0.25">
      <c r="A10" s="273" t="s">
        <v>1220</v>
      </c>
      <c r="B10" s="23" t="s">
        <v>1505</v>
      </c>
      <c r="C10" s="274">
        <v>42919</v>
      </c>
      <c r="D10" s="270">
        <v>4568</v>
      </c>
      <c r="E10" s="261">
        <v>116</v>
      </c>
      <c r="F10" s="29">
        <v>56</v>
      </c>
      <c r="G10" s="39">
        <f>F10*E10+231.4*68.1</f>
        <v>22254.339999999997</v>
      </c>
      <c r="H10" s="752">
        <v>42944</v>
      </c>
      <c r="I10" s="62" t="s">
        <v>1172</v>
      </c>
      <c r="J10" s="8"/>
      <c r="L10" s="195"/>
      <c r="M10" s="195"/>
      <c r="N10" s="195"/>
    </row>
    <row r="11" spans="1:14" x14ac:dyDescent="0.25">
      <c r="A11" s="275" t="s">
        <v>1220</v>
      </c>
      <c r="B11" s="685" t="s">
        <v>1252</v>
      </c>
      <c r="C11" s="274">
        <v>42919</v>
      </c>
      <c r="D11" s="270">
        <v>4569</v>
      </c>
      <c r="E11" s="261">
        <v>41.86</v>
      </c>
      <c r="F11" s="29">
        <v>80</v>
      </c>
      <c r="G11" s="39">
        <f>F11*E11+2*40</f>
        <v>3428.8</v>
      </c>
      <c r="H11" s="752">
        <v>42944</v>
      </c>
      <c r="I11" s="62" t="s">
        <v>1172</v>
      </c>
      <c r="L11" s="195"/>
      <c r="M11" s="195"/>
      <c r="N11" s="195"/>
    </row>
    <row r="12" spans="1:14" x14ac:dyDescent="0.25">
      <c r="A12" s="275" t="s">
        <v>1282</v>
      </c>
      <c r="B12" s="685" t="s">
        <v>1252</v>
      </c>
      <c r="C12" s="274">
        <v>42920</v>
      </c>
      <c r="D12" s="270">
        <v>4570</v>
      </c>
      <c r="E12" s="261">
        <v>21.58</v>
      </c>
      <c r="F12" s="29">
        <v>53</v>
      </c>
      <c r="G12" s="39">
        <f t="shared" si="0"/>
        <v>1143.74</v>
      </c>
      <c r="H12" s="752">
        <v>42927</v>
      </c>
      <c r="I12" s="62" t="s">
        <v>1172</v>
      </c>
      <c r="L12" s="195"/>
      <c r="M12" s="195"/>
      <c r="N12" s="195"/>
    </row>
    <row r="13" spans="1:14" x14ac:dyDescent="0.25">
      <c r="A13" s="275" t="s">
        <v>1171</v>
      </c>
      <c r="B13" s="685" t="s">
        <v>206</v>
      </c>
      <c r="C13" s="274">
        <v>42921</v>
      </c>
      <c r="D13" s="270">
        <v>4571</v>
      </c>
      <c r="E13" s="261">
        <v>716</v>
      </c>
      <c r="F13" s="29">
        <v>68</v>
      </c>
      <c r="G13" s="39">
        <f t="shared" si="0"/>
        <v>48688</v>
      </c>
      <c r="H13" s="752">
        <v>42922</v>
      </c>
      <c r="I13" s="62" t="s">
        <v>1172</v>
      </c>
      <c r="L13" s="195"/>
      <c r="M13" s="195"/>
      <c r="N13" s="195"/>
    </row>
    <row r="14" spans="1:14" x14ac:dyDescent="0.25">
      <c r="A14" s="275" t="s">
        <v>1173</v>
      </c>
      <c r="B14" s="685" t="s">
        <v>1489</v>
      </c>
      <c r="C14" s="274">
        <v>42920</v>
      </c>
      <c r="D14" s="270">
        <v>4572</v>
      </c>
      <c r="E14" s="261">
        <v>176.8</v>
      </c>
      <c r="F14" s="29">
        <v>48</v>
      </c>
      <c r="G14" s="39">
        <f>F14*E14+100*27+121*61</f>
        <v>18567.400000000001</v>
      </c>
      <c r="H14" s="801">
        <v>42922</v>
      </c>
      <c r="I14" s="520" t="s">
        <v>1172</v>
      </c>
      <c r="L14" s="195"/>
      <c r="M14" s="195"/>
      <c r="N14" s="195"/>
    </row>
    <row r="15" spans="1:14" x14ac:dyDescent="0.25">
      <c r="A15" s="275" t="s">
        <v>1497</v>
      </c>
      <c r="B15" s="685" t="s">
        <v>1498</v>
      </c>
      <c r="C15" s="274">
        <v>42920</v>
      </c>
      <c r="D15" s="270">
        <v>4573</v>
      </c>
      <c r="E15" s="261">
        <v>3</v>
      </c>
      <c r="F15" s="29">
        <v>35</v>
      </c>
      <c r="G15" s="39">
        <f t="shared" si="0"/>
        <v>105</v>
      </c>
      <c r="H15" s="752">
        <v>42921</v>
      </c>
      <c r="I15" s="62" t="s">
        <v>1172</v>
      </c>
      <c r="L15" s="195"/>
      <c r="M15" s="195"/>
      <c r="N15" s="195"/>
    </row>
    <row r="16" spans="1:14" x14ac:dyDescent="0.25">
      <c r="A16" s="275" t="s">
        <v>1220</v>
      </c>
      <c r="B16" s="685" t="s">
        <v>1182</v>
      </c>
      <c r="C16" s="274">
        <v>42921</v>
      </c>
      <c r="D16" s="270">
        <v>4574</v>
      </c>
      <c r="E16" s="261">
        <v>24514.5</v>
      </c>
      <c r="F16" s="29">
        <v>1</v>
      </c>
      <c r="G16" s="39">
        <f t="shared" si="0"/>
        <v>24514.5</v>
      </c>
      <c r="H16" s="752">
        <v>42944</v>
      </c>
      <c r="I16" s="62" t="s">
        <v>1172</v>
      </c>
      <c r="L16" s="195"/>
      <c r="M16" s="195"/>
      <c r="N16" s="195"/>
    </row>
    <row r="17" spans="1:14" x14ac:dyDescent="0.25">
      <c r="A17" s="275" t="s">
        <v>1220</v>
      </c>
      <c r="B17" s="685" t="s">
        <v>1369</v>
      </c>
      <c r="C17" s="274">
        <v>42921</v>
      </c>
      <c r="D17" s="270">
        <v>4575</v>
      </c>
      <c r="E17" s="261">
        <v>55.74</v>
      </c>
      <c r="F17" s="29">
        <v>60</v>
      </c>
      <c r="G17" s="39">
        <f t="shared" si="0"/>
        <v>3344.4</v>
      </c>
      <c r="H17" s="752">
        <v>42944</v>
      </c>
      <c r="I17" s="62">
        <v>3</v>
      </c>
      <c r="L17" s="195"/>
      <c r="M17" s="195"/>
      <c r="N17" s="195"/>
    </row>
    <row r="18" spans="1:14" x14ac:dyDescent="0.25">
      <c r="A18" s="273" t="s">
        <v>1282</v>
      </c>
      <c r="B18" s="23" t="s">
        <v>1252</v>
      </c>
      <c r="C18" s="274">
        <v>42922</v>
      </c>
      <c r="D18" s="270">
        <v>4576</v>
      </c>
      <c r="E18" s="261">
        <v>25.7</v>
      </c>
      <c r="F18" s="29">
        <v>53</v>
      </c>
      <c r="G18" s="39">
        <f t="shared" si="0"/>
        <v>1362.1</v>
      </c>
      <c r="H18" s="752">
        <v>42927</v>
      </c>
      <c r="I18" s="62" t="s">
        <v>1172</v>
      </c>
      <c r="L18" s="195"/>
      <c r="M18" s="195"/>
      <c r="N18" s="195"/>
    </row>
    <row r="19" spans="1:14" x14ac:dyDescent="0.25">
      <c r="A19" s="277" t="s">
        <v>1499</v>
      </c>
      <c r="B19" s="23" t="s">
        <v>862</v>
      </c>
      <c r="C19" s="274">
        <v>42922</v>
      </c>
      <c r="D19" s="270">
        <v>4577</v>
      </c>
      <c r="E19" s="261">
        <v>6.4</v>
      </c>
      <c r="F19" s="29">
        <v>35</v>
      </c>
      <c r="G19" s="39">
        <f t="shared" si="0"/>
        <v>224</v>
      </c>
      <c r="H19" s="752">
        <v>42924</v>
      </c>
      <c r="I19" s="62" t="s">
        <v>1172</v>
      </c>
      <c r="L19" s="195"/>
      <c r="M19" s="195"/>
      <c r="N19" s="195"/>
    </row>
    <row r="20" spans="1:14" x14ac:dyDescent="0.25">
      <c r="A20" s="273" t="s">
        <v>1171</v>
      </c>
      <c r="B20" s="23" t="s">
        <v>206</v>
      </c>
      <c r="C20" s="274">
        <v>42922</v>
      </c>
      <c r="D20" s="270">
        <v>4578</v>
      </c>
      <c r="E20" s="261">
        <v>1974.9</v>
      </c>
      <c r="F20" s="29">
        <v>68</v>
      </c>
      <c r="G20" s="39">
        <f t="shared" si="0"/>
        <v>134293.20000000001</v>
      </c>
      <c r="H20" s="752">
        <v>42928</v>
      </c>
      <c r="I20" s="62" t="s">
        <v>1172</v>
      </c>
      <c r="L20" s="195"/>
      <c r="M20" s="195"/>
      <c r="N20" s="195"/>
    </row>
    <row r="21" spans="1:14" x14ac:dyDescent="0.25">
      <c r="A21" s="273" t="s">
        <v>1173</v>
      </c>
      <c r="B21" s="23" t="s">
        <v>1489</v>
      </c>
      <c r="C21" s="274">
        <v>42922</v>
      </c>
      <c r="D21" s="270">
        <v>4579</v>
      </c>
      <c r="E21" s="261">
        <v>112.11</v>
      </c>
      <c r="F21" s="29">
        <v>27</v>
      </c>
      <c r="G21" s="39">
        <f>F21*E21+360.8*48+59.4*61</f>
        <v>23968.770000000004</v>
      </c>
      <c r="H21" s="752">
        <v>42929</v>
      </c>
      <c r="I21" s="62" t="s">
        <v>1172</v>
      </c>
      <c r="L21" s="195"/>
      <c r="M21" s="195"/>
      <c r="N21" s="195"/>
    </row>
    <row r="22" spans="1:14" x14ac:dyDescent="0.25">
      <c r="A22" s="273" t="s">
        <v>1263</v>
      </c>
      <c r="B22" s="23" t="s">
        <v>1503</v>
      </c>
      <c r="C22" s="274">
        <v>42922</v>
      </c>
      <c r="D22" s="270">
        <v>4580</v>
      </c>
      <c r="E22" s="261">
        <v>337.9</v>
      </c>
      <c r="F22" s="29">
        <v>90</v>
      </c>
      <c r="G22" s="39">
        <f t="shared" si="0"/>
        <v>30410.999999999996</v>
      </c>
      <c r="H22" s="752">
        <v>42930</v>
      </c>
      <c r="I22" s="62" t="s">
        <v>1172</v>
      </c>
      <c r="L22" s="195"/>
      <c r="M22" s="195"/>
      <c r="N22" s="195"/>
    </row>
    <row r="23" spans="1:14" x14ac:dyDescent="0.25">
      <c r="A23" s="273" t="s">
        <v>1208</v>
      </c>
      <c r="B23" s="23" t="s">
        <v>206</v>
      </c>
      <c r="C23" s="274">
        <v>42923</v>
      </c>
      <c r="D23" s="270">
        <v>4581</v>
      </c>
      <c r="E23" s="261">
        <v>593</v>
      </c>
      <c r="F23" s="29">
        <v>67</v>
      </c>
      <c r="G23" s="39">
        <f t="shared" si="0"/>
        <v>39731</v>
      </c>
      <c r="H23" s="752">
        <v>42923</v>
      </c>
      <c r="I23" s="62" t="s">
        <v>1172</v>
      </c>
      <c r="L23" s="195"/>
      <c r="M23" s="195"/>
      <c r="N23" s="195"/>
    </row>
    <row r="24" spans="1:14" x14ac:dyDescent="0.25">
      <c r="A24" s="273" t="s">
        <v>1282</v>
      </c>
      <c r="B24" s="23" t="s">
        <v>1252</v>
      </c>
      <c r="C24" s="274">
        <v>42923</v>
      </c>
      <c r="D24" s="270">
        <v>4582</v>
      </c>
      <c r="E24" s="261">
        <v>51.5</v>
      </c>
      <c r="F24" s="209">
        <v>53</v>
      </c>
      <c r="G24" s="39">
        <f t="shared" si="0"/>
        <v>2729.5</v>
      </c>
      <c r="H24" s="752">
        <v>42936</v>
      </c>
      <c r="I24" s="62" t="s">
        <v>1172</v>
      </c>
      <c r="J24" s="198"/>
      <c r="K24" s="281"/>
      <c r="L24" s="195"/>
      <c r="M24" s="195"/>
      <c r="N24" s="195"/>
    </row>
    <row r="25" spans="1:14" x14ac:dyDescent="0.25">
      <c r="A25" s="282" t="s">
        <v>1171</v>
      </c>
      <c r="B25" s="688" t="s">
        <v>206</v>
      </c>
      <c r="C25" s="284">
        <v>42923</v>
      </c>
      <c r="D25" s="270">
        <v>4583</v>
      </c>
      <c r="E25" s="261">
        <v>837.6</v>
      </c>
      <c r="F25" s="209">
        <v>68</v>
      </c>
      <c r="G25" s="39">
        <f t="shared" si="0"/>
        <v>56956.800000000003</v>
      </c>
      <c r="H25" s="752">
        <v>42928</v>
      </c>
      <c r="I25" s="62" t="s">
        <v>1172</v>
      </c>
      <c r="J25" s="198"/>
      <c r="K25" s="281"/>
      <c r="L25" s="195"/>
      <c r="M25" s="195"/>
      <c r="N25" s="195"/>
    </row>
    <row r="26" spans="1:14" x14ac:dyDescent="0.25">
      <c r="A26" s="282" t="s">
        <v>1182</v>
      </c>
      <c r="B26" s="688" t="s">
        <v>1182</v>
      </c>
      <c r="C26" s="284">
        <v>42924</v>
      </c>
      <c r="D26" s="270">
        <v>4584</v>
      </c>
      <c r="E26" s="261">
        <v>53357.4</v>
      </c>
      <c r="F26" s="209">
        <v>1</v>
      </c>
      <c r="G26" s="39">
        <f t="shared" si="0"/>
        <v>53357.4</v>
      </c>
      <c r="H26" s="752">
        <v>42928</v>
      </c>
      <c r="I26" s="62" t="s">
        <v>1172</v>
      </c>
      <c r="J26" s="198"/>
      <c r="K26" s="281"/>
      <c r="L26" s="195"/>
      <c r="M26" s="195"/>
      <c r="N26" s="195"/>
    </row>
    <row r="27" spans="1:14" x14ac:dyDescent="0.25">
      <c r="A27" s="282" t="s">
        <v>1220</v>
      </c>
      <c r="B27" s="688" t="s">
        <v>1515</v>
      </c>
      <c r="C27" s="284">
        <v>42924</v>
      </c>
      <c r="D27" s="270">
        <v>4585</v>
      </c>
      <c r="E27" s="261">
        <v>90</v>
      </c>
      <c r="F27" s="209">
        <v>38</v>
      </c>
      <c r="G27" s="39">
        <f>F27*E27+38.7*80+2*40</f>
        <v>6596</v>
      </c>
      <c r="H27" s="752">
        <v>42944</v>
      </c>
      <c r="I27" s="62" t="s">
        <v>1172</v>
      </c>
      <c r="J27" s="198"/>
      <c r="K27" s="281"/>
      <c r="L27" s="195"/>
      <c r="M27" s="195"/>
      <c r="N27" s="195"/>
    </row>
    <row r="28" spans="1:14" x14ac:dyDescent="0.25">
      <c r="A28" s="282" t="s">
        <v>1173</v>
      </c>
      <c r="B28" s="23" t="s">
        <v>1489</v>
      </c>
      <c r="C28" s="284">
        <v>42924</v>
      </c>
      <c r="D28" s="270">
        <v>4586</v>
      </c>
      <c r="E28" s="261">
        <v>61.1</v>
      </c>
      <c r="F28" s="209">
        <v>27</v>
      </c>
      <c r="G28" s="39">
        <f>F28*E28+70.4*48</f>
        <v>5028.9000000000005</v>
      </c>
      <c r="H28" s="752">
        <v>42929</v>
      </c>
      <c r="I28" s="62" t="s">
        <v>1172</v>
      </c>
      <c r="J28" s="198"/>
      <c r="K28" s="281"/>
      <c r="L28" s="195"/>
      <c r="M28" s="195"/>
      <c r="N28" s="195"/>
    </row>
    <row r="29" spans="1:14" x14ac:dyDescent="0.25">
      <c r="A29" s="282" t="s">
        <v>1171</v>
      </c>
      <c r="B29" s="23" t="s">
        <v>206</v>
      </c>
      <c r="C29" s="284">
        <v>42924</v>
      </c>
      <c r="D29" s="270">
        <v>4587</v>
      </c>
      <c r="E29" s="261">
        <v>719.5</v>
      </c>
      <c r="F29" s="209">
        <v>68</v>
      </c>
      <c r="G29" s="39">
        <f t="shared" si="0"/>
        <v>48926</v>
      </c>
      <c r="H29" s="752">
        <v>42928</v>
      </c>
      <c r="I29" s="62" t="s">
        <v>1172</v>
      </c>
      <c r="J29" s="198"/>
      <c r="K29" s="281"/>
      <c r="L29" s="195"/>
      <c r="M29" s="195"/>
      <c r="N29" s="195"/>
    </row>
    <row r="30" spans="1:14" x14ac:dyDescent="0.25">
      <c r="A30" s="282" t="s">
        <v>1220</v>
      </c>
      <c r="B30" s="23" t="s">
        <v>1514</v>
      </c>
      <c r="C30" s="284">
        <v>42924</v>
      </c>
      <c r="D30" s="270">
        <v>4588</v>
      </c>
      <c r="E30" s="261">
        <v>4</v>
      </c>
      <c r="F30" s="209">
        <v>110</v>
      </c>
      <c r="G30" s="39">
        <f t="shared" si="0"/>
        <v>440</v>
      </c>
      <c r="H30" s="752">
        <v>42944</v>
      </c>
      <c r="I30" s="62" t="s">
        <v>1172</v>
      </c>
      <c r="J30" s="198"/>
      <c r="K30" s="281"/>
      <c r="L30" s="195"/>
      <c r="M30" s="195"/>
      <c r="N30" s="195"/>
    </row>
    <row r="31" spans="1:14" ht="30" x14ac:dyDescent="0.25">
      <c r="A31" s="282" t="s">
        <v>1263</v>
      </c>
      <c r="B31" s="23" t="s">
        <v>206</v>
      </c>
      <c r="C31" s="284">
        <v>42925</v>
      </c>
      <c r="D31" s="270">
        <v>4589</v>
      </c>
      <c r="E31" s="261">
        <v>2013.6</v>
      </c>
      <c r="F31" s="209">
        <v>66</v>
      </c>
      <c r="G31" s="39">
        <f t="shared" si="0"/>
        <v>132897.60000000001</v>
      </c>
      <c r="H31" s="807" t="s">
        <v>1504</v>
      </c>
      <c r="I31" s="805" t="s">
        <v>1172</v>
      </c>
      <c r="J31" s="806"/>
      <c r="K31" s="281"/>
      <c r="L31" s="195"/>
      <c r="M31" s="195"/>
      <c r="N31" s="195"/>
    </row>
    <row r="32" spans="1:14" x14ac:dyDescent="0.25">
      <c r="A32" s="275" t="s">
        <v>1171</v>
      </c>
      <c r="B32" s="23" t="s">
        <v>206</v>
      </c>
      <c r="C32" s="274">
        <v>42926</v>
      </c>
      <c r="D32" s="270">
        <v>4590</v>
      </c>
      <c r="E32" s="261">
        <v>322.5</v>
      </c>
      <c r="F32" s="209">
        <v>68</v>
      </c>
      <c r="G32" s="39">
        <f t="shared" si="0"/>
        <v>21930</v>
      </c>
      <c r="H32" s="752">
        <v>42928</v>
      </c>
      <c r="I32" s="62" t="s">
        <v>1172</v>
      </c>
      <c r="L32" s="195"/>
      <c r="M32" s="195"/>
      <c r="N32" s="195"/>
    </row>
    <row r="33" spans="1:14" x14ac:dyDescent="0.25">
      <c r="A33" s="275" t="s">
        <v>1221</v>
      </c>
      <c r="B33" s="23" t="s">
        <v>241</v>
      </c>
      <c r="C33" s="274">
        <v>42926</v>
      </c>
      <c r="D33" s="270">
        <v>4591</v>
      </c>
      <c r="E33" s="261">
        <v>300</v>
      </c>
      <c r="F33" s="209">
        <v>35</v>
      </c>
      <c r="G33" s="39">
        <f t="shared" si="0"/>
        <v>10500</v>
      </c>
      <c r="H33" s="752">
        <v>42926</v>
      </c>
      <c r="I33" s="62" t="s">
        <v>1172</v>
      </c>
      <c r="J33" s="286"/>
      <c r="L33" s="195"/>
      <c r="M33" s="195"/>
      <c r="N33" s="195"/>
    </row>
    <row r="34" spans="1:14" x14ac:dyDescent="0.25">
      <c r="A34" s="275" t="s">
        <v>1173</v>
      </c>
      <c r="B34" s="23" t="s">
        <v>1489</v>
      </c>
      <c r="C34" s="274">
        <v>42926</v>
      </c>
      <c r="D34" s="270">
        <v>4592</v>
      </c>
      <c r="E34" s="261">
        <v>101</v>
      </c>
      <c r="F34" s="209">
        <v>64</v>
      </c>
      <c r="G34" s="39">
        <f>F34*E34+62.3*27</f>
        <v>8146.1</v>
      </c>
      <c r="H34" s="752">
        <v>42929</v>
      </c>
      <c r="I34" s="62" t="s">
        <v>1172</v>
      </c>
      <c r="J34" s="286"/>
      <c r="L34" s="195"/>
      <c r="M34" s="195"/>
      <c r="N34" s="195"/>
    </row>
    <row r="35" spans="1:14" s="8" customFormat="1" x14ac:dyDescent="0.25">
      <c r="A35" s="275" t="s">
        <v>1501</v>
      </c>
      <c r="B35" s="23" t="s">
        <v>1502</v>
      </c>
      <c r="C35" s="274">
        <v>42927</v>
      </c>
      <c r="D35" s="270">
        <v>4593</v>
      </c>
      <c r="E35" s="261">
        <v>98</v>
      </c>
      <c r="F35" s="209">
        <v>22</v>
      </c>
      <c r="G35" s="39">
        <f t="shared" si="0"/>
        <v>2156</v>
      </c>
      <c r="H35" s="752">
        <v>42927</v>
      </c>
      <c r="I35" s="519" t="s">
        <v>1172</v>
      </c>
      <c r="J35" s="195"/>
    </row>
    <row r="36" spans="1:14" s="8" customFormat="1" x14ac:dyDescent="0.25">
      <c r="A36" s="275" t="s">
        <v>1171</v>
      </c>
      <c r="B36" s="23" t="s">
        <v>206</v>
      </c>
      <c r="C36" s="274">
        <v>42927</v>
      </c>
      <c r="D36" s="270">
        <v>4594</v>
      </c>
      <c r="E36" s="261">
        <v>1575.3</v>
      </c>
      <c r="F36" s="29">
        <v>68</v>
      </c>
      <c r="G36" s="39">
        <f t="shared" si="0"/>
        <v>107120.4</v>
      </c>
      <c r="H36" s="752">
        <v>42928</v>
      </c>
      <c r="I36" s="519" t="s">
        <v>1172</v>
      </c>
      <c r="J36" s="195"/>
    </row>
    <row r="37" spans="1:14" s="8" customFormat="1" x14ac:dyDescent="0.25">
      <c r="A37" s="275" t="s">
        <v>1493</v>
      </c>
      <c r="B37" s="23" t="s">
        <v>1500</v>
      </c>
      <c r="C37" s="274">
        <v>42927</v>
      </c>
      <c r="D37" s="270">
        <v>4595</v>
      </c>
      <c r="E37" s="261">
        <v>1000</v>
      </c>
      <c r="F37" s="29">
        <v>12.5</v>
      </c>
      <c r="G37" s="39">
        <f>F37*E37+20*79</f>
        <v>14080</v>
      </c>
      <c r="H37" s="752">
        <v>42927</v>
      </c>
      <c r="I37" s="519" t="s">
        <v>1172</v>
      </c>
      <c r="J37" s="195"/>
    </row>
    <row r="38" spans="1:14" s="8" customFormat="1" x14ac:dyDescent="0.25">
      <c r="A38" s="275" t="s">
        <v>1197</v>
      </c>
      <c r="B38" s="23" t="s">
        <v>1473</v>
      </c>
      <c r="C38" s="274">
        <v>42927</v>
      </c>
      <c r="D38" s="270">
        <v>4596</v>
      </c>
      <c r="E38" s="261">
        <v>60.38</v>
      </c>
      <c r="F38" s="29">
        <v>24</v>
      </c>
      <c r="G38" s="39">
        <f t="shared" si="0"/>
        <v>1449.1200000000001</v>
      </c>
      <c r="H38" s="752">
        <v>42930</v>
      </c>
      <c r="I38" s="519" t="s">
        <v>1172</v>
      </c>
      <c r="J38" s="195"/>
    </row>
    <row r="39" spans="1:14" s="8" customFormat="1" x14ac:dyDescent="0.25">
      <c r="A39" s="275" t="s">
        <v>1173</v>
      </c>
      <c r="B39" s="685" t="s">
        <v>1489</v>
      </c>
      <c r="C39" s="274">
        <v>42927</v>
      </c>
      <c r="D39" s="270">
        <v>4597</v>
      </c>
      <c r="E39" s="261">
        <v>256.3</v>
      </c>
      <c r="F39" s="29">
        <v>48</v>
      </c>
      <c r="G39" s="39">
        <f t="shared" si="0"/>
        <v>12302.400000000001</v>
      </c>
      <c r="H39" s="752">
        <v>42929</v>
      </c>
      <c r="I39" s="62" t="s">
        <v>1172</v>
      </c>
      <c r="J39" s="195"/>
    </row>
    <row r="40" spans="1:14" x14ac:dyDescent="0.25">
      <c r="A40" s="275" t="s">
        <v>1221</v>
      </c>
      <c r="B40" s="685" t="s">
        <v>1214</v>
      </c>
      <c r="C40" s="274">
        <v>42927</v>
      </c>
      <c r="D40" s="270">
        <v>4598</v>
      </c>
      <c r="E40" s="261">
        <v>401.2</v>
      </c>
      <c r="F40" s="29">
        <v>38</v>
      </c>
      <c r="G40" s="39">
        <f t="shared" si="0"/>
        <v>15245.6</v>
      </c>
      <c r="H40" s="752">
        <v>42928</v>
      </c>
      <c r="I40" s="62" t="s">
        <v>1172</v>
      </c>
      <c r="L40" s="195"/>
      <c r="M40" s="195"/>
      <c r="N40" s="195"/>
    </row>
    <row r="41" spans="1:14" x14ac:dyDescent="0.25">
      <c r="A41" s="275" t="s">
        <v>1171</v>
      </c>
      <c r="B41" s="685" t="s">
        <v>206</v>
      </c>
      <c r="C41" s="274">
        <v>42928</v>
      </c>
      <c r="D41" s="270">
        <v>4599</v>
      </c>
      <c r="E41" s="261">
        <v>1041.4000000000001</v>
      </c>
      <c r="F41" s="29">
        <v>68</v>
      </c>
      <c r="G41" s="39">
        <f>F41*E41+299.9*66</f>
        <v>90608.6</v>
      </c>
      <c r="H41" s="752">
        <v>42928</v>
      </c>
      <c r="I41" s="62" t="s">
        <v>1172</v>
      </c>
      <c r="L41" s="195"/>
      <c r="M41" s="195"/>
      <c r="N41" s="195"/>
    </row>
    <row r="42" spans="1:14" x14ac:dyDescent="0.25">
      <c r="A42" s="808" t="s">
        <v>1220</v>
      </c>
      <c r="B42" s="689" t="s">
        <v>1514</v>
      </c>
      <c r="C42" s="678">
        <v>42928</v>
      </c>
      <c r="D42" s="270">
        <v>4600</v>
      </c>
      <c r="E42" s="261">
        <v>4</v>
      </c>
      <c r="F42" s="29">
        <v>110</v>
      </c>
      <c r="G42" s="39">
        <f t="shared" si="0"/>
        <v>440</v>
      </c>
      <c r="H42" s="752">
        <v>42944</v>
      </c>
      <c r="I42" s="62" t="s">
        <v>1172</v>
      </c>
      <c r="L42" s="195"/>
      <c r="M42" s="195"/>
      <c r="N42" s="195"/>
    </row>
    <row r="43" spans="1:14" x14ac:dyDescent="0.25">
      <c r="A43" s="808" t="s">
        <v>1220</v>
      </c>
      <c r="B43" s="689" t="s">
        <v>1322</v>
      </c>
      <c r="C43" s="678">
        <v>42928</v>
      </c>
      <c r="D43" s="270">
        <v>4601</v>
      </c>
      <c r="E43" s="261">
        <v>64.400000000000006</v>
      </c>
      <c r="F43" s="29">
        <v>60</v>
      </c>
      <c r="G43" s="39">
        <f>F43*E43+67.6*42+108.8*60+38*80+90.9*70+2*40</f>
        <v>22714.2</v>
      </c>
      <c r="H43" s="752">
        <v>42944</v>
      </c>
      <c r="I43" s="62" t="s">
        <v>1172</v>
      </c>
      <c r="L43" s="195"/>
      <c r="M43" s="195"/>
      <c r="N43" s="195"/>
    </row>
    <row r="44" spans="1:14" x14ac:dyDescent="0.25">
      <c r="A44" s="291" t="s">
        <v>1173</v>
      </c>
      <c r="B44" s="689" t="s">
        <v>1489</v>
      </c>
      <c r="C44" s="292">
        <v>42929</v>
      </c>
      <c r="D44" s="270">
        <v>4602</v>
      </c>
      <c r="E44" s="261">
        <v>41.2</v>
      </c>
      <c r="F44" s="29">
        <v>27</v>
      </c>
      <c r="G44" s="39">
        <f t="shared" si="0"/>
        <v>1112.4000000000001</v>
      </c>
      <c r="H44" s="752">
        <v>42933</v>
      </c>
      <c r="I44" s="62" t="s">
        <v>1172</v>
      </c>
      <c r="L44" s="195"/>
      <c r="M44" s="195"/>
      <c r="N44" s="195"/>
    </row>
    <row r="45" spans="1:14" x14ac:dyDescent="0.25">
      <c r="A45" s="290" t="s">
        <v>1171</v>
      </c>
      <c r="B45" s="689" t="s">
        <v>206</v>
      </c>
      <c r="C45" s="269">
        <v>42929</v>
      </c>
      <c r="D45" s="270">
        <v>4603</v>
      </c>
      <c r="E45" s="261">
        <v>687.8</v>
      </c>
      <c r="F45" s="29">
        <v>68</v>
      </c>
      <c r="G45" s="39">
        <f>F45*E45+326.3*66</f>
        <v>68306.2</v>
      </c>
      <c r="H45" s="752">
        <v>42929</v>
      </c>
      <c r="I45" s="62" t="s">
        <v>1172</v>
      </c>
      <c r="L45" s="195"/>
      <c r="M45" s="195"/>
      <c r="N45" s="195"/>
    </row>
    <row r="46" spans="1:14" x14ac:dyDescent="0.25">
      <c r="A46" s="290" t="s">
        <v>1197</v>
      </c>
      <c r="B46" s="689" t="s">
        <v>1473</v>
      </c>
      <c r="C46" s="269">
        <v>42929</v>
      </c>
      <c r="D46" s="270">
        <v>4604</v>
      </c>
      <c r="E46" s="261">
        <v>166.92</v>
      </c>
      <c r="F46" s="29">
        <v>24</v>
      </c>
      <c r="G46" s="39">
        <f t="shared" si="0"/>
        <v>4006.08</v>
      </c>
      <c r="H46" s="752">
        <v>42936</v>
      </c>
      <c r="I46" s="62" t="s">
        <v>1172</v>
      </c>
      <c r="L46" s="195"/>
      <c r="M46" s="195"/>
      <c r="N46" s="195"/>
    </row>
    <row r="47" spans="1:14" x14ac:dyDescent="0.25">
      <c r="A47" s="290" t="s">
        <v>1197</v>
      </c>
      <c r="B47" s="689" t="s">
        <v>1473</v>
      </c>
      <c r="C47" s="269">
        <v>42929</v>
      </c>
      <c r="D47" s="270">
        <v>4605</v>
      </c>
      <c r="E47" s="261">
        <v>649.79999999999995</v>
      </c>
      <c r="F47" s="29">
        <v>22</v>
      </c>
      <c r="G47" s="39">
        <f t="shared" si="0"/>
        <v>14295.599999999999</v>
      </c>
      <c r="H47" s="752">
        <v>42936</v>
      </c>
      <c r="I47" s="62" t="s">
        <v>1172</v>
      </c>
      <c r="L47" s="195"/>
      <c r="M47" s="195"/>
      <c r="N47" s="195"/>
    </row>
    <row r="48" spans="1:14" x14ac:dyDescent="0.25">
      <c r="A48" s="290" t="s">
        <v>1499</v>
      </c>
      <c r="B48" s="689" t="s">
        <v>1258</v>
      </c>
      <c r="C48" s="269">
        <v>42927</v>
      </c>
      <c r="D48" s="270">
        <v>4606</v>
      </c>
      <c r="E48" s="261">
        <v>10.9</v>
      </c>
      <c r="F48" s="29">
        <v>36</v>
      </c>
      <c r="G48" s="39">
        <f t="shared" si="0"/>
        <v>392.40000000000003</v>
      </c>
      <c r="H48" s="752">
        <v>42929</v>
      </c>
      <c r="I48" s="62" t="s">
        <v>1172</v>
      </c>
      <c r="L48" s="195"/>
      <c r="M48" s="195"/>
      <c r="N48" s="195"/>
    </row>
    <row r="49" spans="1:14" x14ac:dyDescent="0.25">
      <c r="A49" s="290" t="s">
        <v>1173</v>
      </c>
      <c r="B49" s="689" t="s">
        <v>1489</v>
      </c>
      <c r="C49" s="269">
        <v>42930</v>
      </c>
      <c r="D49" s="270">
        <v>4607</v>
      </c>
      <c r="E49" s="261">
        <v>281.7</v>
      </c>
      <c r="F49" s="29">
        <v>48</v>
      </c>
      <c r="G49" s="39">
        <f>F49*E49+52.8*27+117*27</f>
        <v>18106.199999999997</v>
      </c>
      <c r="H49" s="752">
        <v>42933</v>
      </c>
      <c r="I49" s="62" t="s">
        <v>1172</v>
      </c>
      <c r="L49" s="195"/>
      <c r="M49" s="195"/>
      <c r="N49" s="195"/>
    </row>
    <row r="50" spans="1:14" x14ac:dyDescent="0.25">
      <c r="A50" s="290" t="s">
        <v>1208</v>
      </c>
      <c r="B50" s="689" t="s">
        <v>206</v>
      </c>
      <c r="C50" s="269">
        <v>42930</v>
      </c>
      <c r="D50" s="270">
        <v>4608</v>
      </c>
      <c r="E50" s="261">
        <v>539</v>
      </c>
      <c r="F50" s="29">
        <v>67</v>
      </c>
      <c r="G50" s="39">
        <f t="shared" si="0"/>
        <v>36113</v>
      </c>
      <c r="H50" s="752">
        <v>42931</v>
      </c>
      <c r="I50" s="62" t="s">
        <v>1172</v>
      </c>
      <c r="L50" s="195"/>
      <c r="M50" s="195"/>
      <c r="N50" s="195"/>
    </row>
    <row r="51" spans="1:14" x14ac:dyDescent="0.25">
      <c r="A51" s="290" t="s">
        <v>1496</v>
      </c>
      <c r="B51" s="689"/>
      <c r="C51" s="269"/>
      <c r="D51" s="270">
        <v>4609</v>
      </c>
      <c r="G51" s="39">
        <f t="shared" si="0"/>
        <v>0</v>
      </c>
      <c r="H51" s="752"/>
      <c r="L51" s="195"/>
      <c r="M51" s="195"/>
      <c r="N51" s="195"/>
    </row>
    <row r="52" spans="1:14" x14ac:dyDescent="0.25">
      <c r="A52" s="290" t="s">
        <v>1171</v>
      </c>
      <c r="B52" s="689" t="s">
        <v>206</v>
      </c>
      <c r="C52" s="269">
        <v>42930</v>
      </c>
      <c r="D52" s="270">
        <v>4610</v>
      </c>
      <c r="E52" s="261">
        <v>746.3</v>
      </c>
      <c r="F52" s="29">
        <v>68</v>
      </c>
      <c r="G52" s="39">
        <f>F52*E52+292.4*64</f>
        <v>69462</v>
      </c>
      <c r="H52" s="752">
        <v>42936</v>
      </c>
      <c r="I52" s="62" t="s">
        <v>1172</v>
      </c>
      <c r="L52" s="195"/>
      <c r="M52" s="195"/>
      <c r="N52" s="195"/>
    </row>
    <row r="53" spans="1:14" x14ac:dyDescent="0.25">
      <c r="A53" s="290" t="s">
        <v>1506</v>
      </c>
      <c r="B53" s="689" t="s">
        <v>1505</v>
      </c>
      <c r="C53" s="269">
        <v>42931</v>
      </c>
      <c r="D53" s="270">
        <v>4611</v>
      </c>
      <c r="E53" s="261">
        <v>51.52</v>
      </c>
      <c r="F53" s="29">
        <v>66</v>
      </c>
      <c r="G53" s="39">
        <f t="shared" si="0"/>
        <v>3400.32</v>
      </c>
      <c r="H53" s="752">
        <v>42931</v>
      </c>
      <c r="I53" s="62" t="s">
        <v>1172</v>
      </c>
      <c r="L53" s="195"/>
      <c r="M53" s="195"/>
      <c r="N53" s="195"/>
    </row>
    <row r="54" spans="1:14" x14ac:dyDescent="0.25">
      <c r="A54" s="290" t="s">
        <v>1257</v>
      </c>
      <c r="B54" s="689" t="s">
        <v>1500</v>
      </c>
      <c r="C54" s="269">
        <v>42931</v>
      </c>
      <c r="D54" s="270">
        <v>4612</v>
      </c>
      <c r="E54" s="261">
        <v>31</v>
      </c>
      <c r="F54" s="29">
        <v>78</v>
      </c>
      <c r="G54" s="39">
        <f>F54*E54+39.2*54</f>
        <v>4534.8</v>
      </c>
      <c r="H54" s="752">
        <v>42931</v>
      </c>
      <c r="I54" s="62" t="s">
        <v>1172</v>
      </c>
      <c r="J54" s="8"/>
      <c r="L54" s="195"/>
      <c r="M54" s="195"/>
      <c r="N54" s="195"/>
    </row>
    <row r="55" spans="1:14" x14ac:dyDescent="0.25">
      <c r="A55" s="290" t="s">
        <v>1220</v>
      </c>
      <c r="B55" s="689" t="s">
        <v>1182</v>
      </c>
      <c r="C55" s="269">
        <v>42930</v>
      </c>
      <c r="D55" s="270">
        <v>4613</v>
      </c>
      <c r="E55" s="261">
        <v>167.3</v>
      </c>
      <c r="F55" s="29">
        <v>70</v>
      </c>
      <c r="G55" s="39">
        <f t="shared" si="0"/>
        <v>11711</v>
      </c>
      <c r="H55" s="752">
        <v>42931</v>
      </c>
      <c r="I55" s="62" t="s">
        <v>1172</v>
      </c>
      <c r="L55" s="195"/>
      <c r="M55" s="195"/>
      <c r="N55" s="195"/>
    </row>
    <row r="56" spans="1:14" x14ac:dyDescent="0.25">
      <c r="A56" s="293" t="s">
        <v>1182</v>
      </c>
      <c r="B56" s="689" t="s">
        <v>1182</v>
      </c>
      <c r="C56" s="294">
        <v>42930</v>
      </c>
      <c r="D56" s="270">
        <v>4614</v>
      </c>
      <c r="E56" s="261">
        <v>43576</v>
      </c>
      <c r="F56" s="29">
        <v>1</v>
      </c>
      <c r="G56" s="39">
        <f t="shared" si="0"/>
        <v>43576</v>
      </c>
      <c r="H56" s="752">
        <v>42933</v>
      </c>
      <c r="I56" s="62" t="s">
        <v>1172</v>
      </c>
      <c r="J56" s="8"/>
      <c r="L56" s="195"/>
      <c r="M56" s="195"/>
      <c r="N56" s="195"/>
    </row>
    <row r="57" spans="1:14" x14ac:dyDescent="0.25">
      <c r="A57" s="293" t="s">
        <v>1206</v>
      </c>
      <c r="B57" s="689" t="s">
        <v>1348</v>
      </c>
      <c r="C57" s="294">
        <v>42931</v>
      </c>
      <c r="D57" s="270">
        <v>4615</v>
      </c>
      <c r="E57" s="261">
        <v>206.4</v>
      </c>
      <c r="F57" s="29">
        <v>69</v>
      </c>
      <c r="G57" s="39">
        <f t="shared" si="0"/>
        <v>14241.6</v>
      </c>
      <c r="H57" s="752">
        <v>42933</v>
      </c>
      <c r="I57" s="62" t="s">
        <v>1172</v>
      </c>
      <c r="J57" s="8"/>
      <c r="L57" s="195"/>
      <c r="M57" s="195"/>
      <c r="N57" s="195"/>
    </row>
    <row r="58" spans="1:14" x14ac:dyDescent="0.25">
      <c r="A58" s="293" t="s">
        <v>1208</v>
      </c>
      <c r="B58" s="689" t="s">
        <v>206</v>
      </c>
      <c r="C58" s="294">
        <v>42931</v>
      </c>
      <c r="D58" s="270">
        <v>4616</v>
      </c>
      <c r="E58" s="261">
        <v>157</v>
      </c>
      <c r="F58" s="29">
        <v>67</v>
      </c>
      <c r="G58" s="39">
        <f t="shared" si="0"/>
        <v>10519</v>
      </c>
      <c r="H58" s="752">
        <v>42931</v>
      </c>
      <c r="I58" s="62" t="s">
        <v>1172</v>
      </c>
      <c r="J58" s="8"/>
      <c r="L58" s="195"/>
      <c r="M58" s="195"/>
      <c r="N58" s="195"/>
    </row>
    <row r="59" spans="1:14" x14ac:dyDescent="0.25">
      <c r="A59" s="290" t="s">
        <v>1171</v>
      </c>
      <c r="B59" s="690" t="s">
        <v>206</v>
      </c>
      <c r="C59" s="269">
        <v>42931</v>
      </c>
      <c r="D59" s="270">
        <v>4617</v>
      </c>
      <c r="E59" s="261">
        <v>701.9</v>
      </c>
      <c r="F59" s="29">
        <v>68</v>
      </c>
      <c r="G59" s="39">
        <f t="shared" si="0"/>
        <v>47729.2</v>
      </c>
      <c r="H59" s="752">
        <v>42938</v>
      </c>
      <c r="I59" s="62" t="s">
        <v>1172</v>
      </c>
      <c r="L59" s="195"/>
      <c r="M59" s="195"/>
      <c r="N59" s="195"/>
    </row>
    <row r="60" spans="1:14" x14ac:dyDescent="0.25">
      <c r="A60" s="290" t="s">
        <v>1263</v>
      </c>
      <c r="B60" s="690" t="s">
        <v>206</v>
      </c>
      <c r="C60" s="269">
        <v>42932</v>
      </c>
      <c r="D60" s="270">
        <v>4618</v>
      </c>
      <c r="E60" s="261">
        <v>2264</v>
      </c>
      <c r="F60" s="29">
        <v>66</v>
      </c>
      <c r="G60" s="39">
        <f t="shared" si="0"/>
        <v>149424</v>
      </c>
      <c r="H60" s="752">
        <v>42945</v>
      </c>
      <c r="I60" s="62" t="s">
        <v>1172</v>
      </c>
      <c r="L60" s="195"/>
      <c r="M60" s="195"/>
      <c r="N60" s="195"/>
    </row>
    <row r="61" spans="1:14" x14ac:dyDescent="0.25">
      <c r="A61" s="290" t="s">
        <v>1173</v>
      </c>
      <c r="B61" s="690" t="s">
        <v>1489</v>
      </c>
      <c r="C61" s="269">
        <v>42932</v>
      </c>
      <c r="D61" s="270">
        <v>4619</v>
      </c>
      <c r="E61" s="261">
        <v>278.60000000000002</v>
      </c>
      <c r="F61" s="29">
        <v>27</v>
      </c>
      <c r="G61" s="39">
        <f t="shared" si="0"/>
        <v>7522.2000000000007</v>
      </c>
      <c r="H61" s="752">
        <v>42933</v>
      </c>
      <c r="I61" s="62" t="s">
        <v>1172</v>
      </c>
      <c r="L61" s="195"/>
      <c r="M61" s="195"/>
      <c r="N61" s="195"/>
    </row>
    <row r="62" spans="1:14" x14ac:dyDescent="0.25">
      <c r="A62" s="290" t="s">
        <v>1197</v>
      </c>
      <c r="B62" s="689" t="s">
        <v>1473</v>
      </c>
      <c r="C62" s="269">
        <v>42930</v>
      </c>
      <c r="D62" s="270">
        <v>4620</v>
      </c>
      <c r="E62" s="261">
        <v>60</v>
      </c>
      <c r="F62" s="29">
        <v>24</v>
      </c>
      <c r="G62" s="39">
        <f t="shared" si="0"/>
        <v>1440</v>
      </c>
      <c r="H62" s="752">
        <v>42930</v>
      </c>
      <c r="I62" s="62" t="s">
        <v>1172</v>
      </c>
      <c r="J62" s="8"/>
      <c r="L62" s="195"/>
      <c r="M62" s="195"/>
      <c r="N62" s="195"/>
    </row>
    <row r="63" spans="1:14" x14ac:dyDescent="0.25">
      <c r="A63" s="290" t="s">
        <v>1221</v>
      </c>
      <c r="B63" s="689" t="s">
        <v>241</v>
      </c>
      <c r="C63" s="269">
        <v>42933</v>
      </c>
      <c r="D63" s="270">
        <v>4621</v>
      </c>
      <c r="E63" s="261">
        <v>160</v>
      </c>
      <c r="F63" s="29">
        <v>35</v>
      </c>
      <c r="G63" s="39">
        <f t="shared" si="0"/>
        <v>5600</v>
      </c>
      <c r="H63" s="752">
        <v>42933</v>
      </c>
      <c r="I63" s="62" t="s">
        <v>1172</v>
      </c>
      <c r="J63" s="8"/>
      <c r="L63" s="195"/>
      <c r="M63" s="195"/>
      <c r="N63" s="195"/>
    </row>
    <row r="64" spans="1:14" x14ac:dyDescent="0.25">
      <c r="A64" s="290" t="s">
        <v>1171</v>
      </c>
      <c r="B64" s="689" t="s">
        <v>206</v>
      </c>
      <c r="C64" s="269">
        <v>42933</v>
      </c>
      <c r="D64" s="270">
        <v>4622</v>
      </c>
      <c r="E64" s="261">
        <v>704.8</v>
      </c>
      <c r="F64" s="29">
        <v>68</v>
      </c>
      <c r="G64" s="39">
        <f t="shared" si="0"/>
        <v>47926.399999999994</v>
      </c>
      <c r="H64" s="752">
        <v>42938</v>
      </c>
      <c r="I64" s="62" t="s">
        <v>1172</v>
      </c>
      <c r="J64" s="8"/>
      <c r="L64" s="195"/>
      <c r="M64" s="195"/>
      <c r="N64" s="195"/>
    </row>
    <row r="65" spans="1:14" x14ac:dyDescent="0.25">
      <c r="A65" s="290" t="s">
        <v>1211</v>
      </c>
      <c r="B65" s="689" t="s">
        <v>1291</v>
      </c>
      <c r="C65" s="269">
        <v>42933</v>
      </c>
      <c r="D65" s="270">
        <v>4623</v>
      </c>
      <c r="E65" s="261">
        <v>102</v>
      </c>
      <c r="F65" s="29">
        <v>78</v>
      </c>
      <c r="G65" s="39">
        <f t="shared" si="0"/>
        <v>7956</v>
      </c>
      <c r="H65" s="752">
        <v>42933</v>
      </c>
      <c r="I65" s="62" t="s">
        <v>1172</v>
      </c>
      <c r="J65" s="8"/>
      <c r="L65" s="195"/>
      <c r="M65" s="195"/>
      <c r="N65" s="195"/>
    </row>
    <row r="66" spans="1:14" x14ac:dyDescent="0.25">
      <c r="A66" s="290" t="s">
        <v>1220</v>
      </c>
      <c r="B66" s="689" t="s">
        <v>1205</v>
      </c>
      <c r="C66" s="269">
        <v>42933</v>
      </c>
      <c r="D66" s="270">
        <v>4624</v>
      </c>
      <c r="E66" s="261">
        <v>96.62</v>
      </c>
      <c r="F66" s="29">
        <v>52</v>
      </c>
      <c r="G66" s="39">
        <f t="shared" si="0"/>
        <v>5024.24</v>
      </c>
      <c r="H66" s="752">
        <v>42944</v>
      </c>
      <c r="I66" s="62" t="s">
        <v>1172</v>
      </c>
      <c r="L66" s="195"/>
      <c r="M66" s="195"/>
      <c r="N66" s="195"/>
    </row>
    <row r="67" spans="1:14" x14ac:dyDescent="0.25">
      <c r="A67" s="290" t="s">
        <v>1507</v>
      </c>
      <c r="B67" s="689" t="s">
        <v>1508</v>
      </c>
      <c r="C67" s="269">
        <v>42933</v>
      </c>
      <c r="D67" s="270">
        <v>4625</v>
      </c>
      <c r="E67" s="261">
        <v>43.6</v>
      </c>
      <c r="F67" s="29">
        <v>46</v>
      </c>
      <c r="G67" s="39">
        <f>F67*E67+6.5*24</f>
        <v>2161.6000000000004</v>
      </c>
      <c r="H67" s="752">
        <v>42933</v>
      </c>
      <c r="I67" s="62" t="s">
        <v>1172</v>
      </c>
      <c r="J67" s="8"/>
      <c r="L67" s="195"/>
      <c r="M67" s="195"/>
      <c r="N67" s="195"/>
    </row>
    <row r="68" spans="1:14" ht="17.25" customHeight="1" x14ac:dyDescent="0.25">
      <c r="A68" s="290" t="s">
        <v>1197</v>
      </c>
      <c r="B68" s="691" t="s">
        <v>1509</v>
      </c>
      <c r="C68" s="269">
        <v>42934</v>
      </c>
      <c r="D68" s="270">
        <v>4626</v>
      </c>
      <c r="E68" s="296">
        <v>51.28</v>
      </c>
      <c r="F68" s="297">
        <v>57</v>
      </c>
      <c r="G68" s="39">
        <f>F68*E68+200.84*52+217*50</f>
        <v>24216.639999999999</v>
      </c>
      <c r="H68" s="783">
        <v>42939</v>
      </c>
      <c r="I68" s="298" t="s">
        <v>1172</v>
      </c>
      <c r="J68" s="300"/>
      <c r="K68" s="208"/>
      <c r="L68" s="301"/>
      <c r="M68" s="301"/>
      <c r="N68" s="301"/>
    </row>
    <row r="69" spans="1:14" x14ac:dyDescent="0.25">
      <c r="A69" s="290" t="s">
        <v>1197</v>
      </c>
      <c r="B69" s="689" t="s">
        <v>1510</v>
      </c>
      <c r="C69" s="269">
        <v>42934</v>
      </c>
      <c r="D69" s="270">
        <v>4627</v>
      </c>
      <c r="E69" s="261">
        <v>81.3</v>
      </c>
      <c r="F69" s="29">
        <v>55</v>
      </c>
      <c r="G69" s="39">
        <f>F69*E69+209.1*24</f>
        <v>9489.9</v>
      </c>
      <c r="H69" s="752">
        <v>42939</v>
      </c>
      <c r="I69" s="62" t="s">
        <v>1172</v>
      </c>
      <c r="K69" s="302"/>
      <c r="L69" s="302"/>
      <c r="M69" s="302"/>
      <c r="N69" s="302"/>
    </row>
    <row r="70" spans="1:14" x14ac:dyDescent="0.25">
      <c r="A70" s="290" t="s">
        <v>1496</v>
      </c>
      <c r="B70" s="689"/>
      <c r="C70" s="269"/>
      <c r="D70" s="270">
        <v>4628</v>
      </c>
      <c r="G70" s="39">
        <f t="shared" si="0"/>
        <v>0</v>
      </c>
      <c r="H70" s="752"/>
      <c r="K70" s="302"/>
      <c r="L70" s="302"/>
      <c r="M70" s="302"/>
      <c r="N70" s="302"/>
    </row>
    <row r="71" spans="1:14" x14ac:dyDescent="0.25">
      <c r="A71" s="290" t="s">
        <v>1180</v>
      </c>
      <c r="B71" s="692" t="s">
        <v>1214</v>
      </c>
      <c r="C71" s="269">
        <v>42935</v>
      </c>
      <c r="D71" s="270">
        <v>4629</v>
      </c>
      <c r="E71" s="261">
        <v>412.8</v>
      </c>
      <c r="F71" s="29">
        <v>38</v>
      </c>
      <c r="G71" s="39">
        <f t="shared" si="0"/>
        <v>15686.4</v>
      </c>
      <c r="H71" s="752">
        <v>42935</v>
      </c>
      <c r="I71" s="62" t="s">
        <v>1172</v>
      </c>
      <c r="L71" s="195"/>
      <c r="M71" s="195"/>
      <c r="N71" s="195"/>
    </row>
    <row r="72" spans="1:14" x14ac:dyDescent="0.25">
      <c r="A72" s="290" t="s">
        <v>1364</v>
      </c>
      <c r="B72" s="692" t="s">
        <v>1258</v>
      </c>
      <c r="C72" s="269">
        <v>42935</v>
      </c>
      <c r="D72" s="270">
        <v>4630</v>
      </c>
      <c r="E72" s="261">
        <v>607.6</v>
      </c>
      <c r="F72" s="29">
        <v>18</v>
      </c>
      <c r="G72" s="39">
        <f t="shared" si="0"/>
        <v>10936.800000000001</v>
      </c>
      <c r="H72" s="752">
        <v>42935</v>
      </c>
      <c r="I72" s="62" t="s">
        <v>1172</v>
      </c>
      <c r="L72" s="195"/>
      <c r="M72" s="195"/>
      <c r="N72" s="195"/>
    </row>
    <row r="73" spans="1:14" x14ac:dyDescent="0.25">
      <c r="A73" s="290" t="s">
        <v>1173</v>
      </c>
      <c r="B73" s="689" t="s">
        <v>1489</v>
      </c>
      <c r="C73" s="269">
        <v>42935</v>
      </c>
      <c r="D73" s="270">
        <v>4631</v>
      </c>
      <c r="E73" s="261">
        <v>340</v>
      </c>
      <c r="F73" s="29">
        <v>48</v>
      </c>
      <c r="G73" s="39">
        <f>F73*E73</f>
        <v>16320</v>
      </c>
      <c r="H73" s="752">
        <v>42939</v>
      </c>
      <c r="I73" s="62" t="s">
        <v>1172</v>
      </c>
      <c r="L73" s="195"/>
      <c r="M73" s="195"/>
      <c r="N73" s="195"/>
    </row>
    <row r="74" spans="1:14" x14ac:dyDescent="0.25">
      <c r="A74" s="290" t="s">
        <v>1171</v>
      </c>
      <c r="B74" s="689" t="s">
        <v>206</v>
      </c>
      <c r="C74" s="269">
        <v>42935</v>
      </c>
      <c r="D74" s="270">
        <v>4632</v>
      </c>
      <c r="E74" s="261">
        <v>1087.2</v>
      </c>
      <c r="F74" s="29">
        <v>68</v>
      </c>
      <c r="G74" s="39">
        <f>F74*E74+212.4*57</f>
        <v>86036.400000000009</v>
      </c>
      <c r="H74" s="752">
        <v>42942</v>
      </c>
      <c r="I74" s="62" t="s">
        <v>1172</v>
      </c>
      <c r="L74" s="195"/>
      <c r="M74" s="195"/>
      <c r="N74" s="195"/>
    </row>
    <row r="75" spans="1:14" x14ac:dyDescent="0.25">
      <c r="A75" s="291" t="s">
        <v>1496</v>
      </c>
      <c r="B75" s="689"/>
      <c r="C75" s="292"/>
      <c r="D75" s="270">
        <v>4633</v>
      </c>
      <c r="G75" s="39">
        <f t="shared" si="0"/>
        <v>0</v>
      </c>
      <c r="H75" s="752"/>
      <c r="J75" s="8"/>
      <c r="L75" s="195"/>
      <c r="M75" s="195"/>
      <c r="N75" s="195"/>
    </row>
    <row r="76" spans="1:14" x14ac:dyDescent="0.25">
      <c r="A76" s="290" t="s">
        <v>1220</v>
      </c>
      <c r="B76" s="689" t="s">
        <v>1551</v>
      </c>
      <c r="C76" s="269">
        <v>42935</v>
      </c>
      <c r="D76" s="270">
        <v>4634</v>
      </c>
      <c r="E76" s="261">
        <v>87.7</v>
      </c>
      <c r="F76" s="29">
        <v>70</v>
      </c>
      <c r="G76" s="39">
        <f t="shared" si="0"/>
        <v>6139</v>
      </c>
      <c r="H76" s="753">
        <v>42980</v>
      </c>
      <c r="I76" s="739" t="s">
        <v>1172</v>
      </c>
      <c r="J76" s="8"/>
      <c r="L76" s="195"/>
      <c r="M76" s="195"/>
      <c r="N76" s="195"/>
    </row>
    <row r="77" spans="1:14" x14ac:dyDescent="0.25">
      <c r="A77" s="290" t="s">
        <v>1171</v>
      </c>
      <c r="B77" s="689" t="s">
        <v>206</v>
      </c>
      <c r="C77" s="269">
        <v>42936</v>
      </c>
      <c r="D77" s="270">
        <v>4635</v>
      </c>
      <c r="E77" s="261">
        <v>1081.8</v>
      </c>
      <c r="F77" s="29">
        <v>68</v>
      </c>
      <c r="G77" s="39">
        <f>F77*E77+138.2*66</f>
        <v>82683.599999999991</v>
      </c>
      <c r="H77" s="752">
        <v>42937</v>
      </c>
      <c r="I77" s="62" t="s">
        <v>1172</v>
      </c>
      <c r="J77" s="8"/>
      <c r="L77" s="195"/>
      <c r="M77" s="195"/>
      <c r="N77" s="195"/>
    </row>
    <row r="78" spans="1:14" x14ac:dyDescent="0.25">
      <c r="A78" s="290" t="s">
        <v>1208</v>
      </c>
      <c r="B78" s="689" t="s">
        <v>206</v>
      </c>
      <c r="C78" s="269">
        <v>42937</v>
      </c>
      <c r="D78" s="270">
        <v>4636</v>
      </c>
      <c r="E78" s="261">
        <v>843</v>
      </c>
      <c r="F78" s="29">
        <v>67</v>
      </c>
      <c r="G78" s="39">
        <f t="shared" si="0"/>
        <v>56481</v>
      </c>
      <c r="H78" s="752">
        <v>42938</v>
      </c>
      <c r="I78" s="62" t="s">
        <v>1172</v>
      </c>
      <c r="J78" s="8"/>
      <c r="L78" s="195"/>
      <c r="M78" s="195"/>
      <c r="N78" s="195"/>
    </row>
    <row r="79" spans="1:14" x14ac:dyDescent="0.25">
      <c r="A79" s="290" t="s">
        <v>1171</v>
      </c>
      <c r="B79" s="689" t="s">
        <v>206</v>
      </c>
      <c r="C79" s="292">
        <v>42937</v>
      </c>
      <c r="D79" s="270">
        <v>4637</v>
      </c>
      <c r="E79" s="261">
        <v>769.7</v>
      </c>
      <c r="F79" s="29">
        <v>68</v>
      </c>
      <c r="G79" s="39">
        <f>F79*E79+276.7*65.52</f>
        <v>70468.983999999997</v>
      </c>
      <c r="H79" s="752">
        <v>42937</v>
      </c>
      <c r="I79" s="62" t="s">
        <v>1172</v>
      </c>
      <c r="J79" s="8"/>
      <c r="L79" s="195"/>
      <c r="M79" s="195"/>
      <c r="N79" s="195"/>
    </row>
    <row r="80" spans="1:14" x14ac:dyDescent="0.25">
      <c r="A80" s="808" t="s">
        <v>1173</v>
      </c>
      <c r="B80" s="689" t="s">
        <v>1489</v>
      </c>
      <c r="C80" s="678">
        <v>42937</v>
      </c>
      <c r="D80" s="270">
        <v>4638</v>
      </c>
      <c r="E80" s="261">
        <v>1000</v>
      </c>
      <c r="F80" s="29">
        <v>16.5</v>
      </c>
      <c r="G80" s="39">
        <f>F80*E80+250*48+124*27</f>
        <v>31848</v>
      </c>
      <c r="H80" s="752">
        <v>42939</v>
      </c>
      <c r="I80" s="62" t="s">
        <v>1172</v>
      </c>
      <c r="J80" s="8"/>
      <c r="L80" s="195"/>
      <c r="M80" s="195"/>
      <c r="N80" s="195"/>
    </row>
    <row r="81" spans="1:14" x14ac:dyDescent="0.25">
      <c r="A81" s="808" t="s">
        <v>1173</v>
      </c>
      <c r="B81" s="690" t="s">
        <v>1511</v>
      </c>
      <c r="C81" s="678">
        <v>42937</v>
      </c>
      <c r="D81" s="270">
        <v>4639</v>
      </c>
      <c r="E81" s="261">
        <v>146.5</v>
      </c>
      <c r="F81" s="29">
        <v>67</v>
      </c>
      <c r="G81" s="39">
        <f t="shared" si="0"/>
        <v>9815.5</v>
      </c>
      <c r="H81" s="752">
        <v>42939</v>
      </c>
      <c r="I81" s="62" t="s">
        <v>1172</v>
      </c>
      <c r="J81" s="8"/>
      <c r="L81" s="195"/>
      <c r="M81" s="195"/>
      <c r="N81" s="195"/>
    </row>
    <row r="82" spans="1:14" x14ac:dyDescent="0.25">
      <c r="A82" s="808" t="s">
        <v>1206</v>
      </c>
      <c r="B82" s="690" t="s">
        <v>1325</v>
      </c>
      <c r="C82" s="678">
        <v>42938</v>
      </c>
      <c r="D82" s="270">
        <v>4640</v>
      </c>
      <c r="E82" s="261">
        <v>102.6</v>
      </c>
      <c r="F82" s="29">
        <v>69</v>
      </c>
      <c r="G82" s="39">
        <f t="shared" si="0"/>
        <v>7079.4</v>
      </c>
      <c r="H82" s="752">
        <v>42938</v>
      </c>
      <c r="I82" s="62" t="s">
        <v>1172</v>
      </c>
      <c r="J82" s="8"/>
      <c r="L82" s="195"/>
      <c r="M82" s="195"/>
      <c r="N82" s="195"/>
    </row>
    <row r="83" spans="1:14" x14ac:dyDescent="0.25">
      <c r="A83" s="808" t="s">
        <v>1171</v>
      </c>
      <c r="B83" s="689" t="s">
        <v>206</v>
      </c>
      <c r="C83" s="678">
        <v>42938</v>
      </c>
      <c r="D83" s="270">
        <v>4641</v>
      </c>
      <c r="E83" s="261">
        <v>634.9</v>
      </c>
      <c r="F83" s="29">
        <v>68</v>
      </c>
      <c r="G83" s="39">
        <f>F83*E83+257.5*66</f>
        <v>60168.2</v>
      </c>
      <c r="H83" s="752">
        <v>42939</v>
      </c>
      <c r="I83" s="62" t="s">
        <v>1172</v>
      </c>
      <c r="L83" s="195"/>
      <c r="M83" s="195"/>
      <c r="N83" s="195"/>
    </row>
    <row r="84" spans="1:14" x14ac:dyDescent="0.25">
      <c r="A84" s="808" t="s">
        <v>1221</v>
      </c>
      <c r="B84" s="689" t="s">
        <v>241</v>
      </c>
      <c r="C84" s="678">
        <v>42941</v>
      </c>
      <c r="D84" s="270">
        <v>4642</v>
      </c>
      <c r="E84" s="261">
        <v>120</v>
      </c>
      <c r="F84" s="29">
        <v>35</v>
      </c>
      <c r="G84" s="39">
        <f t="shared" si="0"/>
        <v>4200</v>
      </c>
      <c r="H84" s="752">
        <v>42942</v>
      </c>
      <c r="I84" s="62" t="s">
        <v>1172</v>
      </c>
      <c r="L84" s="195"/>
      <c r="M84" s="195"/>
      <c r="N84" s="195"/>
    </row>
    <row r="85" spans="1:14" x14ac:dyDescent="0.25">
      <c r="A85" s="808" t="s">
        <v>1171</v>
      </c>
      <c r="B85" s="689" t="s">
        <v>206</v>
      </c>
      <c r="C85" s="678">
        <v>42940</v>
      </c>
      <c r="D85" s="270">
        <v>4643</v>
      </c>
      <c r="E85" s="261">
        <v>630.79999999999995</v>
      </c>
      <c r="F85" s="29">
        <v>68</v>
      </c>
      <c r="G85" s="39">
        <f t="shared" si="0"/>
        <v>42894.399999999994</v>
      </c>
      <c r="H85" s="752">
        <v>42941</v>
      </c>
      <c r="I85" s="62" t="s">
        <v>1172</v>
      </c>
      <c r="L85" s="195"/>
      <c r="M85" s="195"/>
      <c r="N85" s="195"/>
    </row>
    <row r="86" spans="1:14" x14ac:dyDescent="0.25">
      <c r="A86" s="808" t="s">
        <v>1173</v>
      </c>
      <c r="B86" s="689" t="s">
        <v>1457</v>
      </c>
      <c r="C86" s="678">
        <v>42941</v>
      </c>
      <c r="D86" s="270">
        <v>4644</v>
      </c>
      <c r="E86" s="261">
        <v>86</v>
      </c>
      <c r="F86" s="29">
        <v>27</v>
      </c>
      <c r="G86" s="39">
        <f t="shared" si="0"/>
        <v>2322</v>
      </c>
      <c r="H86" s="753">
        <v>42960</v>
      </c>
      <c r="I86" s="739" t="s">
        <v>1172</v>
      </c>
      <c r="L86" s="195"/>
      <c r="M86" s="195"/>
      <c r="N86" s="195"/>
    </row>
    <row r="87" spans="1:14" x14ac:dyDescent="0.25">
      <c r="A87" s="808" t="s">
        <v>1208</v>
      </c>
      <c r="B87" s="689" t="s">
        <v>206</v>
      </c>
      <c r="C87" s="678">
        <v>42941</v>
      </c>
      <c r="D87" s="270">
        <v>4645</v>
      </c>
      <c r="E87" s="261">
        <v>187.2</v>
      </c>
      <c r="F87" s="29">
        <v>68</v>
      </c>
      <c r="G87" s="39">
        <f t="shared" si="0"/>
        <v>12729.599999999999</v>
      </c>
      <c r="H87" s="752">
        <v>42941</v>
      </c>
      <c r="I87" s="62" t="s">
        <v>1172</v>
      </c>
      <c r="L87" s="195"/>
      <c r="M87" s="195"/>
      <c r="N87" s="195"/>
    </row>
    <row r="88" spans="1:14" x14ac:dyDescent="0.25">
      <c r="A88" s="808" t="s">
        <v>1171</v>
      </c>
      <c r="B88" s="689" t="s">
        <v>206</v>
      </c>
      <c r="C88" s="678">
        <v>42941</v>
      </c>
      <c r="D88" s="270">
        <v>4646</v>
      </c>
      <c r="E88" s="261">
        <v>665.1</v>
      </c>
      <c r="F88" s="29">
        <v>68</v>
      </c>
      <c r="G88" s="39">
        <f>F88*E88+229.1*66</f>
        <v>60347.4</v>
      </c>
      <c r="H88" s="752">
        <v>42947</v>
      </c>
      <c r="I88" s="62" t="s">
        <v>1172</v>
      </c>
      <c r="L88" s="195"/>
      <c r="M88" s="195"/>
      <c r="N88" s="195"/>
    </row>
    <row r="89" spans="1:14" x14ac:dyDescent="0.25">
      <c r="A89" s="808" t="s">
        <v>1512</v>
      </c>
      <c r="B89" s="689" t="s">
        <v>1473</v>
      </c>
      <c r="C89" s="678">
        <v>42942</v>
      </c>
      <c r="D89" s="270">
        <v>4647</v>
      </c>
      <c r="E89" s="261">
        <v>501</v>
      </c>
      <c r="F89" s="29">
        <v>22</v>
      </c>
      <c r="G89" s="39">
        <f>F89*E89+28.66*21</f>
        <v>11623.86</v>
      </c>
      <c r="H89" s="752">
        <v>42942</v>
      </c>
      <c r="I89" s="62" t="s">
        <v>1172</v>
      </c>
      <c r="L89" s="195"/>
      <c r="M89" s="195"/>
      <c r="N89" s="195"/>
    </row>
    <row r="90" spans="1:14" x14ac:dyDescent="0.25">
      <c r="A90" s="808" t="s">
        <v>1496</v>
      </c>
      <c r="B90" s="689"/>
      <c r="C90" s="678"/>
      <c r="D90" s="270">
        <v>4648</v>
      </c>
      <c r="G90" s="39">
        <f t="shared" si="0"/>
        <v>0</v>
      </c>
      <c r="H90" s="752"/>
      <c r="L90" s="195"/>
      <c r="M90" s="195"/>
      <c r="N90" s="195"/>
    </row>
    <row r="91" spans="1:14" x14ac:dyDescent="0.25">
      <c r="A91" s="808" t="s">
        <v>1171</v>
      </c>
      <c r="B91" s="689" t="s">
        <v>206</v>
      </c>
      <c r="C91" s="678">
        <v>42942</v>
      </c>
      <c r="D91" s="270">
        <v>4649</v>
      </c>
      <c r="E91" s="261">
        <v>574.5</v>
      </c>
      <c r="F91" s="29">
        <v>66</v>
      </c>
      <c r="G91" s="39">
        <f>F91*E91+1397.6*68</f>
        <v>132953.79999999999</v>
      </c>
      <c r="H91" s="752">
        <v>42947</v>
      </c>
      <c r="I91" s="62" t="s">
        <v>1172</v>
      </c>
      <c r="L91" s="195"/>
      <c r="M91" s="195"/>
      <c r="N91" s="195"/>
    </row>
    <row r="92" spans="1:14" x14ac:dyDescent="0.25">
      <c r="A92" s="808" t="s">
        <v>1173</v>
      </c>
      <c r="B92" s="689" t="s">
        <v>1489</v>
      </c>
      <c r="C92" s="678">
        <v>42944</v>
      </c>
      <c r="D92" s="270">
        <v>4650</v>
      </c>
      <c r="E92" s="261">
        <v>172.7</v>
      </c>
      <c r="F92" s="29">
        <v>27</v>
      </c>
      <c r="G92" s="39">
        <f>F92*E92+40*48+145.6*48</f>
        <v>13571.699999999999</v>
      </c>
      <c r="H92" s="752">
        <v>42944</v>
      </c>
      <c r="I92" s="62" t="s">
        <v>1172</v>
      </c>
      <c r="L92" s="195"/>
      <c r="M92" s="195"/>
      <c r="N92" s="195"/>
    </row>
    <row r="93" spans="1:14" x14ac:dyDescent="0.25">
      <c r="A93" s="808" t="s">
        <v>1220</v>
      </c>
      <c r="B93" s="689" t="s">
        <v>1473</v>
      </c>
      <c r="C93" s="678">
        <v>42943</v>
      </c>
      <c r="D93" s="270">
        <v>4651</v>
      </c>
      <c r="E93" s="261">
        <v>41.5</v>
      </c>
      <c r="F93" s="29">
        <v>24</v>
      </c>
      <c r="G93" s="39">
        <f t="shared" ref="G93:G106" si="1">F93*E93</f>
        <v>996</v>
      </c>
      <c r="H93" s="753">
        <v>42980</v>
      </c>
      <c r="I93" s="739" t="s">
        <v>1172</v>
      </c>
      <c r="L93" s="195"/>
      <c r="M93" s="195"/>
      <c r="N93" s="195"/>
    </row>
    <row r="94" spans="1:14" x14ac:dyDescent="0.25">
      <c r="A94" s="808" t="s">
        <v>1179</v>
      </c>
      <c r="B94" s="689" t="s">
        <v>1203</v>
      </c>
      <c r="C94" s="678">
        <v>42943</v>
      </c>
      <c r="D94" s="270">
        <v>4652</v>
      </c>
      <c r="E94" s="261">
        <v>322.3</v>
      </c>
      <c r="F94" s="29">
        <v>42</v>
      </c>
      <c r="G94" s="39">
        <f t="shared" si="1"/>
        <v>13536.6</v>
      </c>
      <c r="H94" s="752">
        <v>42947</v>
      </c>
      <c r="I94" s="62" t="s">
        <v>1172</v>
      </c>
      <c r="L94" s="195"/>
      <c r="M94" s="195"/>
      <c r="N94" s="195"/>
    </row>
    <row r="95" spans="1:14" x14ac:dyDescent="0.25">
      <c r="A95" s="808" t="s">
        <v>1362</v>
      </c>
      <c r="B95" s="689" t="s">
        <v>1513</v>
      </c>
      <c r="C95" s="678">
        <v>42943</v>
      </c>
      <c r="D95" s="270">
        <v>4653</v>
      </c>
      <c r="E95" s="261">
        <v>45.35</v>
      </c>
      <c r="F95" s="29">
        <v>78</v>
      </c>
      <c r="G95" s="39">
        <f t="shared" si="1"/>
        <v>3537.3</v>
      </c>
      <c r="H95" s="752">
        <v>42943</v>
      </c>
      <c r="I95" s="62" t="s">
        <v>1172</v>
      </c>
      <c r="L95" s="195"/>
      <c r="M95" s="195"/>
      <c r="N95" s="195"/>
    </row>
    <row r="96" spans="1:14" x14ac:dyDescent="0.25">
      <c r="A96" s="808" t="s">
        <v>1208</v>
      </c>
      <c r="B96" s="689" t="s">
        <v>206</v>
      </c>
      <c r="C96" s="678">
        <v>42943</v>
      </c>
      <c r="D96" s="270">
        <v>4654</v>
      </c>
      <c r="E96" s="261">
        <v>825</v>
      </c>
      <c r="F96" s="29">
        <v>67</v>
      </c>
      <c r="G96" s="39">
        <f t="shared" si="1"/>
        <v>55275</v>
      </c>
      <c r="H96" s="752">
        <v>42945</v>
      </c>
      <c r="I96" s="62" t="s">
        <v>1172</v>
      </c>
      <c r="L96" s="195"/>
      <c r="M96" s="195"/>
      <c r="N96" s="195"/>
    </row>
    <row r="97" spans="1:14" x14ac:dyDescent="0.25">
      <c r="A97" s="808" t="s">
        <v>1220</v>
      </c>
      <c r="B97" s="689" t="s">
        <v>1182</v>
      </c>
      <c r="C97" s="678">
        <v>42942</v>
      </c>
      <c r="D97" s="270">
        <v>4655</v>
      </c>
      <c r="E97" s="261">
        <v>25978.5</v>
      </c>
      <c r="F97" s="29">
        <v>1</v>
      </c>
      <c r="G97" s="39">
        <f t="shared" si="1"/>
        <v>25978.5</v>
      </c>
      <c r="H97" s="753">
        <v>42980</v>
      </c>
      <c r="I97" s="739" t="s">
        <v>1172</v>
      </c>
      <c r="L97" s="195"/>
      <c r="M97" s="195"/>
      <c r="N97" s="195"/>
    </row>
    <row r="98" spans="1:14" x14ac:dyDescent="0.25">
      <c r="A98" s="808" t="s">
        <v>1220</v>
      </c>
      <c r="B98" s="689" t="s">
        <v>1473</v>
      </c>
      <c r="C98" s="678">
        <v>42941</v>
      </c>
      <c r="D98" s="270">
        <v>4656</v>
      </c>
      <c r="E98" s="261">
        <v>21.4</v>
      </c>
      <c r="F98" s="29">
        <v>24</v>
      </c>
      <c r="G98" s="39">
        <f t="shared" si="1"/>
        <v>513.59999999999991</v>
      </c>
      <c r="H98" s="753">
        <v>42980</v>
      </c>
      <c r="I98" s="739" t="s">
        <v>1172</v>
      </c>
      <c r="L98" s="195"/>
      <c r="M98" s="195"/>
      <c r="N98" s="195"/>
    </row>
    <row r="99" spans="1:14" x14ac:dyDescent="0.25">
      <c r="A99" s="808" t="s">
        <v>1220</v>
      </c>
      <c r="B99" s="689" t="s">
        <v>1552</v>
      </c>
      <c r="C99" s="678">
        <v>42941</v>
      </c>
      <c r="D99" s="270">
        <v>4657</v>
      </c>
      <c r="E99" s="261">
        <v>775</v>
      </c>
      <c r="F99" s="29">
        <v>30</v>
      </c>
      <c r="G99" s="39">
        <f t="shared" si="1"/>
        <v>23250</v>
      </c>
      <c r="H99" s="753">
        <v>42980</v>
      </c>
      <c r="I99" s="739" t="s">
        <v>1172</v>
      </c>
      <c r="L99" s="195"/>
      <c r="M99" s="195"/>
      <c r="N99" s="195"/>
    </row>
    <row r="100" spans="1:14" x14ac:dyDescent="0.25">
      <c r="A100" s="808" t="s">
        <v>1182</v>
      </c>
      <c r="B100" s="689" t="s">
        <v>1369</v>
      </c>
      <c r="C100" s="678">
        <v>42944</v>
      </c>
      <c r="D100" s="270">
        <v>4658</v>
      </c>
      <c r="E100" s="261">
        <v>10682</v>
      </c>
      <c r="F100" s="29">
        <v>1</v>
      </c>
      <c r="G100" s="39">
        <f t="shared" si="1"/>
        <v>10682</v>
      </c>
      <c r="H100" s="752">
        <v>42944</v>
      </c>
      <c r="I100" s="62" t="s">
        <v>1172</v>
      </c>
      <c r="L100" s="195"/>
      <c r="M100" s="195"/>
      <c r="N100" s="195"/>
    </row>
    <row r="101" spans="1:14" x14ac:dyDescent="0.25">
      <c r="A101" s="808" t="s">
        <v>1182</v>
      </c>
      <c r="B101" s="689" t="s">
        <v>1252</v>
      </c>
      <c r="C101" s="678">
        <v>42944</v>
      </c>
      <c r="D101" s="270">
        <v>4659</v>
      </c>
      <c r="E101" s="261">
        <v>51362</v>
      </c>
      <c r="F101" s="29">
        <v>1</v>
      </c>
      <c r="G101" s="39">
        <f t="shared" si="1"/>
        <v>51362</v>
      </c>
      <c r="H101" s="752">
        <v>42945</v>
      </c>
      <c r="I101" s="62" t="s">
        <v>1172</v>
      </c>
      <c r="L101" s="195"/>
      <c r="M101" s="195"/>
      <c r="N101" s="195"/>
    </row>
    <row r="102" spans="1:14" x14ac:dyDescent="0.25">
      <c r="A102" s="808" t="s">
        <v>1182</v>
      </c>
      <c r="B102" s="689" t="s">
        <v>1182</v>
      </c>
      <c r="C102" s="678">
        <v>42944</v>
      </c>
      <c r="D102" s="270">
        <v>4660</v>
      </c>
      <c r="E102" s="261">
        <v>43221.599999999999</v>
      </c>
      <c r="F102" s="29">
        <v>1</v>
      </c>
      <c r="G102" s="39">
        <f t="shared" si="1"/>
        <v>43221.599999999999</v>
      </c>
      <c r="H102" s="752">
        <v>42945</v>
      </c>
      <c r="I102" s="62" t="s">
        <v>1172</v>
      </c>
      <c r="L102" s="195"/>
      <c r="M102" s="195"/>
      <c r="N102" s="195"/>
    </row>
    <row r="103" spans="1:14" x14ac:dyDescent="0.25">
      <c r="A103" s="808" t="s">
        <v>1171</v>
      </c>
      <c r="B103" s="689" t="s">
        <v>206</v>
      </c>
      <c r="C103" s="678">
        <v>42945</v>
      </c>
      <c r="D103" s="270">
        <v>4661</v>
      </c>
      <c r="E103" s="261">
        <v>691.9</v>
      </c>
      <c r="F103" s="29">
        <v>68</v>
      </c>
      <c r="G103" s="39">
        <f>F103*E103+347*66</f>
        <v>69951.199999999997</v>
      </c>
      <c r="H103" s="753">
        <v>42948</v>
      </c>
      <c r="I103" s="739" t="s">
        <v>1172</v>
      </c>
      <c r="L103" s="195"/>
      <c r="M103" s="195"/>
      <c r="N103" s="195"/>
    </row>
    <row r="104" spans="1:14" x14ac:dyDescent="0.25">
      <c r="A104" s="808" t="s">
        <v>1171</v>
      </c>
      <c r="B104" s="689" t="s">
        <v>206</v>
      </c>
      <c r="C104" s="678">
        <v>42947</v>
      </c>
      <c r="D104" s="270">
        <v>4662</v>
      </c>
      <c r="E104" s="261">
        <f>684.4+412.9</f>
        <v>1097.3</v>
      </c>
      <c r="F104" s="29">
        <v>68</v>
      </c>
      <c r="G104" s="39">
        <f t="shared" si="1"/>
        <v>74616.399999999994</v>
      </c>
      <c r="H104" s="753">
        <v>42950</v>
      </c>
      <c r="I104" s="739" t="s">
        <v>1172</v>
      </c>
      <c r="L104" s="195"/>
      <c r="M104" s="195"/>
      <c r="N104" s="195"/>
    </row>
    <row r="105" spans="1:14" x14ac:dyDescent="0.25">
      <c r="A105" s="809" t="s">
        <v>1173</v>
      </c>
      <c r="B105" s="690" t="s">
        <v>1489</v>
      </c>
      <c r="C105" s="810">
        <v>42947</v>
      </c>
      <c r="D105" s="270">
        <v>4663</v>
      </c>
      <c r="E105" s="261">
        <v>112</v>
      </c>
      <c r="F105" s="29">
        <v>64</v>
      </c>
      <c r="G105" s="39">
        <f>F105*E105+145.5*27+280*48</f>
        <v>24536.5</v>
      </c>
      <c r="H105" s="752">
        <v>42947</v>
      </c>
      <c r="I105" s="62" t="s">
        <v>1172</v>
      </c>
      <c r="L105" s="195"/>
      <c r="M105" s="195"/>
      <c r="N105" s="195"/>
    </row>
    <row r="106" spans="1:14" x14ac:dyDescent="0.25">
      <c r="A106" s="809" t="s">
        <v>1496</v>
      </c>
      <c r="B106" s="690"/>
      <c r="C106" s="810"/>
      <c r="D106" s="270">
        <v>4664</v>
      </c>
      <c r="G106" s="39">
        <f t="shared" si="1"/>
        <v>0</v>
      </c>
      <c r="H106" s="752"/>
      <c r="L106" s="195"/>
      <c r="M106" s="195"/>
      <c r="N106" s="195"/>
    </row>
    <row r="107" spans="1:14" x14ac:dyDescent="0.25">
      <c r="A107" s="290"/>
      <c r="B107" s="689"/>
      <c r="C107" s="31"/>
      <c r="D107" s="270"/>
      <c r="G107" s="39">
        <f t="shared" ref="G107:G110" si="2">F107*E107</f>
        <v>0</v>
      </c>
      <c r="H107" s="752"/>
      <c r="L107" s="195"/>
      <c r="M107" s="195"/>
      <c r="N107" s="195"/>
    </row>
    <row r="108" spans="1:14" x14ac:dyDescent="0.25">
      <c r="A108" s="288"/>
      <c r="B108" s="693"/>
      <c r="C108" s="309"/>
      <c r="D108" s="270"/>
      <c r="G108" s="39">
        <f t="shared" si="2"/>
        <v>0</v>
      </c>
      <c r="H108" s="752"/>
      <c r="L108" s="195"/>
      <c r="M108" s="195"/>
      <c r="N108" s="195"/>
    </row>
    <row r="109" spans="1:14" x14ac:dyDescent="0.25">
      <c r="A109" s="288"/>
      <c r="B109" s="693"/>
      <c r="C109" s="309"/>
      <c r="D109" s="270"/>
      <c r="G109" s="39">
        <f t="shared" si="2"/>
        <v>0</v>
      </c>
      <c r="H109" s="752"/>
      <c r="L109" s="195"/>
      <c r="M109" s="195"/>
      <c r="N109" s="195"/>
    </row>
    <row r="110" spans="1:14" ht="16.5" thickBot="1" x14ac:dyDescent="0.3">
      <c r="A110" s="288"/>
      <c r="B110" s="693"/>
      <c r="C110" s="309"/>
      <c r="D110" s="310"/>
      <c r="E110" s="311"/>
      <c r="G110" s="39">
        <f t="shared" si="2"/>
        <v>0</v>
      </c>
      <c r="H110" s="784"/>
      <c r="L110" s="195"/>
      <c r="M110" s="195"/>
      <c r="N110" s="195"/>
    </row>
    <row r="111" spans="1:14" ht="19.5" thickBot="1" x14ac:dyDescent="0.35">
      <c r="A111" s="313"/>
      <c r="B111" s="689"/>
      <c r="C111" s="31"/>
      <c r="D111" s="314"/>
      <c r="E111" s="891" t="s">
        <v>30</v>
      </c>
      <c r="F111" s="892"/>
      <c r="G111" s="214">
        <f>SUM(G24:G110)</f>
        <v>2353654.1439999994</v>
      </c>
      <c r="H111" s="785"/>
    </row>
    <row r="112" spans="1:14" x14ac:dyDescent="0.25">
      <c r="A112" s="313"/>
      <c r="B112" s="689"/>
      <c r="C112" s="31"/>
      <c r="D112" s="314"/>
      <c r="E112" s="311"/>
      <c r="F112" s="316"/>
      <c r="G112" s="39"/>
      <c r="H112" s="785"/>
    </row>
    <row r="113" spans="1:11" x14ac:dyDescent="0.25">
      <c r="A113" s="313"/>
      <c r="B113" s="689"/>
      <c r="C113" s="31"/>
      <c r="D113" s="314"/>
      <c r="E113" s="311"/>
      <c r="F113" s="316"/>
      <c r="G113" s="39"/>
      <c r="H113" s="785"/>
    </row>
    <row r="114" spans="1:11" x14ac:dyDescent="0.25">
      <c r="A114" s="313"/>
      <c r="B114" s="689"/>
      <c r="C114" s="31"/>
      <c r="D114" s="314"/>
      <c r="E114" s="311"/>
      <c r="F114" s="316"/>
      <c r="G114" s="39"/>
      <c r="H114" s="785"/>
    </row>
    <row r="115" spans="1:11" ht="18.75" x14ac:dyDescent="0.25">
      <c r="A115" s="313"/>
      <c r="B115" s="689"/>
      <c r="C115" s="31"/>
      <c r="D115" s="317"/>
      <c r="E115" s="318"/>
      <c r="F115" s="319"/>
      <c r="G115" s="320"/>
      <c r="H115" s="785"/>
    </row>
    <row r="116" spans="1:11" ht="18.75" x14ac:dyDescent="0.25">
      <c r="A116" s="313"/>
      <c r="B116" s="689"/>
      <c r="C116" s="31"/>
      <c r="D116" s="317"/>
      <c r="E116" s="318"/>
      <c r="F116" s="319"/>
      <c r="G116" s="320"/>
      <c r="H116" s="785"/>
    </row>
    <row r="117" spans="1:11" x14ac:dyDescent="0.25">
      <c r="A117" s="313"/>
      <c r="B117" s="689"/>
      <c r="C117" s="31"/>
      <c r="D117" s="317"/>
      <c r="E117" s="321"/>
      <c r="F117" s="322"/>
      <c r="G117" s="323"/>
      <c r="H117" s="785"/>
      <c r="K117"/>
    </row>
    <row r="118" spans="1:11" x14ac:dyDescent="0.25">
      <c r="A118" s="313"/>
      <c r="B118" s="689"/>
      <c r="C118" s="31"/>
      <c r="D118" s="317"/>
      <c r="E118" s="321"/>
      <c r="F118" s="322"/>
      <c r="G118" s="323"/>
      <c r="H118" s="785"/>
      <c r="K118"/>
    </row>
    <row r="119" spans="1:11" x14ac:dyDescent="0.25">
      <c r="A119" s="313"/>
      <c r="B119" s="689"/>
      <c r="C119" s="31"/>
      <c r="D119" s="317"/>
      <c r="E119" s="321"/>
      <c r="F119" s="322"/>
      <c r="G119" s="323"/>
      <c r="H119" s="785"/>
      <c r="K119"/>
    </row>
    <row r="120" spans="1:11" x14ac:dyDescent="0.25">
      <c r="A120" s="313"/>
      <c r="B120" s="689"/>
      <c r="C120" s="31"/>
      <c r="D120" s="317"/>
      <c r="E120" s="321"/>
      <c r="F120" s="322"/>
      <c r="G120" s="323"/>
      <c r="H120" s="785"/>
      <c r="K120"/>
    </row>
    <row r="121" spans="1:11" x14ac:dyDescent="0.25">
      <c r="A121" s="313"/>
      <c r="B121" s="689"/>
      <c r="C121" s="31"/>
      <c r="D121" s="317"/>
      <c r="E121" s="321"/>
      <c r="F121" s="322"/>
      <c r="G121" s="323"/>
      <c r="H121" s="785"/>
      <c r="K121"/>
    </row>
    <row r="122" spans="1:11" x14ac:dyDescent="0.25">
      <c r="A122" s="313"/>
      <c r="B122" s="689"/>
      <c r="C122" s="31"/>
      <c r="D122" s="317"/>
      <c r="E122" s="321"/>
      <c r="F122" s="322"/>
      <c r="G122" s="323"/>
      <c r="H122" s="785"/>
      <c r="K122"/>
    </row>
    <row r="123" spans="1:11" x14ac:dyDescent="0.25">
      <c r="A123" s="313"/>
      <c r="B123" s="689"/>
      <c r="C123" s="31"/>
      <c r="D123" s="317"/>
      <c r="E123" s="321"/>
      <c r="F123" s="322"/>
      <c r="G123" s="323"/>
      <c r="H123" s="785"/>
      <c r="K123"/>
    </row>
    <row r="124" spans="1:11" x14ac:dyDescent="0.25">
      <c r="A124" s="313"/>
      <c r="B124" s="694"/>
      <c r="C124" s="31"/>
      <c r="D124" s="260"/>
      <c r="E124" s="325"/>
      <c r="F124" s="326"/>
      <c r="G124" s="39"/>
      <c r="H124" s="785"/>
      <c r="K124"/>
    </row>
    <row r="125" spans="1:11" x14ac:dyDescent="0.25">
      <c r="A125" s="313"/>
      <c r="B125" s="694"/>
      <c r="C125" s="31"/>
      <c r="D125" s="260"/>
      <c r="E125" s="325"/>
      <c r="F125" s="326"/>
      <c r="G125" s="39"/>
      <c r="H125" s="785"/>
      <c r="K125"/>
    </row>
    <row r="126" spans="1:11" x14ac:dyDescent="0.25">
      <c r="A126" s="313"/>
      <c r="B126" s="694"/>
      <c r="C126" s="31"/>
      <c r="D126" s="260"/>
      <c r="E126" s="325"/>
      <c r="F126" s="326"/>
      <c r="G126" s="39"/>
      <c r="H126" s="785"/>
      <c r="K126"/>
    </row>
    <row r="127" spans="1:11" x14ac:dyDescent="0.25">
      <c r="A127" s="313"/>
      <c r="B127" s="694"/>
      <c r="C127" s="31"/>
      <c r="D127" s="260"/>
      <c r="E127" s="325"/>
      <c r="F127" s="326"/>
      <c r="G127" s="39"/>
      <c r="H127" s="785"/>
      <c r="K127"/>
    </row>
    <row r="128" spans="1:11" x14ac:dyDescent="0.25">
      <c r="A128" s="313"/>
      <c r="B128" s="694"/>
      <c r="C128" s="31"/>
      <c r="D128" s="260"/>
      <c r="E128" s="325"/>
      <c r="F128" s="326"/>
      <c r="G128" s="39"/>
      <c r="H128" s="785"/>
      <c r="K128"/>
    </row>
    <row r="129" spans="1:11" x14ac:dyDescent="0.25">
      <c r="A129" s="313"/>
      <c r="B129" s="694"/>
      <c r="C129" s="31"/>
      <c r="D129" s="260"/>
      <c r="E129" s="325"/>
      <c r="F129" s="326"/>
      <c r="G129" s="39"/>
      <c r="H129" s="785"/>
      <c r="K129"/>
    </row>
    <row r="130" spans="1:11" x14ac:dyDescent="0.25">
      <c r="A130" s="313"/>
      <c r="B130" s="694"/>
      <c r="C130" s="31"/>
      <c r="D130" s="260"/>
      <c r="E130" s="325"/>
      <c r="F130" s="326"/>
      <c r="G130" s="39"/>
      <c r="H130" s="785"/>
      <c r="K130"/>
    </row>
    <row r="131" spans="1:11" x14ac:dyDescent="0.25">
      <c r="A131" s="313"/>
      <c r="B131" s="694"/>
      <c r="C131" s="31"/>
      <c r="D131" s="260"/>
      <c r="E131" s="325"/>
      <c r="F131" s="326"/>
      <c r="G131" s="39"/>
      <c r="H131" s="785"/>
      <c r="K131"/>
    </row>
    <row r="132" spans="1:11" x14ac:dyDescent="0.25">
      <c r="A132" s="313"/>
      <c r="B132" s="694"/>
      <c r="C132" s="31"/>
      <c r="D132" s="260"/>
      <c r="E132" s="325"/>
      <c r="F132" s="326"/>
      <c r="G132" s="39"/>
      <c r="H132" s="785"/>
      <c r="K132"/>
    </row>
    <row r="133" spans="1:11" x14ac:dyDescent="0.25">
      <c r="A133" s="313"/>
      <c r="B133" s="694"/>
      <c r="C133" s="31"/>
      <c r="D133" s="260"/>
      <c r="E133" s="325"/>
      <c r="F133" s="326"/>
      <c r="G133" s="39"/>
      <c r="H133" s="785"/>
      <c r="K133"/>
    </row>
    <row r="134" spans="1:11" x14ac:dyDescent="0.25">
      <c r="A134" s="313"/>
      <c r="B134" s="694"/>
      <c r="C134" s="31"/>
      <c r="D134" s="260"/>
      <c r="E134" s="327"/>
      <c r="F134" s="328"/>
      <c r="G134" s="39"/>
      <c r="H134" s="785"/>
      <c r="K134"/>
    </row>
    <row r="135" spans="1:11" x14ac:dyDescent="0.25">
      <c r="A135" s="183"/>
      <c r="B135" s="694"/>
      <c r="C135" s="329"/>
      <c r="D135" s="260"/>
      <c r="E135" s="327"/>
      <c r="F135" s="328"/>
      <c r="G135" s="39"/>
      <c r="H135" s="785"/>
      <c r="K135"/>
    </row>
    <row r="136" spans="1:11" x14ac:dyDescent="0.25">
      <c r="B136" s="694"/>
      <c r="C136" s="329"/>
      <c r="D136" s="260"/>
      <c r="E136" s="327"/>
      <c r="F136" s="328"/>
      <c r="G136" s="39"/>
      <c r="H136" s="785"/>
      <c r="K136"/>
    </row>
    <row r="137" spans="1:11" x14ac:dyDescent="0.25">
      <c r="B137" s="694"/>
      <c r="C137" s="329"/>
      <c r="D137" s="260"/>
      <c r="E137" s="327"/>
      <c r="F137" s="328"/>
      <c r="G137" s="39"/>
      <c r="H137" s="785"/>
      <c r="K137"/>
    </row>
    <row r="138" spans="1:11" x14ac:dyDescent="0.25">
      <c r="B138" s="694"/>
      <c r="C138" s="329"/>
      <c r="D138" s="260"/>
      <c r="E138" s="327"/>
      <c r="F138" s="328"/>
      <c r="G138" s="39"/>
      <c r="H138" s="785"/>
      <c r="K138"/>
    </row>
    <row r="139" spans="1:11" x14ac:dyDescent="0.25">
      <c r="B139" s="694"/>
      <c r="C139" s="329"/>
      <c r="D139" s="260"/>
      <c r="E139" s="327"/>
      <c r="F139" s="328"/>
      <c r="G139" s="39"/>
      <c r="H139" s="785"/>
      <c r="K139"/>
    </row>
    <row r="140" spans="1:11" x14ac:dyDescent="0.25">
      <c r="A140" s="290"/>
      <c r="B140" s="694"/>
      <c r="C140" s="329"/>
      <c r="D140" s="260"/>
      <c r="E140" s="327"/>
      <c r="F140" s="328"/>
      <c r="G140" s="27"/>
      <c r="H140" s="785"/>
      <c r="K140"/>
    </row>
    <row r="141" spans="1:11" x14ac:dyDescent="0.25">
      <c r="B141" s="694"/>
      <c r="C141" s="329"/>
      <c r="D141" s="260"/>
      <c r="E141" s="327"/>
      <c r="F141" s="328"/>
      <c r="G141" s="330"/>
      <c r="H141" s="785"/>
      <c r="K141"/>
    </row>
    <row r="142" spans="1:11" x14ac:dyDescent="0.25">
      <c r="B142" s="689"/>
      <c r="C142" s="329"/>
      <c r="D142" s="331"/>
      <c r="E142" s="311"/>
      <c r="F142" s="316"/>
      <c r="G142" s="330"/>
      <c r="H142" s="785"/>
      <c r="K142"/>
    </row>
    <row r="143" spans="1:11" x14ac:dyDescent="0.25">
      <c r="B143" s="689"/>
      <c r="C143" s="329"/>
      <c r="D143" s="331"/>
      <c r="E143" s="311"/>
      <c r="F143" s="316"/>
      <c r="G143" s="330"/>
      <c r="H143" s="785"/>
      <c r="K143"/>
    </row>
    <row r="144" spans="1:11" x14ac:dyDescent="0.25">
      <c r="B144" s="689"/>
      <c r="C144" s="329"/>
      <c r="D144" s="331"/>
      <c r="E144" s="311"/>
      <c r="F144" s="316"/>
      <c r="G144" s="330"/>
      <c r="H144" s="785"/>
      <c r="K144"/>
    </row>
    <row r="145" spans="2:11" x14ac:dyDescent="0.25">
      <c r="B145" s="689"/>
      <c r="C145" s="329"/>
      <c r="D145" s="331"/>
      <c r="E145" s="311"/>
      <c r="F145" s="316"/>
      <c r="G145" s="330"/>
      <c r="H145" s="785"/>
      <c r="K145"/>
    </row>
    <row r="146" spans="2:11" x14ac:dyDescent="0.25">
      <c r="B146" s="689"/>
      <c r="C146" s="329"/>
      <c r="D146" s="331"/>
      <c r="E146" s="311"/>
      <c r="F146" s="316"/>
      <c r="G146" s="330"/>
      <c r="H146" s="785"/>
      <c r="K146"/>
    </row>
    <row r="147" spans="2:11" x14ac:dyDescent="0.25">
      <c r="B147" s="689"/>
      <c r="C147" s="329"/>
      <c r="D147" s="331"/>
      <c r="E147" s="311"/>
      <c r="F147" s="316"/>
      <c r="G147" s="330"/>
      <c r="H147" s="785"/>
      <c r="K147"/>
    </row>
    <row r="148" spans="2:11" x14ac:dyDescent="0.25">
      <c r="B148" s="689"/>
      <c r="C148" s="329"/>
      <c r="D148" s="331"/>
      <c r="E148" s="311"/>
      <c r="F148" s="316"/>
      <c r="G148" s="330"/>
      <c r="H148" s="785"/>
      <c r="K148"/>
    </row>
  </sheetData>
  <mergeCells count="2">
    <mergeCell ref="A1:G1"/>
    <mergeCell ref="E111:F11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FF"/>
  </sheetPr>
  <dimension ref="A1:GZ112"/>
  <sheetViews>
    <sheetView topLeftCell="J1" workbookViewId="0">
      <pane xSplit="4" ySplit="2" topLeftCell="N27" activePane="bottomRight" state="frozen"/>
      <selection activeCell="J1" sqref="J1"/>
      <selection pane="topRight" activeCell="N1" sqref="N1"/>
      <selection pane="bottomLeft" activeCell="J3" sqref="J3"/>
      <selection pane="bottomRight" activeCell="GZ44" sqref="GZ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207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645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32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39" t="s">
        <v>16</v>
      </c>
      <c r="L3" s="540" t="s">
        <v>17</v>
      </c>
      <c r="M3" s="541" t="s">
        <v>18</v>
      </c>
      <c r="N3" s="542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594" t="s">
        <v>5</v>
      </c>
      <c r="GZ3" s="595" t="s">
        <v>6</v>
      </c>
    </row>
    <row r="4" spans="1:208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624</v>
      </c>
      <c r="K4" s="449" t="s">
        <v>37</v>
      </c>
      <c r="L4" s="538">
        <v>16670</v>
      </c>
      <c r="M4" s="102">
        <v>42948</v>
      </c>
      <c r="N4" s="103" t="s">
        <v>711</v>
      </c>
      <c r="O4" s="351">
        <v>21445</v>
      </c>
      <c r="P4" s="60">
        <f t="shared" ref="P4:P72" si="0">O4-L4</f>
        <v>4775</v>
      </c>
      <c r="Q4" s="333">
        <v>30</v>
      </c>
      <c r="R4" s="567"/>
      <c r="S4" s="567"/>
      <c r="T4" s="39">
        <f>Q4*O4</f>
        <v>643350</v>
      </c>
      <c r="U4" s="61" t="s">
        <v>703</v>
      </c>
      <c r="V4" s="62">
        <v>42971</v>
      </c>
      <c r="W4" s="63">
        <v>15080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508">
        <v>42971</v>
      </c>
      <c r="GU4" s="29">
        <v>22176</v>
      </c>
      <c r="GV4" s="221" t="s">
        <v>670</v>
      </c>
      <c r="GW4" s="31"/>
      <c r="GX4" s="31"/>
      <c r="GY4" s="596" t="s">
        <v>778</v>
      </c>
      <c r="GZ4" s="597">
        <v>4408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44</v>
      </c>
      <c r="K5" s="407" t="s">
        <v>106</v>
      </c>
      <c r="L5" s="77">
        <v>16950</v>
      </c>
      <c r="M5" s="71">
        <v>42949</v>
      </c>
      <c r="N5" s="56" t="s">
        <v>712</v>
      </c>
      <c r="O5" s="27">
        <v>21640</v>
      </c>
      <c r="P5" s="60">
        <f t="shared" si="0"/>
        <v>4690</v>
      </c>
      <c r="Q5" s="29">
        <v>30</v>
      </c>
      <c r="R5" s="57"/>
      <c r="S5" s="57"/>
      <c r="T5" s="39">
        <f>Q5*O5</f>
        <v>649200</v>
      </c>
      <c r="U5" s="336" t="s">
        <v>703</v>
      </c>
      <c r="V5" s="166">
        <v>42972</v>
      </c>
      <c r="W5" s="86">
        <v>14929.52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42972</v>
      </c>
      <c r="GU5" s="64"/>
      <c r="GV5" s="65"/>
      <c r="GW5" s="66"/>
      <c r="GX5" s="66"/>
      <c r="GY5" s="598" t="s">
        <v>778</v>
      </c>
      <c r="GZ5" s="599">
        <v>4408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647</v>
      </c>
      <c r="K6" s="407" t="s">
        <v>46</v>
      </c>
      <c r="L6" s="77">
        <v>10860</v>
      </c>
      <c r="M6" s="71">
        <v>42950</v>
      </c>
      <c r="N6" s="56" t="s">
        <v>721</v>
      </c>
      <c r="O6" s="27">
        <v>10570</v>
      </c>
      <c r="P6" s="60">
        <f t="shared" si="0"/>
        <v>-290</v>
      </c>
      <c r="Q6" s="29">
        <v>30</v>
      </c>
      <c r="R6" s="57"/>
      <c r="S6" s="57"/>
      <c r="T6" s="39">
        <f t="shared" ref="T6:T74" si="1">Q6*O6</f>
        <v>317100</v>
      </c>
      <c r="U6" s="336" t="s">
        <v>703</v>
      </c>
      <c r="V6" s="166">
        <v>42975</v>
      </c>
      <c r="W6" s="86">
        <v>7540</v>
      </c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>
        <v>42975</v>
      </c>
      <c r="GU6" s="64">
        <v>17584</v>
      </c>
      <c r="GV6" s="65" t="s">
        <v>679</v>
      </c>
      <c r="GW6" s="66"/>
      <c r="GX6" s="66"/>
      <c r="GY6" s="598" t="s">
        <v>778</v>
      </c>
      <c r="GZ6" s="599">
        <v>2552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648</v>
      </c>
      <c r="K7" s="407" t="s">
        <v>59</v>
      </c>
      <c r="L7" s="70">
        <v>16870</v>
      </c>
      <c r="M7" s="71">
        <v>42950</v>
      </c>
      <c r="N7" s="56" t="s">
        <v>720</v>
      </c>
      <c r="O7" s="72">
        <v>24750</v>
      </c>
      <c r="P7" s="60">
        <f t="shared" si="0"/>
        <v>7880</v>
      </c>
      <c r="Q7" s="64">
        <v>30</v>
      </c>
      <c r="R7" s="57"/>
      <c r="S7" s="57"/>
      <c r="T7" s="39">
        <f t="shared" si="1"/>
        <v>742500</v>
      </c>
      <c r="U7" s="82" t="s">
        <v>703</v>
      </c>
      <c r="V7" s="339">
        <v>42975</v>
      </c>
      <c r="W7" s="340">
        <v>17342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42975</v>
      </c>
      <c r="GU7" s="73">
        <v>22176</v>
      </c>
      <c r="GV7" s="65" t="s">
        <v>678</v>
      </c>
      <c r="GW7" s="74"/>
      <c r="GX7" s="74"/>
      <c r="GY7" s="601" t="s">
        <v>778</v>
      </c>
      <c r="GZ7" s="599">
        <v>4408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649</v>
      </c>
      <c r="K8" s="407" t="s">
        <v>35</v>
      </c>
      <c r="L8" s="77">
        <v>10460</v>
      </c>
      <c r="M8" s="71">
        <v>42951</v>
      </c>
      <c r="N8" s="56" t="s">
        <v>727</v>
      </c>
      <c r="O8" s="78">
        <v>14075</v>
      </c>
      <c r="P8" s="60">
        <f t="shared" si="0"/>
        <v>3615</v>
      </c>
      <c r="Q8" s="79">
        <v>30</v>
      </c>
      <c r="R8" s="80"/>
      <c r="S8" s="81"/>
      <c r="T8" s="39">
        <f t="shared" si="1"/>
        <v>422250</v>
      </c>
      <c r="U8" s="82" t="s">
        <v>703</v>
      </c>
      <c r="V8" s="339">
        <v>42976</v>
      </c>
      <c r="W8" s="340">
        <v>9802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515">
        <v>42976</v>
      </c>
      <c r="GU8" s="73">
        <v>17584</v>
      </c>
      <c r="GV8" s="84" t="s">
        <v>680</v>
      </c>
      <c r="GW8" s="74"/>
      <c r="GX8" s="74"/>
      <c r="GY8" s="601" t="s">
        <v>778</v>
      </c>
      <c r="GZ8" s="599">
        <v>2552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650</v>
      </c>
      <c r="K9" s="407" t="s">
        <v>37</v>
      </c>
      <c r="L9" s="77">
        <v>16770</v>
      </c>
      <c r="M9" s="71">
        <v>42951</v>
      </c>
      <c r="N9" s="56" t="s">
        <v>722</v>
      </c>
      <c r="O9" s="78">
        <v>20695</v>
      </c>
      <c r="P9" s="60">
        <f t="shared" si="0"/>
        <v>3925</v>
      </c>
      <c r="Q9" s="79">
        <v>30</v>
      </c>
      <c r="R9" s="64"/>
      <c r="S9" s="89"/>
      <c r="T9" s="39">
        <f t="shared" si="1"/>
        <v>620850</v>
      </c>
      <c r="U9" s="90" t="s">
        <v>703</v>
      </c>
      <c r="V9" s="83">
        <v>42975</v>
      </c>
      <c r="W9" s="91">
        <v>15080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97">
        <v>42975</v>
      </c>
      <c r="GU9" s="98"/>
      <c r="GV9" s="65"/>
      <c r="GW9" s="74"/>
      <c r="GX9" s="74"/>
      <c r="GY9" s="601" t="s">
        <v>778</v>
      </c>
      <c r="GZ9" s="599">
        <v>4408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651</v>
      </c>
      <c r="K10" s="407" t="s">
        <v>652</v>
      </c>
      <c r="L10" s="77">
        <v>16180</v>
      </c>
      <c r="M10" s="71">
        <v>42953</v>
      </c>
      <c r="N10" s="56" t="s">
        <v>725</v>
      </c>
      <c r="O10" s="78">
        <v>20890</v>
      </c>
      <c r="P10" s="60">
        <f t="shared" si="0"/>
        <v>4710</v>
      </c>
      <c r="Q10" s="79">
        <v>29.5</v>
      </c>
      <c r="R10" s="64"/>
      <c r="S10" s="89"/>
      <c r="T10" s="39">
        <f t="shared" si="1"/>
        <v>616255</v>
      </c>
      <c r="U10" s="90" t="s">
        <v>703</v>
      </c>
      <c r="V10" s="83">
        <v>42976</v>
      </c>
      <c r="W10" s="91">
        <v>15004.6</v>
      </c>
      <c r="X10" s="17"/>
      <c r="Y10" s="20"/>
      <c r="Z10" s="92"/>
      <c r="AA10" s="93"/>
      <c r="AB10" s="92"/>
      <c r="AC10" s="94"/>
      <c r="AD10" s="95"/>
      <c r="AE10" s="17"/>
      <c r="AF10" s="17"/>
      <c r="AG10" s="17"/>
      <c r="AH10" s="20"/>
      <c r="AI10" s="92"/>
      <c r="AJ10" s="93"/>
      <c r="AK10" s="92"/>
      <c r="AL10" s="94"/>
      <c r="AM10" s="95"/>
      <c r="AN10" s="17"/>
      <c r="AO10" s="17"/>
      <c r="AP10" s="17"/>
      <c r="AQ10" s="20"/>
      <c r="AR10" s="92"/>
      <c r="AS10" s="93"/>
      <c r="AT10" s="92"/>
      <c r="AU10" s="94"/>
      <c r="AV10" s="95"/>
      <c r="AW10" s="17"/>
      <c r="AX10" s="17"/>
      <c r="AY10" s="17"/>
      <c r="AZ10" s="20"/>
      <c r="BA10" s="92"/>
      <c r="BB10" s="93"/>
      <c r="BC10" s="92"/>
      <c r="BD10" s="94"/>
      <c r="BE10" s="95"/>
      <c r="BF10" s="17"/>
      <c r="BG10" s="17"/>
      <c r="BH10" s="17"/>
      <c r="BI10" s="20"/>
      <c r="BJ10" s="92"/>
      <c r="BK10" s="93"/>
      <c r="BL10" s="92"/>
      <c r="BM10" s="94"/>
      <c r="BN10" s="95"/>
      <c r="BO10" s="17"/>
      <c r="BP10" s="17"/>
      <c r="BQ10" s="17"/>
      <c r="BR10" s="20"/>
      <c r="BS10" s="92"/>
      <c r="BT10" s="93"/>
      <c r="BU10" s="92"/>
      <c r="BV10" s="94"/>
      <c r="BW10" s="95"/>
      <c r="BX10" s="17"/>
      <c r="BY10" s="17"/>
      <c r="BZ10" s="17"/>
      <c r="CA10" s="20"/>
      <c r="CB10" s="92"/>
      <c r="CC10" s="93"/>
      <c r="CD10" s="92"/>
      <c r="CE10" s="94"/>
      <c r="CF10" s="95"/>
      <c r="CG10" s="17"/>
      <c r="CH10" s="17"/>
      <c r="CI10" s="17"/>
      <c r="CJ10" s="20"/>
      <c r="CK10" s="92"/>
      <c r="CL10" s="93"/>
      <c r="CM10" s="92"/>
      <c r="CN10" s="94"/>
      <c r="CO10" s="95"/>
      <c r="CP10" s="17"/>
      <c r="CQ10" s="17"/>
      <c r="CR10" s="17"/>
      <c r="CS10" s="20"/>
      <c r="CT10" s="92"/>
      <c r="CU10" s="93"/>
      <c r="CV10" s="96"/>
      <c r="CW10" s="94"/>
      <c r="CX10" s="95"/>
      <c r="CY10" s="17"/>
      <c r="CZ10" s="17"/>
      <c r="DA10" s="17"/>
      <c r="DB10" s="20"/>
      <c r="DC10" s="92"/>
      <c r="DD10" s="93"/>
      <c r="DE10" s="92"/>
      <c r="DF10" s="94"/>
      <c r="DG10" s="95"/>
      <c r="DH10" s="17"/>
      <c r="DI10" s="17"/>
      <c r="DJ10" s="17"/>
      <c r="DK10" s="20"/>
      <c r="DL10" s="92"/>
      <c r="DM10" s="93"/>
      <c r="DN10" s="92"/>
      <c r="DO10" s="94"/>
      <c r="DP10" s="95"/>
      <c r="DQ10" s="17"/>
      <c r="DR10" s="17"/>
      <c r="DS10" s="17"/>
      <c r="DT10" s="20"/>
      <c r="DU10" s="92"/>
      <c r="DV10" s="93"/>
      <c r="DW10" s="92"/>
      <c r="DX10" s="94"/>
      <c r="DY10" s="95"/>
      <c r="DZ10" s="17"/>
      <c r="EA10" s="17"/>
      <c r="EB10" s="17"/>
      <c r="EC10" s="20"/>
      <c r="ED10" s="92"/>
      <c r="EE10" s="93"/>
      <c r="EF10" s="92"/>
      <c r="EG10" s="94"/>
      <c r="EH10" s="95"/>
      <c r="EI10" s="17"/>
      <c r="EJ10" s="17"/>
      <c r="EK10" s="17"/>
      <c r="EL10" s="20"/>
      <c r="EM10" s="92"/>
      <c r="EN10" s="93"/>
      <c r="EO10" s="92"/>
      <c r="EP10" s="94"/>
      <c r="EQ10" s="95"/>
      <c r="ER10" s="17"/>
      <c r="ES10" s="17"/>
      <c r="ET10" s="17"/>
      <c r="EU10" s="20"/>
      <c r="EV10" s="92"/>
      <c r="EW10" s="93"/>
      <c r="EX10" s="92"/>
      <c r="EY10" s="94"/>
      <c r="EZ10" s="95"/>
      <c r="FA10" s="17"/>
      <c r="FB10" s="17"/>
      <c r="FC10" s="17"/>
      <c r="FD10" s="20"/>
      <c r="FE10" s="92"/>
      <c r="FF10" s="93"/>
      <c r="FG10" s="92"/>
      <c r="FH10" s="94"/>
      <c r="FI10" s="95"/>
      <c r="FJ10" s="17"/>
      <c r="FK10" s="17"/>
      <c r="FL10" s="17"/>
      <c r="FM10" s="20"/>
      <c r="FN10" s="92"/>
      <c r="FO10" s="93"/>
      <c r="FP10" s="92"/>
      <c r="FQ10" s="94"/>
      <c r="FR10" s="95"/>
      <c r="FS10" s="17"/>
      <c r="FT10" s="17"/>
      <c r="FU10" s="17"/>
      <c r="FV10" s="20"/>
      <c r="FW10" s="92"/>
      <c r="FX10" s="93"/>
      <c r="FY10" s="92"/>
      <c r="FZ10" s="94"/>
      <c r="GA10" s="95"/>
      <c r="GB10" s="17"/>
      <c r="GC10" s="17"/>
      <c r="GD10" s="17"/>
      <c r="GE10" s="20"/>
      <c r="GF10" s="92"/>
      <c r="GG10" s="93"/>
      <c r="GH10" s="92"/>
      <c r="GI10" s="94"/>
      <c r="GJ10" s="95"/>
      <c r="GK10" s="17"/>
      <c r="GL10" s="17"/>
      <c r="GM10" s="17"/>
      <c r="GN10" s="20"/>
      <c r="GO10" s="92"/>
      <c r="GP10" s="93"/>
      <c r="GQ10" s="92"/>
      <c r="GR10" s="94"/>
      <c r="GS10" s="95"/>
      <c r="GT10" s="97">
        <v>42976</v>
      </c>
      <c r="GU10" s="98"/>
      <c r="GV10" s="65"/>
      <c r="GW10" s="74"/>
      <c r="GX10" s="74"/>
      <c r="GY10" s="601" t="s">
        <v>778</v>
      </c>
      <c r="GZ10" s="599">
        <v>4408</v>
      </c>
    </row>
    <row r="11" spans="1:208" ht="30" x14ac:dyDescent="0.25">
      <c r="C11" s="87"/>
      <c r="D11" s="35"/>
      <c r="E11" s="36"/>
      <c r="F11" s="37"/>
      <c r="G11" s="38"/>
      <c r="H11" s="39"/>
      <c r="I11" s="40"/>
      <c r="J11" s="68" t="s">
        <v>96</v>
      </c>
      <c r="K11" s="407" t="s">
        <v>653</v>
      </c>
      <c r="L11" s="70">
        <v>18270</v>
      </c>
      <c r="M11" s="71">
        <v>42954</v>
      </c>
      <c r="N11" s="56" t="s">
        <v>726</v>
      </c>
      <c r="O11" s="72">
        <f>23250-110.71</f>
        <v>23139.29</v>
      </c>
      <c r="P11" s="60">
        <f t="shared" si="0"/>
        <v>4869.2900000000009</v>
      </c>
      <c r="Q11" s="64">
        <v>29.5</v>
      </c>
      <c r="R11" s="64"/>
      <c r="S11" s="99"/>
      <c r="T11" s="39">
        <f t="shared" si="1"/>
        <v>682609.05500000005</v>
      </c>
      <c r="U11" s="90" t="s">
        <v>703</v>
      </c>
      <c r="V11" s="83">
        <v>42977</v>
      </c>
      <c r="W11" s="91">
        <v>15834</v>
      </c>
      <c r="X11" s="17"/>
      <c r="Y11" s="20"/>
      <c r="Z11" s="92"/>
      <c r="AA11" s="93"/>
      <c r="AB11" s="92"/>
      <c r="AC11" s="94"/>
      <c r="AD11" s="95"/>
      <c r="AE11" s="17"/>
      <c r="AF11" s="17"/>
      <c r="AG11" s="17"/>
      <c r="AH11" s="20"/>
      <c r="AI11" s="92"/>
      <c r="AJ11" s="93"/>
      <c r="AK11" s="92"/>
      <c r="AL11" s="94"/>
      <c r="AM11" s="95"/>
      <c r="AN11" s="17"/>
      <c r="AO11" s="17"/>
      <c r="AP11" s="17"/>
      <c r="AQ11" s="20"/>
      <c r="AR11" s="92"/>
      <c r="AS11" s="93"/>
      <c r="AT11" s="92"/>
      <c r="AU11" s="94"/>
      <c r="AV11" s="95"/>
      <c r="AW11" s="17"/>
      <c r="AX11" s="17"/>
      <c r="AY11" s="17"/>
      <c r="AZ11" s="20"/>
      <c r="BA11" s="92"/>
      <c r="BB11" s="93"/>
      <c r="BC11" s="92"/>
      <c r="BD11" s="94"/>
      <c r="BE11" s="95"/>
      <c r="BF11" s="17"/>
      <c r="BG11" s="17"/>
      <c r="BH11" s="17"/>
      <c r="BI11" s="20"/>
      <c r="BJ11" s="92"/>
      <c r="BK11" s="93"/>
      <c r="BL11" s="92"/>
      <c r="BM11" s="94"/>
      <c r="BN11" s="95"/>
      <c r="BO11" s="17"/>
      <c r="BP11" s="17"/>
      <c r="BQ11" s="17"/>
      <c r="BR11" s="20"/>
      <c r="BS11" s="92"/>
      <c r="BT11" s="93"/>
      <c r="BU11" s="92"/>
      <c r="BV11" s="94"/>
      <c r="BW11" s="95"/>
      <c r="BX11" s="17"/>
      <c r="BY11" s="17"/>
      <c r="BZ11" s="17"/>
      <c r="CA11" s="20"/>
      <c r="CB11" s="92"/>
      <c r="CC11" s="93"/>
      <c r="CD11" s="92"/>
      <c r="CE11" s="94"/>
      <c r="CF11" s="95"/>
      <c r="CG11" s="17"/>
      <c r="CH11" s="17"/>
      <c r="CI11" s="17"/>
      <c r="CJ11" s="20"/>
      <c r="CK11" s="92"/>
      <c r="CL11" s="93"/>
      <c r="CM11" s="92"/>
      <c r="CN11" s="94"/>
      <c r="CO11" s="95"/>
      <c r="CP11" s="17"/>
      <c r="CQ11" s="17"/>
      <c r="CR11" s="17"/>
      <c r="CS11" s="20"/>
      <c r="CT11" s="92"/>
      <c r="CU11" s="93"/>
      <c r="CV11" s="96"/>
      <c r="CW11" s="94"/>
      <c r="CX11" s="95"/>
      <c r="CY11" s="17"/>
      <c r="CZ11" s="17"/>
      <c r="DA11" s="17"/>
      <c r="DB11" s="20"/>
      <c r="DC11" s="92"/>
      <c r="DD11" s="93"/>
      <c r="DE11" s="92"/>
      <c r="DF11" s="94"/>
      <c r="DG11" s="95"/>
      <c r="DH11" s="17"/>
      <c r="DI11" s="17"/>
      <c r="DJ11" s="17"/>
      <c r="DK11" s="20"/>
      <c r="DL11" s="92"/>
      <c r="DM11" s="93"/>
      <c r="DN11" s="92"/>
      <c r="DO11" s="94"/>
      <c r="DP11" s="95"/>
      <c r="DQ11" s="17"/>
      <c r="DR11" s="17"/>
      <c r="DS11" s="17"/>
      <c r="DT11" s="20"/>
      <c r="DU11" s="92"/>
      <c r="DV11" s="93"/>
      <c r="DW11" s="92"/>
      <c r="DX11" s="94"/>
      <c r="DY11" s="95"/>
      <c r="DZ11" s="17"/>
      <c r="EA11" s="17"/>
      <c r="EB11" s="17"/>
      <c r="EC11" s="20"/>
      <c r="ED11" s="92"/>
      <c r="EE11" s="93"/>
      <c r="EF11" s="92"/>
      <c r="EG11" s="94"/>
      <c r="EH11" s="95"/>
      <c r="EI11" s="17"/>
      <c r="EJ11" s="17"/>
      <c r="EK11" s="17"/>
      <c r="EL11" s="20"/>
      <c r="EM11" s="92"/>
      <c r="EN11" s="93"/>
      <c r="EO11" s="92"/>
      <c r="EP11" s="94"/>
      <c r="EQ11" s="95"/>
      <c r="ER11" s="17"/>
      <c r="ES11" s="17"/>
      <c r="ET11" s="17"/>
      <c r="EU11" s="20"/>
      <c r="EV11" s="92"/>
      <c r="EW11" s="93"/>
      <c r="EX11" s="92"/>
      <c r="EY11" s="94"/>
      <c r="EZ11" s="95"/>
      <c r="FA11" s="17"/>
      <c r="FB11" s="17"/>
      <c r="FC11" s="17"/>
      <c r="FD11" s="20"/>
      <c r="FE11" s="92"/>
      <c r="FF11" s="93"/>
      <c r="FG11" s="92"/>
      <c r="FH11" s="94"/>
      <c r="FI11" s="95"/>
      <c r="FJ11" s="17"/>
      <c r="FK11" s="17"/>
      <c r="FL11" s="17"/>
      <c r="FM11" s="20"/>
      <c r="FN11" s="92"/>
      <c r="FO11" s="93"/>
      <c r="FP11" s="92"/>
      <c r="FQ11" s="94"/>
      <c r="FR11" s="95"/>
      <c r="FS11" s="17"/>
      <c r="FT11" s="17"/>
      <c r="FU11" s="17"/>
      <c r="FV11" s="20"/>
      <c r="FW11" s="92"/>
      <c r="FX11" s="93"/>
      <c r="FY11" s="92"/>
      <c r="FZ11" s="94"/>
      <c r="GA11" s="95"/>
      <c r="GB11" s="17"/>
      <c r="GC11" s="17"/>
      <c r="GD11" s="17"/>
      <c r="GE11" s="20"/>
      <c r="GF11" s="92"/>
      <c r="GG11" s="93"/>
      <c r="GH11" s="92"/>
      <c r="GI11" s="94"/>
      <c r="GJ11" s="95"/>
      <c r="GK11" s="17"/>
      <c r="GL11" s="17"/>
      <c r="GM11" s="17"/>
      <c r="GN11" s="20"/>
      <c r="GO11" s="92"/>
      <c r="GP11" s="93"/>
      <c r="GQ11" s="92"/>
      <c r="GR11" s="94"/>
      <c r="GS11" s="95"/>
      <c r="GT11" s="97">
        <v>42977</v>
      </c>
      <c r="GU11" s="98">
        <v>22176</v>
      </c>
      <c r="GV11" s="65" t="s">
        <v>694</v>
      </c>
      <c r="GW11" s="74"/>
      <c r="GX11" s="74"/>
      <c r="GY11" s="601" t="s">
        <v>778</v>
      </c>
      <c r="GZ11" s="599">
        <v>4408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96</v>
      </c>
      <c r="K12" s="449" t="s">
        <v>41</v>
      </c>
      <c r="L12" s="101">
        <v>22060</v>
      </c>
      <c r="M12" s="102">
        <v>42955</v>
      </c>
      <c r="N12" s="103" t="s">
        <v>728</v>
      </c>
      <c r="O12" s="104">
        <v>28170</v>
      </c>
      <c r="P12" s="60">
        <f t="shared" si="0"/>
        <v>6110</v>
      </c>
      <c r="Q12" s="29">
        <v>29.5</v>
      </c>
      <c r="R12" s="105"/>
      <c r="S12" s="106"/>
      <c r="T12" s="39">
        <f t="shared" si="1"/>
        <v>831015</v>
      </c>
      <c r="U12" s="107" t="s">
        <v>703</v>
      </c>
      <c r="V12" s="108">
        <v>42978</v>
      </c>
      <c r="W12" s="109">
        <v>18850</v>
      </c>
      <c r="X12" s="17"/>
      <c r="Y12" s="20"/>
      <c r="Z12" s="92"/>
      <c r="AA12" s="93"/>
      <c r="AB12" s="92"/>
      <c r="AC12" s="94"/>
      <c r="AD12" s="95"/>
      <c r="AE12" s="17"/>
      <c r="AF12" s="17"/>
      <c r="AG12" s="17"/>
      <c r="AH12" s="20"/>
      <c r="AI12" s="92"/>
      <c r="AJ12" s="93"/>
      <c r="AK12" s="92"/>
      <c r="AL12" s="94"/>
      <c r="AM12" s="95"/>
      <c r="AN12" s="17"/>
      <c r="AO12" s="17"/>
      <c r="AP12" s="17"/>
      <c r="AQ12" s="20"/>
      <c r="AR12" s="92"/>
      <c r="AS12" s="93"/>
      <c r="AT12" s="92"/>
      <c r="AU12" s="94"/>
      <c r="AV12" s="95"/>
      <c r="AW12" s="17"/>
      <c r="AX12" s="17"/>
      <c r="AY12" s="17"/>
      <c r="AZ12" s="20"/>
      <c r="BA12" s="92"/>
      <c r="BB12" s="93"/>
      <c r="BC12" s="92"/>
      <c r="BD12" s="94"/>
      <c r="BE12" s="95"/>
      <c r="BF12" s="17"/>
      <c r="BG12" s="17"/>
      <c r="BH12" s="17"/>
      <c r="BI12" s="20"/>
      <c r="BJ12" s="92"/>
      <c r="BK12" s="93"/>
      <c r="BL12" s="92"/>
      <c r="BM12" s="94"/>
      <c r="BN12" s="95"/>
      <c r="BO12" s="17"/>
      <c r="BP12" s="17"/>
      <c r="BQ12" s="17"/>
      <c r="BR12" s="20"/>
      <c r="BS12" s="92"/>
      <c r="BT12" s="93"/>
      <c r="BU12" s="92"/>
      <c r="BV12" s="94"/>
      <c r="BW12" s="95"/>
      <c r="BX12" s="17"/>
      <c r="BY12" s="17"/>
      <c r="BZ12" s="17"/>
      <c r="CA12" s="20"/>
      <c r="CB12" s="92"/>
      <c r="CC12" s="93"/>
      <c r="CD12" s="92"/>
      <c r="CE12" s="94"/>
      <c r="CF12" s="95"/>
      <c r="CG12" s="17"/>
      <c r="CH12" s="17"/>
      <c r="CI12" s="17"/>
      <c r="CJ12" s="20"/>
      <c r="CK12" s="92"/>
      <c r="CL12" s="93"/>
      <c r="CM12" s="92"/>
      <c r="CN12" s="94"/>
      <c r="CO12" s="95"/>
      <c r="CP12" s="17"/>
      <c r="CQ12" s="17"/>
      <c r="CR12" s="17"/>
      <c r="CS12" s="20"/>
      <c r="CT12" s="92"/>
      <c r="CU12" s="93"/>
      <c r="CV12" s="96"/>
      <c r="CW12" s="94"/>
      <c r="CX12" s="95"/>
      <c r="CY12" s="17"/>
      <c r="CZ12" s="17"/>
      <c r="DA12" s="17"/>
      <c r="DB12" s="20"/>
      <c r="DC12" s="92"/>
      <c r="DD12" s="93"/>
      <c r="DE12" s="92"/>
      <c r="DF12" s="94"/>
      <c r="DG12" s="95"/>
      <c r="DH12" s="17"/>
      <c r="DI12" s="17"/>
      <c r="DJ12" s="17"/>
      <c r="DK12" s="20"/>
      <c r="DL12" s="92"/>
      <c r="DM12" s="93"/>
      <c r="DN12" s="92"/>
      <c r="DO12" s="94"/>
      <c r="DP12" s="95"/>
      <c r="DQ12" s="17"/>
      <c r="DR12" s="17"/>
      <c r="DS12" s="17"/>
      <c r="DT12" s="20"/>
      <c r="DU12" s="92"/>
      <c r="DV12" s="93"/>
      <c r="DW12" s="92"/>
      <c r="DX12" s="94"/>
      <c r="DY12" s="95"/>
      <c r="DZ12" s="17"/>
      <c r="EA12" s="17"/>
      <c r="EB12" s="17"/>
      <c r="EC12" s="20"/>
      <c r="ED12" s="92"/>
      <c r="EE12" s="93"/>
      <c r="EF12" s="92"/>
      <c r="EG12" s="94"/>
      <c r="EH12" s="95"/>
      <c r="EI12" s="17"/>
      <c r="EJ12" s="17"/>
      <c r="EK12" s="17"/>
      <c r="EL12" s="20"/>
      <c r="EM12" s="92"/>
      <c r="EN12" s="93"/>
      <c r="EO12" s="92"/>
      <c r="EP12" s="94"/>
      <c r="EQ12" s="95"/>
      <c r="ER12" s="17"/>
      <c r="ES12" s="17"/>
      <c r="ET12" s="17"/>
      <c r="EU12" s="20"/>
      <c r="EV12" s="92"/>
      <c r="EW12" s="93"/>
      <c r="EX12" s="92"/>
      <c r="EY12" s="94"/>
      <c r="EZ12" s="95"/>
      <c r="FA12" s="17"/>
      <c r="FB12" s="17"/>
      <c r="FC12" s="17"/>
      <c r="FD12" s="20"/>
      <c r="FE12" s="92"/>
      <c r="FF12" s="93"/>
      <c r="FG12" s="92"/>
      <c r="FH12" s="94"/>
      <c r="FI12" s="95"/>
      <c r="FJ12" s="17"/>
      <c r="FK12" s="17"/>
      <c r="FL12" s="17"/>
      <c r="FM12" s="20"/>
      <c r="FN12" s="92"/>
      <c r="FO12" s="93"/>
      <c r="FP12" s="92"/>
      <c r="FQ12" s="94"/>
      <c r="FR12" s="95"/>
      <c r="FS12" s="17"/>
      <c r="FT12" s="17"/>
      <c r="FU12" s="17"/>
      <c r="FV12" s="20"/>
      <c r="FW12" s="92"/>
      <c r="FX12" s="93"/>
      <c r="FY12" s="92"/>
      <c r="FZ12" s="94"/>
      <c r="GA12" s="95"/>
      <c r="GB12" s="17"/>
      <c r="GC12" s="17"/>
      <c r="GD12" s="17"/>
      <c r="GE12" s="20"/>
      <c r="GF12" s="92"/>
      <c r="GG12" s="93"/>
      <c r="GH12" s="92"/>
      <c r="GI12" s="94"/>
      <c r="GJ12" s="95"/>
      <c r="GK12" s="17"/>
      <c r="GL12" s="17"/>
      <c r="GM12" s="17"/>
      <c r="GN12" s="20"/>
      <c r="GO12" s="92"/>
      <c r="GP12" s="93"/>
      <c r="GQ12" s="92"/>
      <c r="GR12" s="94"/>
      <c r="GS12" s="95"/>
      <c r="GT12" s="97">
        <v>42978</v>
      </c>
      <c r="GU12" s="98"/>
      <c r="GV12" s="65"/>
      <c r="GW12" s="74"/>
      <c r="GX12" s="74"/>
      <c r="GY12" s="601" t="s">
        <v>778</v>
      </c>
      <c r="GZ12" s="599">
        <v>4408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68" t="s">
        <v>684</v>
      </c>
      <c r="K13" s="558" t="s">
        <v>143</v>
      </c>
      <c r="L13" s="559">
        <v>120</v>
      </c>
      <c r="M13" s="102">
        <v>42956</v>
      </c>
      <c r="N13" s="103" t="s">
        <v>685</v>
      </c>
      <c r="O13" s="104">
        <v>120</v>
      </c>
      <c r="P13" s="60">
        <f t="shared" si="0"/>
        <v>0</v>
      </c>
      <c r="Q13" s="551">
        <v>180</v>
      </c>
      <c r="R13" s="552" t="s">
        <v>249</v>
      </c>
      <c r="S13" s="553"/>
      <c r="T13" s="554">
        <f t="shared" si="1"/>
        <v>21600</v>
      </c>
      <c r="U13" s="107" t="s">
        <v>703</v>
      </c>
      <c r="V13" s="108">
        <v>42958</v>
      </c>
      <c r="W13" s="109"/>
      <c r="X13" s="17"/>
      <c r="Y13" s="20"/>
      <c r="Z13" s="92"/>
      <c r="AA13" s="93"/>
      <c r="AB13" s="92"/>
      <c r="AC13" s="94"/>
      <c r="AD13" s="95"/>
      <c r="AE13" s="17"/>
      <c r="AF13" s="17"/>
      <c r="AG13" s="17"/>
      <c r="AH13" s="20"/>
      <c r="AI13" s="92"/>
      <c r="AJ13" s="93"/>
      <c r="AK13" s="92"/>
      <c r="AL13" s="94"/>
      <c r="AM13" s="95"/>
      <c r="AN13" s="17"/>
      <c r="AO13" s="17"/>
      <c r="AP13" s="17"/>
      <c r="AQ13" s="20"/>
      <c r="AR13" s="92"/>
      <c r="AS13" s="93"/>
      <c r="AT13" s="92"/>
      <c r="AU13" s="94"/>
      <c r="AV13" s="95"/>
      <c r="AW13" s="17"/>
      <c r="AX13" s="17"/>
      <c r="AY13" s="17"/>
      <c r="AZ13" s="20"/>
      <c r="BA13" s="92"/>
      <c r="BB13" s="93"/>
      <c r="BC13" s="92"/>
      <c r="BD13" s="94"/>
      <c r="BE13" s="95"/>
      <c r="BF13" s="17"/>
      <c r="BG13" s="17"/>
      <c r="BH13" s="17"/>
      <c r="BI13" s="20"/>
      <c r="BJ13" s="92"/>
      <c r="BK13" s="93"/>
      <c r="BL13" s="92"/>
      <c r="BM13" s="94"/>
      <c r="BN13" s="95"/>
      <c r="BO13" s="17"/>
      <c r="BP13" s="17"/>
      <c r="BQ13" s="17"/>
      <c r="BR13" s="20"/>
      <c r="BS13" s="92"/>
      <c r="BT13" s="93"/>
      <c r="BU13" s="92"/>
      <c r="BV13" s="94"/>
      <c r="BW13" s="95"/>
      <c r="BX13" s="17"/>
      <c r="BY13" s="17"/>
      <c r="BZ13" s="17"/>
      <c r="CA13" s="20"/>
      <c r="CB13" s="92"/>
      <c r="CC13" s="93"/>
      <c r="CD13" s="92"/>
      <c r="CE13" s="94"/>
      <c r="CF13" s="95"/>
      <c r="CG13" s="17"/>
      <c r="CH13" s="17"/>
      <c r="CI13" s="17"/>
      <c r="CJ13" s="20"/>
      <c r="CK13" s="92"/>
      <c r="CL13" s="93"/>
      <c r="CM13" s="92"/>
      <c r="CN13" s="94"/>
      <c r="CO13" s="95"/>
      <c r="CP13" s="17"/>
      <c r="CQ13" s="17"/>
      <c r="CR13" s="17"/>
      <c r="CS13" s="20"/>
      <c r="CT13" s="92"/>
      <c r="CU13" s="93"/>
      <c r="CV13" s="96"/>
      <c r="CW13" s="94"/>
      <c r="CX13" s="95"/>
      <c r="CY13" s="17"/>
      <c r="CZ13" s="17"/>
      <c r="DA13" s="17"/>
      <c r="DB13" s="20"/>
      <c r="DC13" s="92"/>
      <c r="DD13" s="93"/>
      <c r="DE13" s="92"/>
      <c r="DF13" s="94"/>
      <c r="DG13" s="95"/>
      <c r="DH13" s="17"/>
      <c r="DI13" s="17"/>
      <c r="DJ13" s="17"/>
      <c r="DK13" s="20"/>
      <c r="DL13" s="92"/>
      <c r="DM13" s="93"/>
      <c r="DN13" s="92"/>
      <c r="DO13" s="94"/>
      <c r="DP13" s="95"/>
      <c r="DQ13" s="17"/>
      <c r="DR13" s="17"/>
      <c r="DS13" s="17"/>
      <c r="DT13" s="20"/>
      <c r="DU13" s="92"/>
      <c r="DV13" s="93"/>
      <c r="DW13" s="92"/>
      <c r="DX13" s="94"/>
      <c r="DY13" s="95"/>
      <c r="DZ13" s="17"/>
      <c r="EA13" s="17"/>
      <c r="EB13" s="17"/>
      <c r="EC13" s="20"/>
      <c r="ED13" s="92"/>
      <c r="EE13" s="93"/>
      <c r="EF13" s="92"/>
      <c r="EG13" s="94"/>
      <c r="EH13" s="95"/>
      <c r="EI13" s="17"/>
      <c r="EJ13" s="17"/>
      <c r="EK13" s="17"/>
      <c r="EL13" s="20"/>
      <c r="EM13" s="92"/>
      <c r="EN13" s="93"/>
      <c r="EO13" s="92"/>
      <c r="EP13" s="94"/>
      <c r="EQ13" s="95"/>
      <c r="ER13" s="17"/>
      <c r="ES13" s="17"/>
      <c r="ET13" s="17"/>
      <c r="EU13" s="20"/>
      <c r="EV13" s="92"/>
      <c r="EW13" s="93"/>
      <c r="EX13" s="92"/>
      <c r="EY13" s="94"/>
      <c r="EZ13" s="95"/>
      <c r="FA13" s="17"/>
      <c r="FB13" s="17"/>
      <c r="FC13" s="17"/>
      <c r="FD13" s="20"/>
      <c r="FE13" s="92"/>
      <c r="FF13" s="93"/>
      <c r="FG13" s="92"/>
      <c r="FH13" s="94"/>
      <c r="FI13" s="95"/>
      <c r="FJ13" s="17"/>
      <c r="FK13" s="17"/>
      <c r="FL13" s="17"/>
      <c r="FM13" s="20"/>
      <c r="FN13" s="92"/>
      <c r="FO13" s="93"/>
      <c r="FP13" s="92"/>
      <c r="FQ13" s="94"/>
      <c r="FR13" s="95"/>
      <c r="FS13" s="17"/>
      <c r="FT13" s="17"/>
      <c r="FU13" s="17"/>
      <c r="FV13" s="20"/>
      <c r="FW13" s="92"/>
      <c r="FX13" s="93"/>
      <c r="FY13" s="92"/>
      <c r="FZ13" s="94"/>
      <c r="GA13" s="95"/>
      <c r="GB13" s="17"/>
      <c r="GC13" s="17"/>
      <c r="GD13" s="17"/>
      <c r="GE13" s="20"/>
      <c r="GF13" s="92"/>
      <c r="GG13" s="93"/>
      <c r="GH13" s="92"/>
      <c r="GI13" s="94"/>
      <c r="GJ13" s="95"/>
      <c r="GK13" s="17"/>
      <c r="GL13" s="17"/>
      <c r="GM13" s="17"/>
      <c r="GN13" s="20"/>
      <c r="GO13" s="92"/>
      <c r="GP13" s="93"/>
      <c r="GQ13" s="92"/>
      <c r="GR13" s="94"/>
      <c r="GS13" s="95"/>
      <c r="GT13" s="97"/>
      <c r="GU13" s="98"/>
      <c r="GV13" s="65"/>
      <c r="GW13" s="74"/>
      <c r="GX13" s="74"/>
      <c r="GY13" s="600" t="s">
        <v>779</v>
      </c>
      <c r="GZ13" s="602">
        <v>0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705</v>
      </c>
      <c r="K14" s="558" t="s">
        <v>706</v>
      </c>
      <c r="L14" s="559">
        <v>6</v>
      </c>
      <c r="M14" s="102">
        <v>42956</v>
      </c>
      <c r="N14" s="103">
        <v>2829</v>
      </c>
      <c r="O14" s="104">
        <v>6</v>
      </c>
      <c r="P14" s="60">
        <f t="shared" si="0"/>
        <v>0</v>
      </c>
      <c r="Q14" s="551">
        <v>166</v>
      </c>
      <c r="R14" s="552" t="s">
        <v>249</v>
      </c>
      <c r="S14" s="553"/>
      <c r="T14" s="554">
        <f t="shared" si="1"/>
        <v>996</v>
      </c>
      <c r="U14" s="107" t="s">
        <v>703</v>
      </c>
      <c r="V14" s="108">
        <v>42961</v>
      </c>
      <c r="W14" s="109"/>
      <c r="X14" s="17"/>
      <c r="Y14" s="20"/>
      <c r="Z14" s="92"/>
      <c r="AA14" s="93"/>
      <c r="AB14" s="92"/>
      <c r="AC14" s="94"/>
      <c r="AD14" s="95"/>
      <c r="AE14" s="17"/>
      <c r="AF14" s="17"/>
      <c r="AG14" s="17"/>
      <c r="AH14" s="20"/>
      <c r="AI14" s="92"/>
      <c r="AJ14" s="93"/>
      <c r="AK14" s="92"/>
      <c r="AL14" s="94"/>
      <c r="AM14" s="95"/>
      <c r="AN14" s="17"/>
      <c r="AO14" s="17"/>
      <c r="AP14" s="17"/>
      <c r="AQ14" s="20"/>
      <c r="AR14" s="92"/>
      <c r="AS14" s="93"/>
      <c r="AT14" s="92"/>
      <c r="AU14" s="94"/>
      <c r="AV14" s="95"/>
      <c r="AW14" s="17"/>
      <c r="AX14" s="17"/>
      <c r="AY14" s="17"/>
      <c r="AZ14" s="20"/>
      <c r="BA14" s="92"/>
      <c r="BB14" s="93"/>
      <c r="BC14" s="92"/>
      <c r="BD14" s="94"/>
      <c r="BE14" s="95"/>
      <c r="BF14" s="17"/>
      <c r="BG14" s="17"/>
      <c r="BH14" s="17"/>
      <c r="BI14" s="20"/>
      <c r="BJ14" s="92"/>
      <c r="BK14" s="93"/>
      <c r="BL14" s="92"/>
      <c r="BM14" s="94"/>
      <c r="BN14" s="95"/>
      <c r="BO14" s="17"/>
      <c r="BP14" s="17"/>
      <c r="BQ14" s="17"/>
      <c r="BR14" s="20"/>
      <c r="BS14" s="92"/>
      <c r="BT14" s="93"/>
      <c r="BU14" s="92"/>
      <c r="BV14" s="94"/>
      <c r="BW14" s="95"/>
      <c r="BX14" s="17"/>
      <c r="BY14" s="17"/>
      <c r="BZ14" s="17"/>
      <c r="CA14" s="20"/>
      <c r="CB14" s="92"/>
      <c r="CC14" s="93"/>
      <c r="CD14" s="92"/>
      <c r="CE14" s="94"/>
      <c r="CF14" s="95"/>
      <c r="CG14" s="17"/>
      <c r="CH14" s="17"/>
      <c r="CI14" s="17"/>
      <c r="CJ14" s="20"/>
      <c r="CK14" s="92"/>
      <c r="CL14" s="93"/>
      <c r="CM14" s="92"/>
      <c r="CN14" s="94"/>
      <c r="CO14" s="95"/>
      <c r="CP14" s="17"/>
      <c r="CQ14" s="17"/>
      <c r="CR14" s="17"/>
      <c r="CS14" s="20"/>
      <c r="CT14" s="92"/>
      <c r="CU14" s="93"/>
      <c r="CV14" s="96"/>
      <c r="CW14" s="94"/>
      <c r="CX14" s="95"/>
      <c r="CY14" s="17"/>
      <c r="CZ14" s="17"/>
      <c r="DA14" s="17"/>
      <c r="DB14" s="20"/>
      <c r="DC14" s="92"/>
      <c r="DD14" s="93"/>
      <c r="DE14" s="92"/>
      <c r="DF14" s="94"/>
      <c r="DG14" s="95"/>
      <c r="DH14" s="17"/>
      <c r="DI14" s="17"/>
      <c r="DJ14" s="17"/>
      <c r="DK14" s="20"/>
      <c r="DL14" s="92"/>
      <c r="DM14" s="93"/>
      <c r="DN14" s="92"/>
      <c r="DO14" s="94"/>
      <c r="DP14" s="95"/>
      <c r="DQ14" s="17"/>
      <c r="DR14" s="17"/>
      <c r="DS14" s="17"/>
      <c r="DT14" s="20"/>
      <c r="DU14" s="92"/>
      <c r="DV14" s="93"/>
      <c r="DW14" s="92"/>
      <c r="DX14" s="94"/>
      <c r="DY14" s="95"/>
      <c r="DZ14" s="17"/>
      <c r="EA14" s="17"/>
      <c r="EB14" s="17"/>
      <c r="EC14" s="20"/>
      <c r="ED14" s="92"/>
      <c r="EE14" s="93"/>
      <c r="EF14" s="92"/>
      <c r="EG14" s="94"/>
      <c r="EH14" s="95"/>
      <c r="EI14" s="17"/>
      <c r="EJ14" s="17"/>
      <c r="EK14" s="17"/>
      <c r="EL14" s="20"/>
      <c r="EM14" s="92"/>
      <c r="EN14" s="93"/>
      <c r="EO14" s="92"/>
      <c r="EP14" s="94"/>
      <c r="EQ14" s="95"/>
      <c r="ER14" s="17"/>
      <c r="ES14" s="17"/>
      <c r="ET14" s="17"/>
      <c r="EU14" s="20"/>
      <c r="EV14" s="92"/>
      <c r="EW14" s="93"/>
      <c r="EX14" s="92"/>
      <c r="EY14" s="94"/>
      <c r="EZ14" s="95"/>
      <c r="FA14" s="17"/>
      <c r="FB14" s="17"/>
      <c r="FC14" s="17"/>
      <c r="FD14" s="20"/>
      <c r="FE14" s="92"/>
      <c r="FF14" s="93"/>
      <c r="FG14" s="92"/>
      <c r="FH14" s="94"/>
      <c r="FI14" s="95"/>
      <c r="FJ14" s="17"/>
      <c r="FK14" s="17"/>
      <c r="FL14" s="17"/>
      <c r="FM14" s="20"/>
      <c r="FN14" s="92"/>
      <c r="FO14" s="93"/>
      <c r="FP14" s="92"/>
      <c r="FQ14" s="94"/>
      <c r="FR14" s="95"/>
      <c r="FS14" s="17"/>
      <c r="FT14" s="17"/>
      <c r="FU14" s="17"/>
      <c r="FV14" s="20"/>
      <c r="FW14" s="92"/>
      <c r="FX14" s="93"/>
      <c r="FY14" s="92"/>
      <c r="FZ14" s="94"/>
      <c r="GA14" s="95"/>
      <c r="GB14" s="17"/>
      <c r="GC14" s="17"/>
      <c r="GD14" s="17"/>
      <c r="GE14" s="20"/>
      <c r="GF14" s="92"/>
      <c r="GG14" s="93"/>
      <c r="GH14" s="92"/>
      <c r="GI14" s="94"/>
      <c r="GJ14" s="95"/>
      <c r="GK14" s="17"/>
      <c r="GL14" s="17"/>
      <c r="GM14" s="17"/>
      <c r="GN14" s="20"/>
      <c r="GO14" s="92"/>
      <c r="GP14" s="93"/>
      <c r="GQ14" s="92"/>
      <c r="GR14" s="94"/>
      <c r="GS14" s="95"/>
      <c r="GT14" s="97"/>
      <c r="GU14" s="98"/>
      <c r="GV14" s="65"/>
      <c r="GW14" s="74"/>
      <c r="GX14" s="74"/>
      <c r="GY14" s="600" t="s">
        <v>779</v>
      </c>
      <c r="GZ14" s="602">
        <v>0</v>
      </c>
    </row>
    <row r="15" spans="1:208" ht="30" x14ac:dyDescent="0.25">
      <c r="C15" s="87"/>
      <c r="D15" s="35"/>
      <c r="E15" s="36"/>
      <c r="F15" s="37"/>
      <c r="G15" s="38"/>
      <c r="H15" s="39"/>
      <c r="I15" s="40"/>
      <c r="J15" s="68" t="s">
        <v>649</v>
      </c>
      <c r="K15" s="407" t="s">
        <v>92</v>
      </c>
      <c r="L15" s="110">
        <v>11110</v>
      </c>
      <c r="M15" s="71">
        <v>42957</v>
      </c>
      <c r="N15" s="569" t="s">
        <v>752</v>
      </c>
      <c r="O15" s="72">
        <f>14870-114.38</f>
        <v>14755.62</v>
      </c>
      <c r="P15" s="60">
        <f t="shared" si="0"/>
        <v>3645.6200000000008</v>
      </c>
      <c r="Q15" s="64">
        <v>29.5</v>
      </c>
      <c r="R15" s="64"/>
      <c r="S15" s="111"/>
      <c r="T15" s="39">
        <f t="shared" si="1"/>
        <v>435290.79000000004</v>
      </c>
      <c r="U15" s="571" t="s">
        <v>703</v>
      </c>
      <c r="V15" s="572">
        <v>42982</v>
      </c>
      <c r="W15" s="573">
        <v>9802</v>
      </c>
      <c r="X15" s="574"/>
      <c r="Y15" s="575"/>
      <c r="Z15" s="576"/>
      <c r="AA15" s="577"/>
      <c r="AB15" s="576"/>
      <c r="AC15" s="578"/>
      <c r="AD15" s="579"/>
      <c r="AE15" s="574"/>
      <c r="AF15" s="574"/>
      <c r="AG15" s="574"/>
      <c r="AH15" s="575"/>
      <c r="AI15" s="576"/>
      <c r="AJ15" s="577"/>
      <c r="AK15" s="576"/>
      <c r="AL15" s="578"/>
      <c r="AM15" s="579"/>
      <c r="AN15" s="574"/>
      <c r="AO15" s="574"/>
      <c r="AP15" s="574"/>
      <c r="AQ15" s="575"/>
      <c r="AR15" s="576"/>
      <c r="AS15" s="577"/>
      <c r="AT15" s="576"/>
      <c r="AU15" s="578"/>
      <c r="AV15" s="579"/>
      <c r="AW15" s="574"/>
      <c r="AX15" s="574"/>
      <c r="AY15" s="574"/>
      <c r="AZ15" s="575"/>
      <c r="BA15" s="576"/>
      <c r="BB15" s="577"/>
      <c r="BC15" s="576"/>
      <c r="BD15" s="578"/>
      <c r="BE15" s="579"/>
      <c r="BF15" s="574"/>
      <c r="BG15" s="574"/>
      <c r="BH15" s="574"/>
      <c r="BI15" s="575"/>
      <c r="BJ15" s="576"/>
      <c r="BK15" s="577"/>
      <c r="BL15" s="576"/>
      <c r="BM15" s="578"/>
      <c r="BN15" s="579"/>
      <c r="BO15" s="574"/>
      <c r="BP15" s="574"/>
      <c r="BQ15" s="574"/>
      <c r="BR15" s="575"/>
      <c r="BS15" s="576"/>
      <c r="BT15" s="577"/>
      <c r="BU15" s="576"/>
      <c r="BV15" s="578"/>
      <c r="BW15" s="579"/>
      <c r="BX15" s="574"/>
      <c r="BY15" s="574"/>
      <c r="BZ15" s="574"/>
      <c r="CA15" s="575"/>
      <c r="CB15" s="576"/>
      <c r="CC15" s="577"/>
      <c r="CD15" s="576"/>
      <c r="CE15" s="578"/>
      <c r="CF15" s="579"/>
      <c r="CG15" s="574"/>
      <c r="CH15" s="574"/>
      <c r="CI15" s="574"/>
      <c r="CJ15" s="575"/>
      <c r="CK15" s="576"/>
      <c r="CL15" s="577"/>
      <c r="CM15" s="576"/>
      <c r="CN15" s="578"/>
      <c r="CO15" s="579"/>
      <c r="CP15" s="574"/>
      <c r="CQ15" s="574"/>
      <c r="CR15" s="574"/>
      <c r="CS15" s="575"/>
      <c r="CT15" s="576"/>
      <c r="CU15" s="577"/>
      <c r="CV15" s="580"/>
      <c r="CW15" s="578"/>
      <c r="CX15" s="579"/>
      <c r="CY15" s="574"/>
      <c r="CZ15" s="574"/>
      <c r="DA15" s="574"/>
      <c r="DB15" s="575"/>
      <c r="DC15" s="576"/>
      <c r="DD15" s="577"/>
      <c r="DE15" s="576"/>
      <c r="DF15" s="578"/>
      <c r="DG15" s="579"/>
      <c r="DH15" s="574"/>
      <c r="DI15" s="574"/>
      <c r="DJ15" s="574"/>
      <c r="DK15" s="575"/>
      <c r="DL15" s="576"/>
      <c r="DM15" s="577"/>
      <c r="DN15" s="576"/>
      <c r="DO15" s="578"/>
      <c r="DP15" s="579"/>
      <c r="DQ15" s="574"/>
      <c r="DR15" s="574"/>
      <c r="DS15" s="574"/>
      <c r="DT15" s="575"/>
      <c r="DU15" s="576"/>
      <c r="DV15" s="577"/>
      <c r="DW15" s="576"/>
      <c r="DX15" s="578"/>
      <c r="DY15" s="579"/>
      <c r="DZ15" s="574"/>
      <c r="EA15" s="574"/>
      <c r="EB15" s="574"/>
      <c r="EC15" s="575"/>
      <c r="ED15" s="576"/>
      <c r="EE15" s="577"/>
      <c r="EF15" s="576"/>
      <c r="EG15" s="578"/>
      <c r="EH15" s="579"/>
      <c r="EI15" s="574"/>
      <c r="EJ15" s="574"/>
      <c r="EK15" s="574"/>
      <c r="EL15" s="575"/>
      <c r="EM15" s="576"/>
      <c r="EN15" s="577"/>
      <c r="EO15" s="576"/>
      <c r="EP15" s="578"/>
      <c r="EQ15" s="579"/>
      <c r="ER15" s="574"/>
      <c r="ES15" s="574"/>
      <c r="ET15" s="574"/>
      <c r="EU15" s="575"/>
      <c r="EV15" s="576"/>
      <c r="EW15" s="577"/>
      <c r="EX15" s="576"/>
      <c r="EY15" s="578"/>
      <c r="EZ15" s="579"/>
      <c r="FA15" s="574"/>
      <c r="FB15" s="574"/>
      <c r="FC15" s="574"/>
      <c r="FD15" s="575"/>
      <c r="FE15" s="576"/>
      <c r="FF15" s="577"/>
      <c r="FG15" s="576"/>
      <c r="FH15" s="578"/>
      <c r="FI15" s="579"/>
      <c r="FJ15" s="574"/>
      <c r="FK15" s="574"/>
      <c r="FL15" s="574"/>
      <c r="FM15" s="575"/>
      <c r="FN15" s="576"/>
      <c r="FO15" s="577"/>
      <c r="FP15" s="576"/>
      <c r="FQ15" s="578"/>
      <c r="FR15" s="579"/>
      <c r="FS15" s="574"/>
      <c r="FT15" s="574"/>
      <c r="FU15" s="574"/>
      <c r="FV15" s="575"/>
      <c r="FW15" s="576"/>
      <c r="FX15" s="577"/>
      <c r="FY15" s="576"/>
      <c r="FZ15" s="578"/>
      <c r="GA15" s="579"/>
      <c r="GB15" s="574"/>
      <c r="GC15" s="574"/>
      <c r="GD15" s="574"/>
      <c r="GE15" s="575"/>
      <c r="GF15" s="576"/>
      <c r="GG15" s="577"/>
      <c r="GH15" s="576"/>
      <c r="GI15" s="578"/>
      <c r="GJ15" s="579"/>
      <c r="GK15" s="574"/>
      <c r="GL15" s="574"/>
      <c r="GM15" s="574"/>
      <c r="GN15" s="575"/>
      <c r="GO15" s="576"/>
      <c r="GP15" s="577"/>
      <c r="GQ15" s="576"/>
      <c r="GR15" s="578"/>
      <c r="GS15" s="579"/>
      <c r="GT15" s="581">
        <v>42982</v>
      </c>
      <c r="GU15" s="98">
        <v>17584</v>
      </c>
      <c r="GV15" s="65" t="s">
        <v>695</v>
      </c>
      <c r="GW15" s="74"/>
      <c r="GX15" s="74"/>
      <c r="GY15" s="598" t="s">
        <v>778</v>
      </c>
      <c r="GZ15" s="599">
        <v>2552</v>
      </c>
    </row>
    <row r="16" spans="1:208" x14ac:dyDescent="0.25">
      <c r="C16" s="87"/>
      <c r="D16" s="35"/>
      <c r="E16" s="36"/>
      <c r="F16" s="37"/>
      <c r="G16" s="38"/>
      <c r="H16" s="39"/>
      <c r="I16" s="40"/>
      <c r="J16" s="68" t="s">
        <v>44</v>
      </c>
      <c r="K16" s="407" t="s">
        <v>654</v>
      </c>
      <c r="L16" s="110">
        <v>17620</v>
      </c>
      <c r="M16" s="71">
        <v>42957</v>
      </c>
      <c r="N16" s="569" t="s">
        <v>751</v>
      </c>
      <c r="O16" s="72">
        <v>22050</v>
      </c>
      <c r="P16" s="60">
        <f t="shared" si="0"/>
        <v>4430</v>
      </c>
      <c r="Q16" s="64">
        <v>29.5</v>
      </c>
      <c r="R16" s="905"/>
      <c r="S16" s="906"/>
      <c r="T16" s="39">
        <f t="shared" si="1"/>
        <v>650475</v>
      </c>
      <c r="U16" s="571" t="s">
        <v>703</v>
      </c>
      <c r="V16" s="572">
        <v>42979</v>
      </c>
      <c r="W16" s="573">
        <v>15004.6</v>
      </c>
      <c r="X16" s="574"/>
      <c r="Y16" s="575"/>
      <c r="Z16" s="576"/>
      <c r="AA16" s="577"/>
      <c r="AB16" s="576"/>
      <c r="AC16" s="578"/>
      <c r="AD16" s="579"/>
      <c r="AE16" s="574"/>
      <c r="AF16" s="574"/>
      <c r="AG16" s="574"/>
      <c r="AH16" s="575"/>
      <c r="AI16" s="576"/>
      <c r="AJ16" s="577"/>
      <c r="AK16" s="576"/>
      <c r="AL16" s="578"/>
      <c r="AM16" s="579"/>
      <c r="AN16" s="574"/>
      <c r="AO16" s="574"/>
      <c r="AP16" s="574"/>
      <c r="AQ16" s="575"/>
      <c r="AR16" s="576"/>
      <c r="AS16" s="577"/>
      <c r="AT16" s="576"/>
      <c r="AU16" s="578"/>
      <c r="AV16" s="579"/>
      <c r="AW16" s="574"/>
      <c r="AX16" s="574"/>
      <c r="AY16" s="574"/>
      <c r="AZ16" s="575"/>
      <c r="BA16" s="576"/>
      <c r="BB16" s="577"/>
      <c r="BC16" s="576"/>
      <c r="BD16" s="578"/>
      <c r="BE16" s="579"/>
      <c r="BF16" s="574"/>
      <c r="BG16" s="574"/>
      <c r="BH16" s="574"/>
      <c r="BI16" s="575"/>
      <c r="BJ16" s="576"/>
      <c r="BK16" s="577"/>
      <c r="BL16" s="576"/>
      <c r="BM16" s="578"/>
      <c r="BN16" s="579"/>
      <c r="BO16" s="574"/>
      <c r="BP16" s="574"/>
      <c r="BQ16" s="574"/>
      <c r="BR16" s="575"/>
      <c r="BS16" s="576"/>
      <c r="BT16" s="577"/>
      <c r="BU16" s="576"/>
      <c r="BV16" s="578"/>
      <c r="BW16" s="579"/>
      <c r="BX16" s="574"/>
      <c r="BY16" s="574"/>
      <c r="BZ16" s="574"/>
      <c r="CA16" s="575"/>
      <c r="CB16" s="576"/>
      <c r="CC16" s="577"/>
      <c r="CD16" s="576"/>
      <c r="CE16" s="578"/>
      <c r="CF16" s="579"/>
      <c r="CG16" s="574"/>
      <c r="CH16" s="574"/>
      <c r="CI16" s="574"/>
      <c r="CJ16" s="575"/>
      <c r="CK16" s="576"/>
      <c r="CL16" s="577"/>
      <c r="CM16" s="576"/>
      <c r="CN16" s="578"/>
      <c r="CO16" s="579"/>
      <c r="CP16" s="574"/>
      <c r="CQ16" s="574"/>
      <c r="CR16" s="574"/>
      <c r="CS16" s="575"/>
      <c r="CT16" s="576"/>
      <c r="CU16" s="577"/>
      <c r="CV16" s="580"/>
      <c r="CW16" s="578"/>
      <c r="CX16" s="579"/>
      <c r="CY16" s="574"/>
      <c r="CZ16" s="574"/>
      <c r="DA16" s="574"/>
      <c r="DB16" s="575"/>
      <c r="DC16" s="576"/>
      <c r="DD16" s="577"/>
      <c r="DE16" s="576"/>
      <c r="DF16" s="578"/>
      <c r="DG16" s="579"/>
      <c r="DH16" s="574"/>
      <c r="DI16" s="574"/>
      <c r="DJ16" s="574"/>
      <c r="DK16" s="575"/>
      <c r="DL16" s="576"/>
      <c r="DM16" s="577"/>
      <c r="DN16" s="576"/>
      <c r="DO16" s="578"/>
      <c r="DP16" s="579"/>
      <c r="DQ16" s="574"/>
      <c r="DR16" s="574"/>
      <c r="DS16" s="574"/>
      <c r="DT16" s="575"/>
      <c r="DU16" s="576"/>
      <c r="DV16" s="577"/>
      <c r="DW16" s="576"/>
      <c r="DX16" s="578"/>
      <c r="DY16" s="579"/>
      <c r="DZ16" s="574"/>
      <c r="EA16" s="574"/>
      <c r="EB16" s="574"/>
      <c r="EC16" s="575"/>
      <c r="ED16" s="576"/>
      <c r="EE16" s="577"/>
      <c r="EF16" s="576"/>
      <c r="EG16" s="578"/>
      <c r="EH16" s="579"/>
      <c r="EI16" s="574"/>
      <c r="EJ16" s="574"/>
      <c r="EK16" s="574"/>
      <c r="EL16" s="575"/>
      <c r="EM16" s="576"/>
      <c r="EN16" s="577"/>
      <c r="EO16" s="576"/>
      <c r="EP16" s="578"/>
      <c r="EQ16" s="579"/>
      <c r="ER16" s="574"/>
      <c r="ES16" s="574"/>
      <c r="ET16" s="574"/>
      <c r="EU16" s="575"/>
      <c r="EV16" s="576"/>
      <c r="EW16" s="577"/>
      <c r="EX16" s="576"/>
      <c r="EY16" s="578"/>
      <c r="EZ16" s="579"/>
      <c r="FA16" s="574"/>
      <c r="FB16" s="574"/>
      <c r="FC16" s="574"/>
      <c r="FD16" s="575"/>
      <c r="FE16" s="576"/>
      <c r="FF16" s="577"/>
      <c r="FG16" s="576"/>
      <c r="FH16" s="578"/>
      <c r="FI16" s="579"/>
      <c r="FJ16" s="574"/>
      <c r="FK16" s="574"/>
      <c r="FL16" s="574"/>
      <c r="FM16" s="575"/>
      <c r="FN16" s="576"/>
      <c r="FO16" s="577"/>
      <c r="FP16" s="576"/>
      <c r="FQ16" s="578"/>
      <c r="FR16" s="579"/>
      <c r="FS16" s="574"/>
      <c r="FT16" s="574"/>
      <c r="FU16" s="574"/>
      <c r="FV16" s="575"/>
      <c r="FW16" s="576"/>
      <c r="FX16" s="577"/>
      <c r="FY16" s="576"/>
      <c r="FZ16" s="578"/>
      <c r="GA16" s="579"/>
      <c r="GB16" s="574"/>
      <c r="GC16" s="574"/>
      <c r="GD16" s="574"/>
      <c r="GE16" s="575"/>
      <c r="GF16" s="576"/>
      <c r="GG16" s="577"/>
      <c r="GH16" s="576"/>
      <c r="GI16" s="578"/>
      <c r="GJ16" s="579"/>
      <c r="GK16" s="574"/>
      <c r="GL16" s="574"/>
      <c r="GM16" s="574"/>
      <c r="GN16" s="575"/>
      <c r="GO16" s="576"/>
      <c r="GP16" s="577"/>
      <c r="GQ16" s="576"/>
      <c r="GR16" s="578"/>
      <c r="GS16" s="579"/>
      <c r="GT16" s="581">
        <v>42979</v>
      </c>
      <c r="GU16" s="114"/>
      <c r="GV16" s="65"/>
      <c r="GW16" s="74"/>
      <c r="GX16" s="74"/>
      <c r="GY16" s="601" t="s">
        <v>778</v>
      </c>
      <c r="GZ16" s="599">
        <v>4408</v>
      </c>
    </row>
    <row r="17" spans="1:208" ht="30" x14ac:dyDescent="0.25">
      <c r="C17" s="87"/>
      <c r="D17" s="35"/>
      <c r="E17" s="36"/>
      <c r="F17" s="37"/>
      <c r="G17" s="38"/>
      <c r="H17" s="39"/>
      <c r="I17" s="40"/>
      <c r="J17" s="68" t="s">
        <v>45</v>
      </c>
      <c r="K17" s="407" t="s">
        <v>652</v>
      </c>
      <c r="L17" s="110">
        <v>17500</v>
      </c>
      <c r="M17" s="71">
        <v>42958</v>
      </c>
      <c r="N17" s="569" t="s">
        <v>753</v>
      </c>
      <c r="O17" s="72">
        <f>24210-243.32</f>
        <v>23966.68</v>
      </c>
      <c r="P17" s="113">
        <f t="shared" si="0"/>
        <v>6466.68</v>
      </c>
      <c r="Q17" s="64">
        <v>29.5</v>
      </c>
      <c r="R17" s="64"/>
      <c r="S17" s="64"/>
      <c r="T17" s="39">
        <f t="shared" si="1"/>
        <v>707017.06</v>
      </c>
      <c r="U17" s="571" t="s">
        <v>703</v>
      </c>
      <c r="V17" s="572">
        <v>42982</v>
      </c>
      <c r="W17" s="573">
        <v>15004.6</v>
      </c>
      <c r="X17" s="574"/>
      <c r="Y17" s="575"/>
      <c r="Z17" s="576"/>
      <c r="AA17" s="577"/>
      <c r="AB17" s="576"/>
      <c r="AC17" s="578"/>
      <c r="AD17" s="579"/>
      <c r="AE17" s="574"/>
      <c r="AF17" s="574"/>
      <c r="AG17" s="574"/>
      <c r="AH17" s="575"/>
      <c r="AI17" s="576"/>
      <c r="AJ17" s="577"/>
      <c r="AK17" s="576"/>
      <c r="AL17" s="578"/>
      <c r="AM17" s="579"/>
      <c r="AN17" s="574"/>
      <c r="AO17" s="574"/>
      <c r="AP17" s="574"/>
      <c r="AQ17" s="575"/>
      <c r="AR17" s="576"/>
      <c r="AS17" s="577"/>
      <c r="AT17" s="576"/>
      <c r="AU17" s="578"/>
      <c r="AV17" s="579"/>
      <c r="AW17" s="574"/>
      <c r="AX17" s="574"/>
      <c r="AY17" s="574"/>
      <c r="AZ17" s="575"/>
      <c r="BA17" s="576"/>
      <c r="BB17" s="577"/>
      <c r="BC17" s="576"/>
      <c r="BD17" s="578"/>
      <c r="BE17" s="579"/>
      <c r="BF17" s="574"/>
      <c r="BG17" s="574"/>
      <c r="BH17" s="574"/>
      <c r="BI17" s="575"/>
      <c r="BJ17" s="576"/>
      <c r="BK17" s="577"/>
      <c r="BL17" s="576"/>
      <c r="BM17" s="578"/>
      <c r="BN17" s="579"/>
      <c r="BO17" s="574"/>
      <c r="BP17" s="574"/>
      <c r="BQ17" s="574"/>
      <c r="BR17" s="575"/>
      <c r="BS17" s="576"/>
      <c r="BT17" s="577"/>
      <c r="BU17" s="576"/>
      <c r="BV17" s="578"/>
      <c r="BW17" s="579"/>
      <c r="BX17" s="574"/>
      <c r="BY17" s="574"/>
      <c r="BZ17" s="574"/>
      <c r="CA17" s="575"/>
      <c r="CB17" s="576"/>
      <c r="CC17" s="577"/>
      <c r="CD17" s="576"/>
      <c r="CE17" s="578"/>
      <c r="CF17" s="579"/>
      <c r="CG17" s="574"/>
      <c r="CH17" s="574"/>
      <c r="CI17" s="574"/>
      <c r="CJ17" s="575"/>
      <c r="CK17" s="576"/>
      <c r="CL17" s="577"/>
      <c r="CM17" s="576"/>
      <c r="CN17" s="578"/>
      <c r="CO17" s="579"/>
      <c r="CP17" s="574"/>
      <c r="CQ17" s="574"/>
      <c r="CR17" s="574"/>
      <c r="CS17" s="575"/>
      <c r="CT17" s="576"/>
      <c r="CU17" s="577"/>
      <c r="CV17" s="580"/>
      <c r="CW17" s="578"/>
      <c r="CX17" s="579"/>
      <c r="CY17" s="574"/>
      <c r="CZ17" s="574"/>
      <c r="DA17" s="574"/>
      <c r="DB17" s="575"/>
      <c r="DC17" s="576"/>
      <c r="DD17" s="577"/>
      <c r="DE17" s="576"/>
      <c r="DF17" s="578"/>
      <c r="DG17" s="579"/>
      <c r="DH17" s="574"/>
      <c r="DI17" s="574"/>
      <c r="DJ17" s="574"/>
      <c r="DK17" s="575"/>
      <c r="DL17" s="576"/>
      <c r="DM17" s="577"/>
      <c r="DN17" s="576"/>
      <c r="DO17" s="578"/>
      <c r="DP17" s="579"/>
      <c r="DQ17" s="574"/>
      <c r="DR17" s="574"/>
      <c r="DS17" s="574"/>
      <c r="DT17" s="575"/>
      <c r="DU17" s="576"/>
      <c r="DV17" s="577"/>
      <c r="DW17" s="576"/>
      <c r="DX17" s="578"/>
      <c r="DY17" s="579"/>
      <c r="DZ17" s="574"/>
      <c r="EA17" s="574"/>
      <c r="EB17" s="574"/>
      <c r="EC17" s="575"/>
      <c r="ED17" s="576"/>
      <c r="EE17" s="577"/>
      <c r="EF17" s="576"/>
      <c r="EG17" s="578"/>
      <c r="EH17" s="579"/>
      <c r="EI17" s="574"/>
      <c r="EJ17" s="574"/>
      <c r="EK17" s="574"/>
      <c r="EL17" s="575"/>
      <c r="EM17" s="576"/>
      <c r="EN17" s="577"/>
      <c r="EO17" s="576"/>
      <c r="EP17" s="578"/>
      <c r="EQ17" s="579"/>
      <c r="ER17" s="574"/>
      <c r="ES17" s="574"/>
      <c r="ET17" s="574"/>
      <c r="EU17" s="575"/>
      <c r="EV17" s="576"/>
      <c r="EW17" s="577"/>
      <c r="EX17" s="576"/>
      <c r="EY17" s="578"/>
      <c r="EZ17" s="579"/>
      <c r="FA17" s="574"/>
      <c r="FB17" s="574"/>
      <c r="FC17" s="574"/>
      <c r="FD17" s="575"/>
      <c r="FE17" s="576"/>
      <c r="FF17" s="577"/>
      <c r="FG17" s="576"/>
      <c r="FH17" s="578"/>
      <c r="FI17" s="579"/>
      <c r="FJ17" s="574"/>
      <c r="FK17" s="574"/>
      <c r="FL17" s="574"/>
      <c r="FM17" s="575"/>
      <c r="FN17" s="576"/>
      <c r="FO17" s="577"/>
      <c r="FP17" s="576"/>
      <c r="FQ17" s="578"/>
      <c r="FR17" s="579"/>
      <c r="FS17" s="574"/>
      <c r="FT17" s="574"/>
      <c r="FU17" s="574"/>
      <c r="FV17" s="575"/>
      <c r="FW17" s="576"/>
      <c r="FX17" s="577"/>
      <c r="FY17" s="576"/>
      <c r="FZ17" s="578"/>
      <c r="GA17" s="579"/>
      <c r="GB17" s="574"/>
      <c r="GC17" s="574"/>
      <c r="GD17" s="574"/>
      <c r="GE17" s="575"/>
      <c r="GF17" s="576"/>
      <c r="GG17" s="577"/>
      <c r="GH17" s="576"/>
      <c r="GI17" s="578"/>
      <c r="GJ17" s="579"/>
      <c r="GK17" s="574"/>
      <c r="GL17" s="574"/>
      <c r="GM17" s="574"/>
      <c r="GN17" s="575"/>
      <c r="GO17" s="576"/>
      <c r="GP17" s="577"/>
      <c r="GQ17" s="576"/>
      <c r="GR17" s="578"/>
      <c r="GS17" s="579"/>
      <c r="GT17" s="581">
        <v>42982</v>
      </c>
      <c r="GU17" s="98">
        <v>22176</v>
      </c>
      <c r="GV17" s="65" t="s">
        <v>696</v>
      </c>
      <c r="GW17" s="74"/>
      <c r="GX17" s="74"/>
      <c r="GY17" s="601" t="s">
        <v>778</v>
      </c>
      <c r="GZ17" s="599">
        <v>4408</v>
      </c>
    </row>
    <row r="18" spans="1:208" ht="30" x14ac:dyDescent="0.25">
      <c r="C18" s="87"/>
      <c r="D18" s="35"/>
      <c r="E18" s="36"/>
      <c r="F18" s="37"/>
      <c r="G18" s="38"/>
      <c r="H18" s="39"/>
      <c r="I18" s="40"/>
      <c r="J18" s="455" t="s">
        <v>655</v>
      </c>
      <c r="K18" s="407" t="s">
        <v>656</v>
      </c>
      <c r="L18" s="110">
        <v>12280</v>
      </c>
      <c r="M18" s="71">
        <v>42958</v>
      </c>
      <c r="N18" s="569" t="s">
        <v>754</v>
      </c>
      <c r="O18" s="72">
        <f>14230-109.46</f>
        <v>14120.54</v>
      </c>
      <c r="P18" s="113">
        <f t="shared" si="0"/>
        <v>1840.5400000000009</v>
      </c>
      <c r="Q18" s="64">
        <v>29.5</v>
      </c>
      <c r="R18" s="64"/>
      <c r="S18" s="64"/>
      <c r="T18" s="39">
        <f t="shared" si="1"/>
        <v>416555.93000000005</v>
      </c>
      <c r="U18" s="571" t="s">
        <v>703</v>
      </c>
      <c r="V18" s="572">
        <v>42983</v>
      </c>
      <c r="W18" s="573">
        <v>9802</v>
      </c>
      <c r="X18" s="574"/>
      <c r="Y18" s="575"/>
      <c r="Z18" s="576"/>
      <c r="AA18" s="577"/>
      <c r="AB18" s="576"/>
      <c r="AC18" s="578"/>
      <c r="AD18" s="579"/>
      <c r="AE18" s="574"/>
      <c r="AF18" s="574"/>
      <c r="AG18" s="574"/>
      <c r="AH18" s="575"/>
      <c r="AI18" s="576"/>
      <c r="AJ18" s="577"/>
      <c r="AK18" s="576"/>
      <c r="AL18" s="578"/>
      <c r="AM18" s="579"/>
      <c r="AN18" s="574"/>
      <c r="AO18" s="574"/>
      <c r="AP18" s="574"/>
      <c r="AQ18" s="575"/>
      <c r="AR18" s="576"/>
      <c r="AS18" s="577"/>
      <c r="AT18" s="576"/>
      <c r="AU18" s="578"/>
      <c r="AV18" s="579"/>
      <c r="AW18" s="574"/>
      <c r="AX18" s="574"/>
      <c r="AY18" s="574"/>
      <c r="AZ18" s="575"/>
      <c r="BA18" s="576"/>
      <c r="BB18" s="577"/>
      <c r="BC18" s="576"/>
      <c r="BD18" s="578"/>
      <c r="BE18" s="579"/>
      <c r="BF18" s="574"/>
      <c r="BG18" s="574"/>
      <c r="BH18" s="574"/>
      <c r="BI18" s="575"/>
      <c r="BJ18" s="576"/>
      <c r="BK18" s="577"/>
      <c r="BL18" s="576"/>
      <c r="BM18" s="578"/>
      <c r="BN18" s="579"/>
      <c r="BO18" s="574"/>
      <c r="BP18" s="574"/>
      <c r="BQ18" s="574"/>
      <c r="BR18" s="575"/>
      <c r="BS18" s="576"/>
      <c r="BT18" s="577"/>
      <c r="BU18" s="576"/>
      <c r="BV18" s="578"/>
      <c r="BW18" s="579"/>
      <c r="BX18" s="574"/>
      <c r="BY18" s="574"/>
      <c r="BZ18" s="574"/>
      <c r="CA18" s="575"/>
      <c r="CB18" s="576"/>
      <c r="CC18" s="577"/>
      <c r="CD18" s="576"/>
      <c r="CE18" s="578"/>
      <c r="CF18" s="579"/>
      <c r="CG18" s="574"/>
      <c r="CH18" s="574"/>
      <c r="CI18" s="574"/>
      <c r="CJ18" s="575"/>
      <c r="CK18" s="576"/>
      <c r="CL18" s="577"/>
      <c r="CM18" s="576"/>
      <c r="CN18" s="578"/>
      <c r="CO18" s="579"/>
      <c r="CP18" s="574"/>
      <c r="CQ18" s="574"/>
      <c r="CR18" s="574"/>
      <c r="CS18" s="575"/>
      <c r="CT18" s="576"/>
      <c r="CU18" s="577"/>
      <c r="CV18" s="580"/>
      <c r="CW18" s="578"/>
      <c r="CX18" s="579"/>
      <c r="CY18" s="574"/>
      <c r="CZ18" s="574"/>
      <c r="DA18" s="574"/>
      <c r="DB18" s="575"/>
      <c r="DC18" s="576"/>
      <c r="DD18" s="577"/>
      <c r="DE18" s="576"/>
      <c r="DF18" s="578"/>
      <c r="DG18" s="579"/>
      <c r="DH18" s="574"/>
      <c r="DI18" s="574"/>
      <c r="DJ18" s="574"/>
      <c r="DK18" s="575"/>
      <c r="DL18" s="576"/>
      <c r="DM18" s="577"/>
      <c r="DN18" s="576"/>
      <c r="DO18" s="578"/>
      <c r="DP18" s="579"/>
      <c r="DQ18" s="574"/>
      <c r="DR18" s="574"/>
      <c r="DS18" s="574"/>
      <c r="DT18" s="575"/>
      <c r="DU18" s="576"/>
      <c r="DV18" s="577"/>
      <c r="DW18" s="576"/>
      <c r="DX18" s="578"/>
      <c r="DY18" s="579"/>
      <c r="DZ18" s="574"/>
      <c r="EA18" s="574"/>
      <c r="EB18" s="574"/>
      <c r="EC18" s="575"/>
      <c r="ED18" s="576"/>
      <c r="EE18" s="577"/>
      <c r="EF18" s="576"/>
      <c r="EG18" s="578"/>
      <c r="EH18" s="579"/>
      <c r="EI18" s="574"/>
      <c r="EJ18" s="574"/>
      <c r="EK18" s="574"/>
      <c r="EL18" s="575"/>
      <c r="EM18" s="576"/>
      <c r="EN18" s="577"/>
      <c r="EO18" s="576"/>
      <c r="EP18" s="578"/>
      <c r="EQ18" s="579"/>
      <c r="ER18" s="574"/>
      <c r="ES18" s="574"/>
      <c r="ET18" s="574"/>
      <c r="EU18" s="575"/>
      <c r="EV18" s="576"/>
      <c r="EW18" s="577"/>
      <c r="EX18" s="576"/>
      <c r="EY18" s="578"/>
      <c r="EZ18" s="579"/>
      <c r="FA18" s="574"/>
      <c r="FB18" s="574"/>
      <c r="FC18" s="574"/>
      <c r="FD18" s="575"/>
      <c r="FE18" s="576"/>
      <c r="FF18" s="577"/>
      <c r="FG18" s="576"/>
      <c r="FH18" s="578"/>
      <c r="FI18" s="579"/>
      <c r="FJ18" s="574"/>
      <c r="FK18" s="574"/>
      <c r="FL18" s="574"/>
      <c r="FM18" s="575"/>
      <c r="FN18" s="576"/>
      <c r="FO18" s="577"/>
      <c r="FP18" s="576"/>
      <c r="FQ18" s="578"/>
      <c r="FR18" s="579"/>
      <c r="FS18" s="574"/>
      <c r="FT18" s="574"/>
      <c r="FU18" s="574"/>
      <c r="FV18" s="575"/>
      <c r="FW18" s="576"/>
      <c r="FX18" s="577"/>
      <c r="FY18" s="576"/>
      <c r="FZ18" s="578"/>
      <c r="GA18" s="579"/>
      <c r="GB18" s="574"/>
      <c r="GC18" s="574"/>
      <c r="GD18" s="574"/>
      <c r="GE18" s="575"/>
      <c r="GF18" s="576"/>
      <c r="GG18" s="577"/>
      <c r="GH18" s="576"/>
      <c r="GI18" s="578"/>
      <c r="GJ18" s="579"/>
      <c r="GK18" s="574"/>
      <c r="GL18" s="574"/>
      <c r="GM18" s="574"/>
      <c r="GN18" s="575"/>
      <c r="GO18" s="576"/>
      <c r="GP18" s="577"/>
      <c r="GQ18" s="576"/>
      <c r="GR18" s="578"/>
      <c r="GS18" s="579"/>
      <c r="GT18" s="581">
        <v>42983</v>
      </c>
      <c r="GU18" s="98">
        <v>17584</v>
      </c>
      <c r="GV18" s="65" t="s">
        <v>697</v>
      </c>
      <c r="GW18" s="74"/>
      <c r="GX18" s="74"/>
      <c r="GY18" s="601" t="s">
        <v>778</v>
      </c>
      <c r="GZ18" s="599">
        <v>2552</v>
      </c>
    </row>
    <row r="19" spans="1:208" x14ac:dyDescent="0.25">
      <c r="C19" s="87"/>
      <c r="D19" s="35"/>
      <c r="E19" s="36"/>
      <c r="F19" s="37"/>
      <c r="G19" s="38"/>
      <c r="H19" s="39"/>
      <c r="I19" s="40"/>
      <c r="J19" s="455" t="s">
        <v>686</v>
      </c>
      <c r="K19" s="560" t="s">
        <v>143</v>
      </c>
      <c r="L19" s="561">
        <v>120</v>
      </c>
      <c r="M19" s="71">
        <v>42959</v>
      </c>
      <c r="N19" s="56" t="s">
        <v>704</v>
      </c>
      <c r="O19" s="72">
        <v>120</v>
      </c>
      <c r="P19" s="113">
        <f t="shared" si="0"/>
        <v>0</v>
      </c>
      <c r="Q19" s="555">
        <v>180</v>
      </c>
      <c r="R19" s="556" t="s">
        <v>249</v>
      </c>
      <c r="S19" s="557"/>
      <c r="T19" s="554">
        <f t="shared" si="1"/>
        <v>21600</v>
      </c>
      <c r="U19" s="90" t="s">
        <v>703</v>
      </c>
      <c r="V19" s="112">
        <v>42968</v>
      </c>
      <c r="W19" s="109"/>
      <c r="X19" s="17"/>
      <c r="Y19" s="20"/>
      <c r="Z19" s="92"/>
      <c r="AA19" s="93"/>
      <c r="AB19" s="92"/>
      <c r="AC19" s="94"/>
      <c r="AD19" s="95"/>
      <c r="AE19" s="17"/>
      <c r="AF19" s="17"/>
      <c r="AG19" s="17"/>
      <c r="AH19" s="20"/>
      <c r="AI19" s="92"/>
      <c r="AJ19" s="93"/>
      <c r="AK19" s="92"/>
      <c r="AL19" s="94"/>
      <c r="AM19" s="95"/>
      <c r="AN19" s="17"/>
      <c r="AO19" s="17"/>
      <c r="AP19" s="17"/>
      <c r="AQ19" s="20"/>
      <c r="AR19" s="92"/>
      <c r="AS19" s="93"/>
      <c r="AT19" s="92"/>
      <c r="AU19" s="94"/>
      <c r="AV19" s="95"/>
      <c r="AW19" s="17"/>
      <c r="AX19" s="17"/>
      <c r="AY19" s="17"/>
      <c r="AZ19" s="20"/>
      <c r="BA19" s="92"/>
      <c r="BB19" s="93"/>
      <c r="BC19" s="92"/>
      <c r="BD19" s="94"/>
      <c r="BE19" s="95"/>
      <c r="BF19" s="17"/>
      <c r="BG19" s="17"/>
      <c r="BH19" s="17"/>
      <c r="BI19" s="20"/>
      <c r="BJ19" s="92"/>
      <c r="BK19" s="93"/>
      <c r="BL19" s="92"/>
      <c r="BM19" s="94"/>
      <c r="BN19" s="95"/>
      <c r="BO19" s="17"/>
      <c r="BP19" s="17"/>
      <c r="BQ19" s="17"/>
      <c r="BR19" s="20"/>
      <c r="BS19" s="92"/>
      <c r="BT19" s="93"/>
      <c r="BU19" s="92"/>
      <c r="BV19" s="94"/>
      <c r="BW19" s="95"/>
      <c r="BX19" s="17"/>
      <c r="BY19" s="17"/>
      <c r="BZ19" s="17"/>
      <c r="CA19" s="20"/>
      <c r="CB19" s="92"/>
      <c r="CC19" s="93"/>
      <c r="CD19" s="92"/>
      <c r="CE19" s="94"/>
      <c r="CF19" s="95"/>
      <c r="CG19" s="17"/>
      <c r="CH19" s="17"/>
      <c r="CI19" s="17"/>
      <c r="CJ19" s="20"/>
      <c r="CK19" s="92"/>
      <c r="CL19" s="93"/>
      <c r="CM19" s="92"/>
      <c r="CN19" s="94"/>
      <c r="CO19" s="95"/>
      <c r="CP19" s="17"/>
      <c r="CQ19" s="17"/>
      <c r="CR19" s="17"/>
      <c r="CS19" s="20"/>
      <c r="CT19" s="92"/>
      <c r="CU19" s="93"/>
      <c r="CV19" s="96"/>
      <c r="CW19" s="94"/>
      <c r="CX19" s="95"/>
      <c r="CY19" s="17"/>
      <c r="CZ19" s="17"/>
      <c r="DA19" s="17"/>
      <c r="DB19" s="20"/>
      <c r="DC19" s="92"/>
      <c r="DD19" s="93"/>
      <c r="DE19" s="92"/>
      <c r="DF19" s="94"/>
      <c r="DG19" s="95"/>
      <c r="DH19" s="17"/>
      <c r="DI19" s="17"/>
      <c r="DJ19" s="17"/>
      <c r="DK19" s="20"/>
      <c r="DL19" s="92"/>
      <c r="DM19" s="93"/>
      <c r="DN19" s="92"/>
      <c r="DO19" s="94"/>
      <c r="DP19" s="95"/>
      <c r="DQ19" s="17"/>
      <c r="DR19" s="17"/>
      <c r="DS19" s="17"/>
      <c r="DT19" s="20"/>
      <c r="DU19" s="92"/>
      <c r="DV19" s="93"/>
      <c r="DW19" s="92"/>
      <c r="DX19" s="94"/>
      <c r="DY19" s="95"/>
      <c r="DZ19" s="17"/>
      <c r="EA19" s="17"/>
      <c r="EB19" s="17"/>
      <c r="EC19" s="20"/>
      <c r="ED19" s="92"/>
      <c r="EE19" s="93"/>
      <c r="EF19" s="92"/>
      <c r="EG19" s="94"/>
      <c r="EH19" s="95"/>
      <c r="EI19" s="17"/>
      <c r="EJ19" s="17"/>
      <c r="EK19" s="17"/>
      <c r="EL19" s="20"/>
      <c r="EM19" s="92"/>
      <c r="EN19" s="93"/>
      <c r="EO19" s="92"/>
      <c r="EP19" s="94"/>
      <c r="EQ19" s="95"/>
      <c r="ER19" s="17"/>
      <c r="ES19" s="17"/>
      <c r="ET19" s="17"/>
      <c r="EU19" s="20"/>
      <c r="EV19" s="92"/>
      <c r="EW19" s="93"/>
      <c r="EX19" s="92"/>
      <c r="EY19" s="94"/>
      <c r="EZ19" s="95"/>
      <c r="FA19" s="17"/>
      <c r="FB19" s="17"/>
      <c r="FC19" s="17"/>
      <c r="FD19" s="20"/>
      <c r="FE19" s="92"/>
      <c r="FF19" s="93"/>
      <c r="FG19" s="92"/>
      <c r="FH19" s="94"/>
      <c r="FI19" s="95"/>
      <c r="FJ19" s="17"/>
      <c r="FK19" s="17"/>
      <c r="FL19" s="17"/>
      <c r="FM19" s="20"/>
      <c r="FN19" s="92"/>
      <c r="FO19" s="93"/>
      <c r="FP19" s="92"/>
      <c r="FQ19" s="94"/>
      <c r="FR19" s="95"/>
      <c r="FS19" s="17"/>
      <c r="FT19" s="17"/>
      <c r="FU19" s="17"/>
      <c r="FV19" s="20"/>
      <c r="FW19" s="92"/>
      <c r="FX19" s="93"/>
      <c r="FY19" s="92"/>
      <c r="FZ19" s="94"/>
      <c r="GA19" s="95"/>
      <c r="GB19" s="17"/>
      <c r="GC19" s="17"/>
      <c r="GD19" s="17"/>
      <c r="GE19" s="20"/>
      <c r="GF19" s="92"/>
      <c r="GG19" s="93"/>
      <c r="GH19" s="92"/>
      <c r="GI19" s="94"/>
      <c r="GJ19" s="95"/>
      <c r="GK19" s="17"/>
      <c r="GL19" s="17"/>
      <c r="GM19" s="17"/>
      <c r="GN19" s="20"/>
      <c r="GO19" s="92"/>
      <c r="GP19" s="93"/>
      <c r="GQ19" s="92"/>
      <c r="GR19" s="94"/>
      <c r="GS19" s="95"/>
      <c r="GT19" s="97"/>
      <c r="GU19" s="98"/>
      <c r="GV19" s="65"/>
      <c r="GW19" s="74"/>
      <c r="GX19" s="74"/>
      <c r="GY19" s="600" t="s">
        <v>779</v>
      </c>
      <c r="GZ19" s="603">
        <v>0</v>
      </c>
    </row>
    <row r="20" spans="1:208" ht="30" x14ac:dyDescent="0.25">
      <c r="C20" s="87"/>
      <c r="D20" s="35"/>
      <c r="E20" s="36"/>
      <c r="F20" s="37"/>
      <c r="G20" s="38"/>
      <c r="H20" s="39"/>
      <c r="I20" s="40"/>
      <c r="J20" s="68" t="s">
        <v>38</v>
      </c>
      <c r="K20" s="407" t="s">
        <v>683</v>
      </c>
      <c r="L20" s="70">
        <v>18940</v>
      </c>
      <c r="M20" s="604">
        <v>42960</v>
      </c>
      <c r="N20" s="569" t="s">
        <v>755</v>
      </c>
      <c r="O20" s="72">
        <f>23740-107.91</f>
        <v>23632.09</v>
      </c>
      <c r="P20" s="113">
        <f t="shared" ref="P20" si="2">O20-L20</f>
        <v>4692.09</v>
      </c>
      <c r="Q20" s="64">
        <v>29.5</v>
      </c>
      <c r="R20" s="64"/>
      <c r="S20" s="64"/>
      <c r="T20" s="39">
        <f t="shared" ref="T20" si="3">Q20*O20</f>
        <v>697146.65500000003</v>
      </c>
      <c r="U20" s="582" t="s">
        <v>703</v>
      </c>
      <c r="V20" s="572">
        <v>42983</v>
      </c>
      <c r="W20" s="583">
        <v>16588</v>
      </c>
      <c r="X20" s="574"/>
      <c r="Y20" s="575"/>
      <c r="Z20" s="576"/>
      <c r="AA20" s="577"/>
      <c r="AB20" s="576"/>
      <c r="AC20" s="578"/>
      <c r="AD20" s="579"/>
      <c r="AE20" s="574"/>
      <c r="AF20" s="574"/>
      <c r="AG20" s="574"/>
      <c r="AH20" s="575"/>
      <c r="AI20" s="576"/>
      <c r="AJ20" s="577"/>
      <c r="AK20" s="576"/>
      <c r="AL20" s="578"/>
      <c r="AM20" s="579"/>
      <c r="AN20" s="574"/>
      <c r="AO20" s="574"/>
      <c r="AP20" s="574"/>
      <c r="AQ20" s="575"/>
      <c r="AR20" s="576"/>
      <c r="AS20" s="577"/>
      <c r="AT20" s="576"/>
      <c r="AU20" s="578"/>
      <c r="AV20" s="579"/>
      <c r="AW20" s="574"/>
      <c r="AX20" s="574"/>
      <c r="AY20" s="574"/>
      <c r="AZ20" s="575"/>
      <c r="BA20" s="576"/>
      <c r="BB20" s="577"/>
      <c r="BC20" s="576"/>
      <c r="BD20" s="578"/>
      <c r="BE20" s="579"/>
      <c r="BF20" s="574"/>
      <c r="BG20" s="574"/>
      <c r="BH20" s="574"/>
      <c r="BI20" s="575"/>
      <c r="BJ20" s="576"/>
      <c r="BK20" s="577"/>
      <c r="BL20" s="576"/>
      <c r="BM20" s="578"/>
      <c r="BN20" s="579"/>
      <c r="BO20" s="574"/>
      <c r="BP20" s="574"/>
      <c r="BQ20" s="574"/>
      <c r="BR20" s="575"/>
      <c r="BS20" s="576"/>
      <c r="BT20" s="577"/>
      <c r="BU20" s="576"/>
      <c r="BV20" s="578"/>
      <c r="BW20" s="579"/>
      <c r="BX20" s="574"/>
      <c r="BY20" s="574"/>
      <c r="BZ20" s="574"/>
      <c r="CA20" s="575"/>
      <c r="CB20" s="576"/>
      <c r="CC20" s="577"/>
      <c r="CD20" s="576"/>
      <c r="CE20" s="578"/>
      <c r="CF20" s="579"/>
      <c r="CG20" s="574"/>
      <c r="CH20" s="574"/>
      <c r="CI20" s="574"/>
      <c r="CJ20" s="575"/>
      <c r="CK20" s="576"/>
      <c r="CL20" s="577"/>
      <c r="CM20" s="576"/>
      <c r="CN20" s="578"/>
      <c r="CO20" s="579"/>
      <c r="CP20" s="574"/>
      <c r="CQ20" s="574"/>
      <c r="CR20" s="574"/>
      <c r="CS20" s="575"/>
      <c r="CT20" s="576"/>
      <c r="CU20" s="577"/>
      <c r="CV20" s="580"/>
      <c r="CW20" s="578"/>
      <c r="CX20" s="579"/>
      <c r="CY20" s="574"/>
      <c r="CZ20" s="574"/>
      <c r="DA20" s="574"/>
      <c r="DB20" s="575"/>
      <c r="DC20" s="576"/>
      <c r="DD20" s="577"/>
      <c r="DE20" s="576"/>
      <c r="DF20" s="578"/>
      <c r="DG20" s="579"/>
      <c r="DH20" s="574"/>
      <c r="DI20" s="574"/>
      <c r="DJ20" s="574"/>
      <c r="DK20" s="575"/>
      <c r="DL20" s="576"/>
      <c r="DM20" s="577"/>
      <c r="DN20" s="576"/>
      <c r="DO20" s="578"/>
      <c r="DP20" s="579"/>
      <c r="DQ20" s="574"/>
      <c r="DR20" s="574"/>
      <c r="DS20" s="574"/>
      <c r="DT20" s="575"/>
      <c r="DU20" s="576"/>
      <c r="DV20" s="577"/>
      <c r="DW20" s="576"/>
      <c r="DX20" s="578"/>
      <c r="DY20" s="579"/>
      <c r="DZ20" s="574"/>
      <c r="EA20" s="574"/>
      <c r="EB20" s="574"/>
      <c r="EC20" s="575"/>
      <c r="ED20" s="576"/>
      <c r="EE20" s="577"/>
      <c r="EF20" s="576"/>
      <c r="EG20" s="578"/>
      <c r="EH20" s="579"/>
      <c r="EI20" s="574"/>
      <c r="EJ20" s="574"/>
      <c r="EK20" s="574"/>
      <c r="EL20" s="575"/>
      <c r="EM20" s="576"/>
      <c r="EN20" s="577"/>
      <c r="EO20" s="576"/>
      <c r="EP20" s="578"/>
      <c r="EQ20" s="579"/>
      <c r="ER20" s="574"/>
      <c r="ES20" s="574"/>
      <c r="ET20" s="574"/>
      <c r="EU20" s="575"/>
      <c r="EV20" s="576"/>
      <c r="EW20" s="577"/>
      <c r="EX20" s="576"/>
      <c r="EY20" s="578"/>
      <c r="EZ20" s="579"/>
      <c r="FA20" s="574"/>
      <c r="FB20" s="574"/>
      <c r="FC20" s="574"/>
      <c r="FD20" s="575"/>
      <c r="FE20" s="576"/>
      <c r="FF20" s="577"/>
      <c r="FG20" s="576"/>
      <c r="FH20" s="578"/>
      <c r="FI20" s="579"/>
      <c r="FJ20" s="574"/>
      <c r="FK20" s="574"/>
      <c r="FL20" s="574"/>
      <c r="FM20" s="575"/>
      <c r="FN20" s="576"/>
      <c r="FO20" s="577"/>
      <c r="FP20" s="576"/>
      <c r="FQ20" s="578"/>
      <c r="FR20" s="579"/>
      <c r="FS20" s="574"/>
      <c r="FT20" s="574"/>
      <c r="FU20" s="574"/>
      <c r="FV20" s="575"/>
      <c r="FW20" s="576"/>
      <c r="FX20" s="577"/>
      <c r="FY20" s="576"/>
      <c r="FZ20" s="578"/>
      <c r="GA20" s="579"/>
      <c r="GB20" s="574"/>
      <c r="GC20" s="574"/>
      <c r="GD20" s="574"/>
      <c r="GE20" s="575"/>
      <c r="GF20" s="576"/>
      <c r="GG20" s="577"/>
      <c r="GH20" s="576"/>
      <c r="GI20" s="578"/>
      <c r="GJ20" s="579"/>
      <c r="GK20" s="574"/>
      <c r="GL20" s="574"/>
      <c r="GM20" s="574"/>
      <c r="GN20" s="575"/>
      <c r="GO20" s="576"/>
      <c r="GP20" s="577"/>
      <c r="GQ20" s="576"/>
      <c r="GR20" s="578"/>
      <c r="GS20" s="579"/>
      <c r="GT20" s="581">
        <v>42983</v>
      </c>
      <c r="GU20" s="98"/>
      <c r="GV20" s="65"/>
      <c r="GW20" s="74"/>
      <c r="GX20" s="74"/>
      <c r="GY20" s="598" t="s">
        <v>778</v>
      </c>
      <c r="GZ20" s="599">
        <v>3944</v>
      </c>
    </row>
    <row r="21" spans="1:208" ht="30" x14ac:dyDescent="0.25">
      <c r="C21" s="87"/>
      <c r="D21" s="35"/>
      <c r="E21" s="36"/>
      <c r="F21" s="37"/>
      <c r="G21" s="38"/>
      <c r="H21" s="39"/>
      <c r="I21" s="40"/>
      <c r="J21" s="455" t="s">
        <v>681</v>
      </c>
      <c r="K21" s="407" t="s">
        <v>313</v>
      </c>
      <c r="L21" s="110">
        <v>18060</v>
      </c>
      <c r="M21" s="71">
        <v>42961</v>
      </c>
      <c r="N21" s="569" t="s">
        <v>756</v>
      </c>
      <c r="O21" s="72">
        <f>22665-113.33</f>
        <v>22551.67</v>
      </c>
      <c r="P21" s="456">
        <v>0</v>
      </c>
      <c r="Q21" s="64">
        <v>29.5</v>
      </c>
      <c r="R21" s="905"/>
      <c r="S21" s="906"/>
      <c r="T21" s="39">
        <f t="shared" si="1"/>
        <v>665274.2649999999</v>
      </c>
      <c r="U21" s="571" t="s">
        <v>703</v>
      </c>
      <c r="V21" s="572">
        <v>42984</v>
      </c>
      <c r="W21" s="573">
        <v>15080</v>
      </c>
      <c r="X21" s="574"/>
      <c r="Y21" s="575"/>
      <c r="Z21" s="576"/>
      <c r="AA21" s="577"/>
      <c r="AB21" s="576"/>
      <c r="AC21" s="578"/>
      <c r="AD21" s="579"/>
      <c r="AE21" s="574"/>
      <c r="AF21" s="574"/>
      <c r="AG21" s="574"/>
      <c r="AH21" s="575"/>
      <c r="AI21" s="576"/>
      <c r="AJ21" s="577"/>
      <c r="AK21" s="576"/>
      <c r="AL21" s="578"/>
      <c r="AM21" s="579"/>
      <c r="AN21" s="574"/>
      <c r="AO21" s="574"/>
      <c r="AP21" s="574"/>
      <c r="AQ21" s="575"/>
      <c r="AR21" s="576"/>
      <c r="AS21" s="577"/>
      <c r="AT21" s="576"/>
      <c r="AU21" s="578"/>
      <c r="AV21" s="579"/>
      <c r="AW21" s="574"/>
      <c r="AX21" s="574"/>
      <c r="AY21" s="574"/>
      <c r="AZ21" s="575"/>
      <c r="BA21" s="576"/>
      <c r="BB21" s="577"/>
      <c r="BC21" s="576"/>
      <c r="BD21" s="578"/>
      <c r="BE21" s="579"/>
      <c r="BF21" s="574"/>
      <c r="BG21" s="574"/>
      <c r="BH21" s="574"/>
      <c r="BI21" s="575"/>
      <c r="BJ21" s="576"/>
      <c r="BK21" s="577"/>
      <c r="BL21" s="576"/>
      <c r="BM21" s="578"/>
      <c r="BN21" s="579"/>
      <c r="BO21" s="574"/>
      <c r="BP21" s="574"/>
      <c r="BQ21" s="574"/>
      <c r="BR21" s="575"/>
      <c r="BS21" s="576"/>
      <c r="BT21" s="577"/>
      <c r="BU21" s="576"/>
      <c r="BV21" s="578"/>
      <c r="BW21" s="579"/>
      <c r="BX21" s="574"/>
      <c r="BY21" s="574"/>
      <c r="BZ21" s="574"/>
      <c r="CA21" s="575"/>
      <c r="CB21" s="576"/>
      <c r="CC21" s="577"/>
      <c r="CD21" s="576"/>
      <c r="CE21" s="578"/>
      <c r="CF21" s="579"/>
      <c r="CG21" s="574"/>
      <c r="CH21" s="574"/>
      <c r="CI21" s="574"/>
      <c r="CJ21" s="575"/>
      <c r="CK21" s="576"/>
      <c r="CL21" s="577"/>
      <c r="CM21" s="576"/>
      <c r="CN21" s="578"/>
      <c r="CO21" s="579"/>
      <c r="CP21" s="574"/>
      <c r="CQ21" s="574"/>
      <c r="CR21" s="574"/>
      <c r="CS21" s="575"/>
      <c r="CT21" s="576"/>
      <c r="CU21" s="577"/>
      <c r="CV21" s="580"/>
      <c r="CW21" s="578"/>
      <c r="CX21" s="579"/>
      <c r="CY21" s="574"/>
      <c r="CZ21" s="574"/>
      <c r="DA21" s="574"/>
      <c r="DB21" s="575"/>
      <c r="DC21" s="576"/>
      <c r="DD21" s="577"/>
      <c r="DE21" s="576"/>
      <c r="DF21" s="578"/>
      <c r="DG21" s="579"/>
      <c r="DH21" s="574"/>
      <c r="DI21" s="574"/>
      <c r="DJ21" s="574"/>
      <c r="DK21" s="575"/>
      <c r="DL21" s="576"/>
      <c r="DM21" s="577"/>
      <c r="DN21" s="576"/>
      <c r="DO21" s="578"/>
      <c r="DP21" s="579"/>
      <c r="DQ21" s="574"/>
      <c r="DR21" s="574"/>
      <c r="DS21" s="574"/>
      <c r="DT21" s="575"/>
      <c r="DU21" s="576"/>
      <c r="DV21" s="577"/>
      <c r="DW21" s="576"/>
      <c r="DX21" s="578"/>
      <c r="DY21" s="579"/>
      <c r="DZ21" s="574"/>
      <c r="EA21" s="574"/>
      <c r="EB21" s="574"/>
      <c r="EC21" s="575"/>
      <c r="ED21" s="576"/>
      <c r="EE21" s="577"/>
      <c r="EF21" s="576"/>
      <c r="EG21" s="578"/>
      <c r="EH21" s="579"/>
      <c r="EI21" s="574"/>
      <c r="EJ21" s="574"/>
      <c r="EK21" s="574"/>
      <c r="EL21" s="575"/>
      <c r="EM21" s="576"/>
      <c r="EN21" s="577"/>
      <c r="EO21" s="576"/>
      <c r="EP21" s="578"/>
      <c r="EQ21" s="579"/>
      <c r="ER21" s="574"/>
      <c r="ES21" s="574"/>
      <c r="ET21" s="574"/>
      <c r="EU21" s="575"/>
      <c r="EV21" s="576"/>
      <c r="EW21" s="577"/>
      <c r="EX21" s="576"/>
      <c r="EY21" s="578"/>
      <c r="EZ21" s="579"/>
      <c r="FA21" s="574"/>
      <c r="FB21" s="574"/>
      <c r="FC21" s="574"/>
      <c r="FD21" s="575"/>
      <c r="FE21" s="576"/>
      <c r="FF21" s="577"/>
      <c r="FG21" s="576"/>
      <c r="FH21" s="578"/>
      <c r="FI21" s="579"/>
      <c r="FJ21" s="574"/>
      <c r="FK21" s="574"/>
      <c r="FL21" s="574"/>
      <c r="FM21" s="575"/>
      <c r="FN21" s="576"/>
      <c r="FO21" s="577"/>
      <c r="FP21" s="576"/>
      <c r="FQ21" s="578"/>
      <c r="FR21" s="579"/>
      <c r="FS21" s="574"/>
      <c r="FT21" s="574"/>
      <c r="FU21" s="574"/>
      <c r="FV21" s="575"/>
      <c r="FW21" s="576"/>
      <c r="FX21" s="577"/>
      <c r="FY21" s="576"/>
      <c r="FZ21" s="578"/>
      <c r="GA21" s="579"/>
      <c r="GB21" s="574"/>
      <c r="GC21" s="574"/>
      <c r="GD21" s="574"/>
      <c r="GE21" s="575"/>
      <c r="GF21" s="576"/>
      <c r="GG21" s="577"/>
      <c r="GH21" s="576"/>
      <c r="GI21" s="578"/>
      <c r="GJ21" s="579"/>
      <c r="GK21" s="574"/>
      <c r="GL21" s="574"/>
      <c r="GM21" s="574"/>
      <c r="GN21" s="575"/>
      <c r="GO21" s="576"/>
      <c r="GP21" s="577"/>
      <c r="GQ21" s="576"/>
      <c r="GR21" s="578"/>
      <c r="GS21" s="579"/>
      <c r="GT21" s="581">
        <v>42984</v>
      </c>
      <c r="GU21" s="98">
        <v>22176</v>
      </c>
      <c r="GV21" s="65" t="s">
        <v>715</v>
      </c>
      <c r="GW21" s="74"/>
      <c r="GX21" s="74"/>
      <c r="GY21" s="601" t="s">
        <v>778</v>
      </c>
      <c r="GZ21" s="599">
        <v>3944</v>
      </c>
    </row>
    <row r="22" spans="1:208" x14ac:dyDescent="0.25">
      <c r="C22" s="87"/>
      <c r="D22" s="35"/>
      <c r="E22" s="36"/>
      <c r="F22" s="37"/>
      <c r="G22" s="38"/>
      <c r="H22" s="39"/>
      <c r="I22" s="40"/>
      <c r="J22" s="68" t="s">
        <v>44</v>
      </c>
      <c r="K22" s="407" t="s">
        <v>37</v>
      </c>
      <c r="L22" s="70">
        <v>17700</v>
      </c>
      <c r="M22" s="71">
        <v>42963</v>
      </c>
      <c r="N22" s="569" t="s">
        <v>762</v>
      </c>
      <c r="O22" s="72">
        <v>22080</v>
      </c>
      <c r="P22" s="113">
        <f t="shared" si="0"/>
        <v>4380</v>
      </c>
      <c r="Q22" s="64">
        <v>29.5</v>
      </c>
      <c r="R22" s="64"/>
      <c r="S22" s="64"/>
      <c r="T22" s="39">
        <f t="shared" si="1"/>
        <v>651360</v>
      </c>
      <c r="U22" s="582" t="s">
        <v>703</v>
      </c>
      <c r="V22" s="572">
        <v>42985</v>
      </c>
      <c r="W22" s="583">
        <v>15080</v>
      </c>
      <c r="X22" s="574"/>
      <c r="Y22" s="575"/>
      <c r="Z22" s="576"/>
      <c r="AA22" s="577"/>
      <c r="AB22" s="576"/>
      <c r="AC22" s="578"/>
      <c r="AD22" s="579"/>
      <c r="AE22" s="574"/>
      <c r="AF22" s="574"/>
      <c r="AG22" s="574"/>
      <c r="AH22" s="575"/>
      <c r="AI22" s="576"/>
      <c r="AJ22" s="577"/>
      <c r="AK22" s="576"/>
      <c r="AL22" s="578"/>
      <c r="AM22" s="579"/>
      <c r="AN22" s="574"/>
      <c r="AO22" s="574"/>
      <c r="AP22" s="574"/>
      <c r="AQ22" s="575"/>
      <c r="AR22" s="576"/>
      <c r="AS22" s="577"/>
      <c r="AT22" s="576"/>
      <c r="AU22" s="578"/>
      <c r="AV22" s="579"/>
      <c r="AW22" s="574"/>
      <c r="AX22" s="574"/>
      <c r="AY22" s="574"/>
      <c r="AZ22" s="575"/>
      <c r="BA22" s="576"/>
      <c r="BB22" s="577"/>
      <c r="BC22" s="576"/>
      <c r="BD22" s="578"/>
      <c r="BE22" s="579"/>
      <c r="BF22" s="574"/>
      <c r="BG22" s="574"/>
      <c r="BH22" s="574"/>
      <c r="BI22" s="575"/>
      <c r="BJ22" s="576"/>
      <c r="BK22" s="577"/>
      <c r="BL22" s="576"/>
      <c r="BM22" s="578"/>
      <c r="BN22" s="579"/>
      <c r="BO22" s="574"/>
      <c r="BP22" s="574"/>
      <c r="BQ22" s="574"/>
      <c r="BR22" s="575"/>
      <c r="BS22" s="576"/>
      <c r="BT22" s="577"/>
      <c r="BU22" s="576"/>
      <c r="BV22" s="578"/>
      <c r="BW22" s="579"/>
      <c r="BX22" s="574"/>
      <c r="BY22" s="574"/>
      <c r="BZ22" s="574"/>
      <c r="CA22" s="575"/>
      <c r="CB22" s="576"/>
      <c r="CC22" s="577"/>
      <c r="CD22" s="576"/>
      <c r="CE22" s="578"/>
      <c r="CF22" s="579"/>
      <c r="CG22" s="574"/>
      <c r="CH22" s="574"/>
      <c r="CI22" s="574"/>
      <c r="CJ22" s="575"/>
      <c r="CK22" s="576"/>
      <c r="CL22" s="577"/>
      <c r="CM22" s="576"/>
      <c r="CN22" s="578"/>
      <c r="CO22" s="579"/>
      <c r="CP22" s="574"/>
      <c r="CQ22" s="574"/>
      <c r="CR22" s="574"/>
      <c r="CS22" s="575"/>
      <c r="CT22" s="576"/>
      <c r="CU22" s="577"/>
      <c r="CV22" s="580"/>
      <c r="CW22" s="578"/>
      <c r="CX22" s="579"/>
      <c r="CY22" s="574"/>
      <c r="CZ22" s="574"/>
      <c r="DA22" s="574"/>
      <c r="DB22" s="575"/>
      <c r="DC22" s="576"/>
      <c r="DD22" s="577"/>
      <c r="DE22" s="576"/>
      <c r="DF22" s="578"/>
      <c r="DG22" s="579"/>
      <c r="DH22" s="574"/>
      <c r="DI22" s="574"/>
      <c r="DJ22" s="574"/>
      <c r="DK22" s="575"/>
      <c r="DL22" s="576"/>
      <c r="DM22" s="577"/>
      <c r="DN22" s="576"/>
      <c r="DO22" s="578"/>
      <c r="DP22" s="579"/>
      <c r="DQ22" s="574"/>
      <c r="DR22" s="574"/>
      <c r="DS22" s="574"/>
      <c r="DT22" s="575"/>
      <c r="DU22" s="576"/>
      <c r="DV22" s="577"/>
      <c r="DW22" s="576"/>
      <c r="DX22" s="578"/>
      <c r="DY22" s="579"/>
      <c r="DZ22" s="574"/>
      <c r="EA22" s="574"/>
      <c r="EB22" s="574"/>
      <c r="EC22" s="575"/>
      <c r="ED22" s="576"/>
      <c r="EE22" s="577"/>
      <c r="EF22" s="576"/>
      <c r="EG22" s="578"/>
      <c r="EH22" s="579"/>
      <c r="EI22" s="574"/>
      <c r="EJ22" s="574"/>
      <c r="EK22" s="574"/>
      <c r="EL22" s="575"/>
      <c r="EM22" s="576"/>
      <c r="EN22" s="577"/>
      <c r="EO22" s="576"/>
      <c r="EP22" s="578"/>
      <c r="EQ22" s="579"/>
      <c r="ER22" s="574"/>
      <c r="ES22" s="574"/>
      <c r="ET22" s="574"/>
      <c r="EU22" s="575"/>
      <c r="EV22" s="576"/>
      <c r="EW22" s="577"/>
      <c r="EX22" s="576"/>
      <c r="EY22" s="578"/>
      <c r="EZ22" s="579"/>
      <c r="FA22" s="574"/>
      <c r="FB22" s="574"/>
      <c r="FC22" s="574"/>
      <c r="FD22" s="575"/>
      <c r="FE22" s="576"/>
      <c r="FF22" s="577"/>
      <c r="FG22" s="576"/>
      <c r="FH22" s="578"/>
      <c r="FI22" s="579"/>
      <c r="FJ22" s="574"/>
      <c r="FK22" s="574"/>
      <c r="FL22" s="574"/>
      <c r="FM22" s="575"/>
      <c r="FN22" s="576"/>
      <c r="FO22" s="577"/>
      <c r="FP22" s="576"/>
      <c r="FQ22" s="578"/>
      <c r="FR22" s="579"/>
      <c r="FS22" s="574"/>
      <c r="FT22" s="574"/>
      <c r="FU22" s="574"/>
      <c r="FV22" s="575"/>
      <c r="FW22" s="576"/>
      <c r="FX22" s="577"/>
      <c r="FY22" s="576"/>
      <c r="FZ22" s="578"/>
      <c r="GA22" s="579"/>
      <c r="GB22" s="574"/>
      <c r="GC22" s="574"/>
      <c r="GD22" s="574"/>
      <c r="GE22" s="575"/>
      <c r="GF22" s="576"/>
      <c r="GG22" s="577"/>
      <c r="GH22" s="576"/>
      <c r="GI22" s="578"/>
      <c r="GJ22" s="579"/>
      <c r="GK22" s="574"/>
      <c r="GL22" s="574"/>
      <c r="GM22" s="574"/>
      <c r="GN22" s="575"/>
      <c r="GO22" s="576"/>
      <c r="GP22" s="577"/>
      <c r="GQ22" s="576"/>
      <c r="GR22" s="578"/>
      <c r="GS22" s="579"/>
      <c r="GT22" s="581">
        <v>42985</v>
      </c>
      <c r="GU22" s="98">
        <v>22176</v>
      </c>
      <c r="GV22" s="65" t="s">
        <v>716</v>
      </c>
      <c r="GW22" s="74"/>
      <c r="GX22" s="74"/>
      <c r="GY22" s="601" t="s">
        <v>778</v>
      </c>
      <c r="GZ22" s="599">
        <v>3944</v>
      </c>
    </row>
    <row r="23" spans="1:208" x14ac:dyDescent="0.25">
      <c r="C23" s="87"/>
      <c r="D23" s="35"/>
      <c r="E23" s="36"/>
      <c r="F23" s="37"/>
      <c r="G23" s="38"/>
      <c r="H23" s="39"/>
      <c r="I23" s="40"/>
      <c r="J23" s="68" t="s">
        <v>650</v>
      </c>
      <c r="K23" s="407" t="s">
        <v>37</v>
      </c>
      <c r="L23" s="70">
        <v>18680</v>
      </c>
      <c r="M23" s="71">
        <v>42963</v>
      </c>
      <c r="N23" s="569" t="s">
        <v>763</v>
      </c>
      <c r="O23" s="72">
        <v>23605</v>
      </c>
      <c r="P23" s="462">
        <f t="shared" si="0"/>
        <v>4925</v>
      </c>
      <c r="Q23" s="64">
        <v>29.5</v>
      </c>
      <c r="R23" s="64"/>
      <c r="S23" s="64"/>
      <c r="T23" s="39">
        <f t="shared" si="1"/>
        <v>696347.5</v>
      </c>
      <c r="U23" s="582" t="s">
        <v>703</v>
      </c>
      <c r="V23" s="572">
        <v>42986</v>
      </c>
      <c r="W23" s="583">
        <v>15080</v>
      </c>
      <c r="X23" s="574"/>
      <c r="Y23" s="575"/>
      <c r="Z23" s="576"/>
      <c r="AA23" s="577"/>
      <c r="AB23" s="576"/>
      <c r="AC23" s="578"/>
      <c r="AD23" s="579"/>
      <c r="AE23" s="574"/>
      <c r="AF23" s="574"/>
      <c r="AG23" s="574"/>
      <c r="AH23" s="575"/>
      <c r="AI23" s="576"/>
      <c r="AJ23" s="577"/>
      <c r="AK23" s="576"/>
      <c r="AL23" s="578"/>
      <c r="AM23" s="579"/>
      <c r="AN23" s="574"/>
      <c r="AO23" s="574"/>
      <c r="AP23" s="574"/>
      <c r="AQ23" s="575"/>
      <c r="AR23" s="576"/>
      <c r="AS23" s="577"/>
      <c r="AT23" s="576"/>
      <c r="AU23" s="578"/>
      <c r="AV23" s="579"/>
      <c r="AW23" s="574"/>
      <c r="AX23" s="574"/>
      <c r="AY23" s="574"/>
      <c r="AZ23" s="575"/>
      <c r="BA23" s="576"/>
      <c r="BB23" s="577"/>
      <c r="BC23" s="576"/>
      <c r="BD23" s="578"/>
      <c r="BE23" s="579"/>
      <c r="BF23" s="574"/>
      <c r="BG23" s="574"/>
      <c r="BH23" s="574"/>
      <c r="BI23" s="575"/>
      <c r="BJ23" s="576"/>
      <c r="BK23" s="577"/>
      <c r="BL23" s="576"/>
      <c r="BM23" s="578"/>
      <c r="BN23" s="579"/>
      <c r="BO23" s="574"/>
      <c r="BP23" s="574"/>
      <c r="BQ23" s="574"/>
      <c r="BR23" s="575"/>
      <c r="BS23" s="576"/>
      <c r="BT23" s="577"/>
      <c r="BU23" s="576"/>
      <c r="BV23" s="578"/>
      <c r="BW23" s="579"/>
      <c r="BX23" s="574"/>
      <c r="BY23" s="574"/>
      <c r="BZ23" s="574"/>
      <c r="CA23" s="575"/>
      <c r="CB23" s="576"/>
      <c r="CC23" s="577"/>
      <c r="CD23" s="576"/>
      <c r="CE23" s="578"/>
      <c r="CF23" s="579"/>
      <c r="CG23" s="574"/>
      <c r="CH23" s="574"/>
      <c r="CI23" s="574"/>
      <c r="CJ23" s="575"/>
      <c r="CK23" s="576"/>
      <c r="CL23" s="577"/>
      <c r="CM23" s="576"/>
      <c r="CN23" s="578"/>
      <c r="CO23" s="579"/>
      <c r="CP23" s="574"/>
      <c r="CQ23" s="574"/>
      <c r="CR23" s="574"/>
      <c r="CS23" s="575"/>
      <c r="CT23" s="576"/>
      <c r="CU23" s="577"/>
      <c r="CV23" s="580"/>
      <c r="CW23" s="578"/>
      <c r="CX23" s="579"/>
      <c r="CY23" s="574"/>
      <c r="CZ23" s="574"/>
      <c r="DA23" s="574"/>
      <c r="DB23" s="575"/>
      <c r="DC23" s="576"/>
      <c r="DD23" s="577"/>
      <c r="DE23" s="576"/>
      <c r="DF23" s="578"/>
      <c r="DG23" s="579"/>
      <c r="DH23" s="574"/>
      <c r="DI23" s="574"/>
      <c r="DJ23" s="574"/>
      <c r="DK23" s="575"/>
      <c r="DL23" s="576"/>
      <c r="DM23" s="577"/>
      <c r="DN23" s="576"/>
      <c r="DO23" s="578"/>
      <c r="DP23" s="579"/>
      <c r="DQ23" s="574"/>
      <c r="DR23" s="574"/>
      <c r="DS23" s="574"/>
      <c r="DT23" s="575"/>
      <c r="DU23" s="576"/>
      <c r="DV23" s="577"/>
      <c r="DW23" s="576"/>
      <c r="DX23" s="578"/>
      <c r="DY23" s="579"/>
      <c r="DZ23" s="574"/>
      <c r="EA23" s="574"/>
      <c r="EB23" s="574"/>
      <c r="EC23" s="575"/>
      <c r="ED23" s="576"/>
      <c r="EE23" s="577"/>
      <c r="EF23" s="576"/>
      <c r="EG23" s="578"/>
      <c r="EH23" s="579"/>
      <c r="EI23" s="574"/>
      <c r="EJ23" s="574"/>
      <c r="EK23" s="574"/>
      <c r="EL23" s="575"/>
      <c r="EM23" s="576"/>
      <c r="EN23" s="577"/>
      <c r="EO23" s="576"/>
      <c r="EP23" s="578"/>
      <c r="EQ23" s="579"/>
      <c r="ER23" s="574"/>
      <c r="ES23" s="574"/>
      <c r="ET23" s="574"/>
      <c r="EU23" s="575"/>
      <c r="EV23" s="576"/>
      <c r="EW23" s="577"/>
      <c r="EX23" s="576"/>
      <c r="EY23" s="578"/>
      <c r="EZ23" s="579"/>
      <c r="FA23" s="574"/>
      <c r="FB23" s="574"/>
      <c r="FC23" s="574"/>
      <c r="FD23" s="575"/>
      <c r="FE23" s="576"/>
      <c r="FF23" s="577"/>
      <c r="FG23" s="576"/>
      <c r="FH23" s="578"/>
      <c r="FI23" s="579"/>
      <c r="FJ23" s="574"/>
      <c r="FK23" s="574"/>
      <c r="FL23" s="574"/>
      <c r="FM23" s="575"/>
      <c r="FN23" s="576"/>
      <c r="FO23" s="577"/>
      <c r="FP23" s="576"/>
      <c r="FQ23" s="578"/>
      <c r="FR23" s="579"/>
      <c r="FS23" s="574"/>
      <c r="FT23" s="574"/>
      <c r="FU23" s="574"/>
      <c r="FV23" s="575"/>
      <c r="FW23" s="576"/>
      <c r="FX23" s="577"/>
      <c r="FY23" s="576"/>
      <c r="FZ23" s="578"/>
      <c r="GA23" s="579"/>
      <c r="GB23" s="574"/>
      <c r="GC23" s="574"/>
      <c r="GD23" s="574"/>
      <c r="GE23" s="575"/>
      <c r="GF23" s="576"/>
      <c r="GG23" s="577"/>
      <c r="GH23" s="576"/>
      <c r="GI23" s="578"/>
      <c r="GJ23" s="579"/>
      <c r="GK23" s="574"/>
      <c r="GL23" s="574"/>
      <c r="GM23" s="574"/>
      <c r="GN23" s="575"/>
      <c r="GO23" s="576"/>
      <c r="GP23" s="577"/>
      <c r="GQ23" s="576"/>
      <c r="GR23" s="578"/>
      <c r="GS23" s="579"/>
      <c r="GT23" s="581">
        <v>42986</v>
      </c>
      <c r="GU23" s="98"/>
      <c r="GV23" s="84"/>
      <c r="GW23" s="74"/>
      <c r="GX23" s="74"/>
      <c r="GY23" s="405" t="s">
        <v>808</v>
      </c>
      <c r="GZ23" s="404">
        <v>3944</v>
      </c>
    </row>
    <row r="24" spans="1:208" x14ac:dyDescent="0.25">
      <c r="C24" s="87"/>
      <c r="D24" s="35"/>
      <c r="E24" s="36"/>
      <c r="F24" s="37"/>
      <c r="G24" s="38"/>
      <c r="H24" s="39"/>
      <c r="I24" s="40"/>
      <c r="J24" s="76" t="s">
        <v>765</v>
      </c>
      <c r="K24" s="407" t="s">
        <v>85</v>
      </c>
      <c r="L24" s="70">
        <v>18050</v>
      </c>
      <c r="M24" s="71">
        <v>42965</v>
      </c>
      <c r="N24" s="569" t="s">
        <v>764</v>
      </c>
      <c r="O24" s="72">
        <v>25690</v>
      </c>
      <c r="P24" s="113">
        <f t="shared" si="0"/>
        <v>7640</v>
      </c>
      <c r="Q24" s="64">
        <v>29.5</v>
      </c>
      <c r="R24" s="64"/>
      <c r="S24" s="64"/>
      <c r="T24" s="39">
        <f t="shared" si="1"/>
        <v>757855</v>
      </c>
      <c r="U24" s="582" t="s">
        <v>703</v>
      </c>
      <c r="V24" s="572">
        <v>42989</v>
      </c>
      <c r="W24" s="583">
        <v>15080</v>
      </c>
      <c r="X24" s="574"/>
      <c r="Y24" s="575"/>
      <c r="Z24" s="576"/>
      <c r="AA24" s="577"/>
      <c r="AB24" s="576"/>
      <c r="AC24" s="578"/>
      <c r="AD24" s="579"/>
      <c r="AE24" s="574"/>
      <c r="AF24" s="574"/>
      <c r="AG24" s="574"/>
      <c r="AH24" s="575"/>
      <c r="AI24" s="576"/>
      <c r="AJ24" s="577"/>
      <c r="AK24" s="576"/>
      <c r="AL24" s="578"/>
      <c r="AM24" s="579"/>
      <c r="AN24" s="574"/>
      <c r="AO24" s="574"/>
      <c r="AP24" s="574"/>
      <c r="AQ24" s="575"/>
      <c r="AR24" s="576"/>
      <c r="AS24" s="577"/>
      <c r="AT24" s="576"/>
      <c r="AU24" s="578"/>
      <c r="AV24" s="579"/>
      <c r="AW24" s="574"/>
      <c r="AX24" s="574"/>
      <c r="AY24" s="574"/>
      <c r="AZ24" s="575"/>
      <c r="BA24" s="576"/>
      <c r="BB24" s="577"/>
      <c r="BC24" s="576"/>
      <c r="BD24" s="578"/>
      <c r="BE24" s="579"/>
      <c r="BF24" s="574"/>
      <c r="BG24" s="574"/>
      <c r="BH24" s="574"/>
      <c r="BI24" s="575"/>
      <c r="BJ24" s="576"/>
      <c r="BK24" s="577"/>
      <c r="BL24" s="576"/>
      <c r="BM24" s="578"/>
      <c r="BN24" s="579"/>
      <c r="BO24" s="574"/>
      <c r="BP24" s="574"/>
      <c r="BQ24" s="574"/>
      <c r="BR24" s="575"/>
      <c r="BS24" s="576"/>
      <c r="BT24" s="577"/>
      <c r="BU24" s="576"/>
      <c r="BV24" s="578"/>
      <c r="BW24" s="579"/>
      <c r="BX24" s="574"/>
      <c r="BY24" s="574"/>
      <c r="BZ24" s="574"/>
      <c r="CA24" s="575"/>
      <c r="CB24" s="576"/>
      <c r="CC24" s="577"/>
      <c r="CD24" s="576"/>
      <c r="CE24" s="578"/>
      <c r="CF24" s="579"/>
      <c r="CG24" s="574"/>
      <c r="CH24" s="574"/>
      <c r="CI24" s="574"/>
      <c r="CJ24" s="575"/>
      <c r="CK24" s="576"/>
      <c r="CL24" s="577"/>
      <c r="CM24" s="576"/>
      <c r="CN24" s="578"/>
      <c r="CO24" s="579"/>
      <c r="CP24" s="574"/>
      <c r="CQ24" s="574"/>
      <c r="CR24" s="574"/>
      <c r="CS24" s="575"/>
      <c r="CT24" s="576"/>
      <c r="CU24" s="577"/>
      <c r="CV24" s="580"/>
      <c r="CW24" s="578"/>
      <c r="CX24" s="579"/>
      <c r="CY24" s="574"/>
      <c r="CZ24" s="574"/>
      <c r="DA24" s="574"/>
      <c r="DB24" s="575"/>
      <c r="DC24" s="576"/>
      <c r="DD24" s="577"/>
      <c r="DE24" s="576"/>
      <c r="DF24" s="578"/>
      <c r="DG24" s="579"/>
      <c r="DH24" s="574"/>
      <c r="DI24" s="574"/>
      <c r="DJ24" s="574"/>
      <c r="DK24" s="575"/>
      <c r="DL24" s="576"/>
      <c r="DM24" s="577"/>
      <c r="DN24" s="576"/>
      <c r="DO24" s="578"/>
      <c r="DP24" s="579"/>
      <c r="DQ24" s="574"/>
      <c r="DR24" s="574"/>
      <c r="DS24" s="574"/>
      <c r="DT24" s="575"/>
      <c r="DU24" s="576"/>
      <c r="DV24" s="577"/>
      <c r="DW24" s="576"/>
      <c r="DX24" s="578"/>
      <c r="DY24" s="579"/>
      <c r="DZ24" s="574"/>
      <c r="EA24" s="574"/>
      <c r="EB24" s="574"/>
      <c r="EC24" s="575"/>
      <c r="ED24" s="576"/>
      <c r="EE24" s="577"/>
      <c r="EF24" s="576"/>
      <c r="EG24" s="578"/>
      <c r="EH24" s="579"/>
      <c r="EI24" s="574"/>
      <c r="EJ24" s="574"/>
      <c r="EK24" s="574"/>
      <c r="EL24" s="575"/>
      <c r="EM24" s="576"/>
      <c r="EN24" s="577"/>
      <c r="EO24" s="576"/>
      <c r="EP24" s="578"/>
      <c r="EQ24" s="579"/>
      <c r="ER24" s="574"/>
      <c r="ES24" s="574"/>
      <c r="ET24" s="574"/>
      <c r="EU24" s="575"/>
      <c r="EV24" s="576"/>
      <c r="EW24" s="577"/>
      <c r="EX24" s="576"/>
      <c r="EY24" s="578"/>
      <c r="EZ24" s="579"/>
      <c r="FA24" s="574"/>
      <c r="FB24" s="574"/>
      <c r="FC24" s="574"/>
      <c r="FD24" s="575"/>
      <c r="FE24" s="576"/>
      <c r="FF24" s="577"/>
      <c r="FG24" s="576"/>
      <c r="FH24" s="578"/>
      <c r="FI24" s="579"/>
      <c r="FJ24" s="574"/>
      <c r="FK24" s="574"/>
      <c r="FL24" s="574"/>
      <c r="FM24" s="575"/>
      <c r="FN24" s="576"/>
      <c r="FO24" s="577"/>
      <c r="FP24" s="576"/>
      <c r="FQ24" s="578"/>
      <c r="FR24" s="579"/>
      <c r="FS24" s="574"/>
      <c r="FT24" s="574"/>
      <c r="FU24" s="574"/>
      <c r="FV24" s="575"/>
      <c r="FW24" s="576"/>
      <c r="FX24" s="577"/>
      <c r="FY24" s="576"/>
      <c r="FZ24" s="578"/>
      <c r="GA24" s="579"/>
      <c r="GB24" s="574"/>
      <c r="GC24" s="574"/>
      <c r="GD24" s="574"/>
      <c r="GE24" s="575"/>
      <c r="GF24" s="576"/>
      <c r="GG24" s="577"/>
      <c r="GH24" s="576"/>
      <c r="GI24" s="578"/>
      <c r="GJ24" s="579"/>
      <c r="GK24" s="574"/>
      <c r="GL24" s="574"/>
      <c r="GM24" s="574"/>
      <c r="GN24" s="575"/>
      <c r="GO24" s="576"/>
      <c r="GP24" s="577"/>
      <c r="GQ24" s="576"/>
      <c r="GR24" s="578"/>
      <c r="GS24" s="579"/>
      <c r="GT24" s="581">
        <v>42989</v>
      </c>
      <c r="GU24" s="98">
        <v>22176</v>
      </c>
      <c r="GV24" s="84" t="s">
        <v>718</v>
      </c>
      <c r="GW24" s="74"/>
      <c r="GX24" s="74"/>
      <c r="GY24" s="405" t="s">
        <v>808</v>
      </c>
      <c r="GZ24" s="404">
        <v>3944</v>
      </c>
    </row>
    <row r="25" spans="1:208" x14ac:dyDescent="0.25">
      <c r="C25" s="87"/>
      <c r="D25" s="35"/>
      <c r="E25" s="36"/>
      <c r="F25" s="37"/>
      <c r="G25" s="38"/>
      <c r="H25" s="39"/>
      <c r="I25" s="40"/>
      <c r="J25" s="76" t="s">
        <v>682</v>
      </c>
      <c r="K25" s="407" t="s">
        <v>46</v>
      </c>
      <c r="L25" s="70">
        <v>11260</v>
      </c>
      <c r="M25" s="71">
        <v>42965</v>
      </c>
      <c r="N25" s="569" t="s">
        <v>766</v>
      </c>
      <c r="O25" s="72">
        <v>11060</v>
      </c>
      <c r="P25" s="113">
        <f t="shared" si="0"/>
        <v>-200</v>
      </c>
      <c r="Q25" s="64">
        <v>29.5</v>
      </c>
      <c r="R25" s="64"/>
      <c r="S25" s="64"/>
      <c r="T25" s="39">
        <f t="shared" si="1"/>
        <v>326270</v>
      </c>
      <c r="U25" s="582" t="s">
        <v>703</v>
      </c>
      <c r="V25" s="572">
        <v>42989</v>
      </c>
      <c r="W25" s="583">
        <v>7540</v>
      </c>
      <c r="X25" s="574"/>
      <c r="Y25" s="575"/>
      <c r="Z25" s="576"/>
      <c r="AA25" s="577"/>
      <c r="AB25" s="576"/>
      <c r="AC25" s="578"/>
      <c r="AD25" s="579"/>
      <c r="AE25" s="574"/>
      <c r="AF25" s="574"/>
      <c r="AG25" s="574"/>
      <c r="AH25" s="575"/>
      <c r="AI25" s="576"/>
      <c r="AJ25" s="577"/>
      <c r="AK25" s="576"/>
      <c r="AL25" s="578"/>
      <c r="AM25" s="579"/>
      <c r="AN25" s="574"/>
      <c r="AO25" s="574"/>
      <c r="AP25" s="574"/>
      <c r="AQ25" s="575"/>
      <c r="AR25" s="576"/>
      <c r="AS25" s="577"/>
      <c r="AT25" s="576"/>
      <c r="AU25" s="578"/>
      <c r="AV25" s="579"/>
      <c r="AW25" s="574"/>
      <c r="AX25" s="574"/>
      <c r="AY25" s="574"/>
      <c r="AZ25" s="575"/>
      <c r="BA25" s="576"/>
      <c r="BB25" s="577"/>
      <c r="BC25" s="576"/>
      <c r="BD25" s="578"/>
      <c r="BE25" s="579"/>
      <c r="BF25" s="574"/>
      <c r="BG25" s="574"/>
      <c r="BH25" s="574"/>
      <c r="BI25" s="575"/>
      <c r="BJ25" s="576"/>
      <c r="BK25" s="577"/>
      <c r="BL25" s="576"/>
      <c r="BM25" s="578"/>
      <c r="BN25" s="579"/>
      <c r="BO25" s="574"/>
      <c r="BP25" s="574"/>
      <c r="BQ25" s="574"/>
      <c r="BR25" s="575"/>
      <c r="BS25" s="576"/>
      <c r="BT25" s="577"/>
      <c r="BU25" s="576"/>
      <c r="BV25" s="578"/>
      <c r="BW25" s="579"/>
      <c r="BX25" s="574"/>
      <c r="BY25" s="574"/>
      <c r="BZ25" s="574"/>
      <c r="CA25" s="575"/>
      <c r="CB25" s="576"/>
      <c r="CC25" s="577"/>
      <c r="CD25" s="576"/>
      <c r="CE25" s="578"/>
      <c r="CF25" s="579"/>
      <c r="CG25" s="574"/>
      <c r="CH25" s="574"/>
      <c r="CI25" s="574"/>
      <c r="CJ25" s="575"/>
      <c r="CK25" s="576"/>
      <c r="CL25" s="577"/>
      <c r="CM25" s="576"/>
      <c r="CN25" s="578"/>
      <c r="CO25" s="579"/>
      <c r="CP25" s="574"/>
      <c r="CQ25" s="574"/>
      <c r="CR25" s="574"/>
      <c r="CS25" s="575"/>
      <c r="CT25" s="576"/>
      <c r="CU25" s="577"/>
      <c r="CV25" s="580"/>
      <c r="CW25" s="578"/>
      <c r="CX25" s="579"/>
      <c r="CY25" s="574"/>
      <c r="CZ25" s="574"/>
      <c r="DA25" s="574"/>
      <c r="DB25" s="575"/>
      <c r="DC25" s="576"/>
      <c r="DD25" s="577"/>
      <c r="DE25" s="576"/>
      <c r="DF25" s="578"/>
      <c r="DG25" s="579"/>
      <c r="DH25" s="574"/>
      <c r="DI25" s="574"/>
      <c r="DJ25" s="574"/>
      <c r="DK25" s="575"/>
      <c r="DL25" s="576"/>
      <c r="DM25" s="577"/>
      <c r="DN25" s="576"/>
      <c r="DO25" s="578"/>
      <c r="DP25" s="579"/>
      <c r="DQ25" s="574"/>
      <c r="DR25" s="574"/>
      <c r="DS25" s="574"/>
      <c r="DT25" s="575"/>
      <c r="DU25" s="576"/>
      <c r="DV25" s="577"/>
      <c r="DW25" s="576"/>
      <c r="DX25" s="578"/>
      <c r="DY25" s="579"/>
      <c r="DZ25" s="574"/>
      <c r="EA25" s="574"/>
      <c r="EB25" s="574"/>
      <c r="EC25" s="575"/>
      <c r="ED25" s="576"/>
      <c r="EE25" s="577"/>
      <c r="EF25" s="576"/>
      <c r="EG25" s="578"/>
      <c r="EH25" s="579"/>
      <c r="EI25" s="574"/>
      <c r="EJ25" s="574"/>
      <c r="EK25" s="574"/>
      <c r="EL25" s="575"/>
      <c r="EM25" s="576"/>
      <c r="EN25" s="577"/>
      <c r="EO25" s="576"/>
      <c r="EP25" s="578"/>
      <c r="EQ25" s="579"/>
      <c r="ER25" s="574"/>
      <c r="ES25" s="574"/>
      <c r="ET25" s="574"/>
      <c r="EU25" s="575"/>
      <c r="EV25" s="576"/>
      <c r="EW25" s="577"/>
      <c r="EX25" s="576"/>
      <c r="EY25" s="578"/>
      <c r="EZ25" s="579"/>
      <c r="FA25" s="574"/>
      <c r="FB25" s="574"/>
      <c r="FC25" s="574"/>
      <c r="FD25" s="575"/>
      <c r="FE25" s="576"/>
      <c r="FF25" s="577"/>
      <c r="FG25" s="576"/>
      <c r="FH25" s="578"/>
      <c r="FI25" s="579"/>
      <c r="FJ25" s="574"/>
      <c r="FK25" s="574"/>
      <c r="FL25" s="574"/>
      <c r="FM25" s="575"/>
      <c r="FN25" s="576"/>
      <c r="FO25" s="577"/>
      <c r="FP25" s="576"/>
      <c r="FQ25" s="578"/>
      <c r="FR25" s="579"/>
      <c r="FS25" s="574"/>
      <c r="FT25" s="574"/>
      <c r="FU25" s="574"/>
      <c r="FV25" s="575"/>
      <c r="FW25" s="576"/>
      <c r="FX25" s="577"/>
      <c r="FY25" s="576"/>
      <c r="FZ25" s="578"/>
      <c r="GA25" s="579"/>
      <c r="GB25" s="574"/>
      <c r="GC25" s="574"/>
      <c r="GD25" s="574"/>
      <c r="GE25" s="575"/>
      <c r="GF25" s="576"/>
      <c r="GG25" s="577"/>
      <c r="GH25" s="576"/>
      <c r="GI25" s="578"/>
      <c r="GJ25" s="579"/>
      <c r="GK25" s="574"/>
      <c r="GL25" s="574"/>
      <c r="GM25" s="574"/>
      <c r="GN25" s="575"/>
      <c r="GO25" s="576"/>
      <c r="GP25" s="577"/>
      <c r="GQ25" s="576"/>
      <c r="GR25" s="578"/>
      <c r="GS25" s="579"/>
      <c r="GT25" s="581">
        <v>42989</v>
      </c>
      <c r="GU25" s="98">
        <v>17584</v>
      </c>
      <c r="GV25" s="65" t="s">
        <v>717</v>
      </c>
      <c r="GW25" s="74"/>
      <c r="GX25" s="74"/>
      <c r="GY25" s="405" t="s">
        <v>808</v>
      </c>
      <c r="GZ25" s="404">
        <v>2088</v>
      </c>
    </row>
    <row r="26" spans="1:208" x14ac:dyDescent="0.25">
      <c r="C26" s="87"/>
      <c r="D26" s="35"/>
      <c r="E26" s="36"/>
      <c r="F26" s="37"/>
      <c r="G26" s="38"/>
      <c r="H26" s="39"/>
      <c r="I26" s="40"/>
      <c r="J26" s="76" t="s">
        <v>42</v>
      </c>
      <c r="K26" s="450" t="s">
        <v>37</v>
      </c>
      <c r="L26" s="70">
        <v>18710</v>
      </c>
      <c r="M26" s="71">
        <v>42966</v>
      </c>
      <c r="N26" s="569" t="s">
        <v>767</v>
      </c>
      <c r="O26" s="72">
        <v>23100</v>
      </c>
      <c r="P26" s="113">
        <f t="shared" si="0"/>
        <v>4390</v>
      </c>
      <c r="Q26" s="64">
        <v>29.5</v>
      </c>
      <c r="R26" s="64"/>
      <c r="S26" s="64"/>
      <c r="T26" s="39">
        <f t="shared" si="1"/>
        <v>681450</v>
      </c>
      <c r="U26" s="582" t="s">
        <v>703</v>
      </c>
      <c r="V26" s="572">
        <v>42989</v>
      </c>
      <c r="W26" s="583">
        <v>15080</v>
      </c>
      <c r="X26" s="574"/>
      <c r="Y26" s="575"/>
      <c r="Z26" s="576"/>
      <c r="AA26" s="577"/>
      <c r="AB26" s="576"/>
      <c r="AC26" s="578"/>
      <c r="AD26" s="579"/>
      <c r="AE26" s="574"/>
      <c r="AF26" s="574"/>
      <c r="AG26" s="574"/>
      <c r="AH26" s="575"/>
      <c r="AI26" s="576"/>
      <c r="AJ26" s="577"/>
      <c r="AK26" s="576"/>
      <c r="AL26" s="578"/>
      <c r="AM26" s="579"/>
      <c r="AN26" s="574"/>
      <c r="AO26" s="574"/>
      <c r="AP26" s="574"/>
      <c r="AQ26" s="575"/>
      <c r="AR26" s="576"/>
      <c r="AS26" s="577"/>
      <c r="AT26" s="576"/>
      <c r="AU26" s="578"/>
      <c r="AV26" s="579"/>
      <c r="AW26" s="574"/>
      <c r="AX26" s="574"/>
      <c r="AY26" s="574"/>
      <c r="AZ26" s="575"/>
      <c r="BA26" s="576"/>
      <c r="BB26" s="577"/>
      <c r="BC26" s="576"/>
      <c r="BD26" s="578"/>
      <c r="BE26" s="579"/>
      <c r="BF26" s="574"/>
      <c r="BG26" s="574"/>
      <c r="BH26" s="574"/>
      <c r="BI26" s="575"/>
      <c r="BJ26" s="576"/>
      <c r="BK26" s="577"/>
      <c r="BL26" s="576"/>
      <c r="BM26" s="578"/>
      <c r="BN26" s="579"/>
      <c r="BO26" s="574"/>
      <c r="BP26" s="574"/>
      <c r="BQ26" s="574"/>
      <c r="BR26" s="575"/>
      <c r="BS26" s="576"/>
      <c r="BT26" s="577"/>
      <c r="BU26" s="576"/>
      <c r="BV26" s="578"/>
      <c r="BW26" s="579"/>
      <c r="BX26" s="574"/>
      <c r="BY26" s="574"/>
      <c r="BZ26" s="574"/>
      <c r="CA26" s="575"/>
      <c r="CB26" s="576"/>
      <c r="CC26" s="577"/>
      <c r="CD26" s="576"/>
      <c r="CE26" s="578"/>
      <c r="CF26" s="579"/>
      <c r="CG26" s="574"/>
      <c r="CH26" s="574"/>
      <c r="CI26" s="574"/>
      <c r="CJ26" s="575"/>
      <c r="CK26" s="576"/>
      <c r="CL26" s="577"/>
      <c r="CM26" s="576"/>
      <c r="CN26" s="578"/>
      <c r="CO26" s="579"/>
      <c r="CP26" s="574"/>
      <c r="CQ26" s="574"/>
      <c r="CR26" s="574"/>
      <c r="CS26" s="575"/>
      <c r="CT26" s="576"/>
      <c r="CU26" s="577"/>
      <c r="CV26" s="580"/>
      <c r="CW26" s="578"/>
      <c r="CX26" s="579"/>
      <c r="CY26" s="574"/>
      <c r="CZ26" s="574"/>
      <c r="DA26" s="574"/>
      <c r="DB26" s="575"/>
      <c r="DC26" s="576"/>
      <c r="DD26" s="577"/>
      <c r="DE26" s="576"/>
      <c r="DF26" s="578"/>
      <c r="DG26" s="579"/>
      <c r="DH26" s="574"/>
      <c r="DI26" s="574"/>
      <c r="DJ26" s="574"/>
      <c r="DK26" s="575"/>
      <c r="DL26" s="576"/>
      <c r="DM26" s="577"/>
      <c r="DN26" s="576"/>
      <c r="DO26" s="578"/>
      <c r="DP26" s="579"/>
      <c r="DQ26" s="574"/>
      <c r="DR26" s="574"/>
      <c r="DS26" s="574"/>
      <c r="DT26" s="575"/>
      <c r="DU26" s="576"/>
      <c r="DV26" s="577"/>
      <c r="DW26" s="576"/>
      <c r="DX26" s="578"/>
      <c r="DY26" s="579"/>
      <c r="DZ26" s="574"/>
      <c r="EA26" s="574"/>
      <c r="EB26" s="574"/>
      <c r="EC26" s="575"/>
      <c r="ED26" s="576"/>
      <c r="EE26" s="577"/>
      <c r="EF26" s="576"/>
      <c r="EG26" s="578"/>
      <c r="EH26" s="579"/>
      <c r="EI26" s="574"/>
      <c r="EJ26" s="574"/>
      <c r="EK26" s="574"/>
      <c r="EL26" s="575"/>
      <c r="EM26" s="576"/>
      <c r="EN26" s="577"/>
      <c r="EO26" s="576"/>
      <c r="EP26" s="578"/>
      <c r="EQ26" s="579"/>
      <c r="ER26" s="574"/>
      <c r="ES26" s="574"/>
      <c r="ET26" s="574"/>
      <c r="EU26" s="575"/>
      <c r="EV26" s="576"/>
      <c r="EW26" s="577"/>
      <c r="EX26" s="576"/>
      <c r="EY26" s="578"/>
      <c r="EZ26" s="579"/>
      <c r="FA26" s="574"/>
      <c r="FB26" s="574"/>
      <c r="FC26" s="574"/>
      <c r="FD26" s="575"/>
      <c r="FE26" s="576"/>
      <c r="FF26" s="577"/>
      <c r="FG26" s="576"/>
      <c r="FH26" s="578"/>
      <c r="FI26" s="579"/>
      <c r="FJ26" s="574"/>
      <c r="FK26" s="574"/>
      <c r="FL26" s="574"/>
      <c r="FM26" s="575"/>
      <c r="FN26" s="576"/>
      <c r="FO26" s="577"/>
      <c r="FP26" s="576"/>
      <c r="FQ26" s="578"/>
      <c r="FR26" s="579"/>
      <c r="FS26" s="574"/>
      <c r="FT26" s="574"/>
      <c r="FU26" s="574"/>
      <c r="FV26" s="575"/>
      <c r="FW26" s="576"/>
      <c r="FX26" s="577"/>
      <c r="FY26" s="576"/>
      <c r="FZ26" s="578"/>
      <c r="GA26" s="579"/>
      <c r="GB26" s="574"/>
      <c r="GC26" s="574"/>
      <c r="GD26" s="574"/>
      <c r="GE26" s="575"/>
      <c r="GF26" s="576"/>
      <c r="GG26" s="577"/>
      <c r="GH26" s="576"/>
      <c r="GI26" s="578"/>
      <c r="GJ26" s="579"/>
      <c r="GK26" s="574"/>
      <c r="GL26" s="574"/>
      <c r="GM26" s="574"/>
      <c r="GN26" s="575"/>
      <c r="GO26" s="576"/>
      <c r="GP26" s="577"/>
      <c r="GQ26" s="576"/>
      <c r="GR26" s="578"/>
      <c r="GS26" s="579"/>
      <c r="GT26" s="581">
        <v>42989</v>
      </c>
      <c r="GU26" s="98"/>
      <c r="GV26" s="65"/>
      <c r="GW26" s="74"/>
      <c r="GX26" s="74"/>
      <c r="GY26" s="405" t="s">
        <v>808</v>
      </c>
      <c r="GZ26" s="404">
        <v>3944</v>
      </c>
    </row>
    <row r="27" spans="1:208" x14ac:dyDescent="0.25">
      <c r="C27" s="87"/>
      <c r="D27" s="35"/>
      <c r="E27" s="36"/>
      <c r="F27" s="37"/>
      <c r="G27" s="38"/>
      <c r="H27" s="39"/>
      <c r="I27" s="40"/>
      <c r="J27" s="76" t="s">
        <v>649</v>
      </c>
      <c r="K27" s="407" t="s">
        <v>35</v>
      </c>
      <c r="L27" s="70">
        <v>11810</v>
      </c>
      <c r="M27" s="71">
        <v>42966</v>
      </c>
      <c r="N27" s="569" t="s">
        <v>768</v>
      </c>
      <c r="O27" s="72">
        <v>14810</v>
      </c>
      <c r="P27" s="113">
        <f t="shared" si="0"/>
        <v>3000</v>
      </c>
      <c r="Q27" s="64">
        <v>29.5</v>
      </c>
      <c r="R27" s="64"/>
      <c r="S27" s="64"/>
      <c r="T27" s="39">
        <f t="shared" si="1"/>
        <v>436895</v>
      </c>
      <c r="U27" s="582" t="s">
        <v>703</v>
      </c>
      <c r="V27" s="572">
        <v>42990</v>
      </c>
      <c r="W27" s="583">
        <v>9802</v>
      </c>
      <c r="X27" s="574"/>
      <c r="Y27" s="575"/>
      <c r="Z27" s="576"/>
      <c r="AA27" s="577"/>
      <c r="AB27" s="576"/>
      <c r="AC27" s="578"/>
      <c r="AD27" s="579"/>
      <c r="AE27" s="574"/>
      <c r="AF27" s="574"/>
      <c r="AG27" s="574"/>
      <c r="AH27" s="575"/>
      <c r="AI27" s="576"/>
      <c r="AJ27" s="577"/>
      <c r="AK27" s="576"/>
      <c r="AL27" s="578"/>
      <c r="AM27" s="579"/>
      <c r="AN27" s="574"/>
      <c r="AO27" s="574"/>
      <c r="AP27" s="574"/>
      <c r="AQ27" s="575"/>
      <c r="AR27" s="576"/>
      <c r="AS27" s="577"/>
      <c r="AT27" s="576"/>
      <c r="AU27" s="578"/>
      <c r="AV27" s="579"/>
      <c r="AW27" s="574"/>
      <c r="AX27" s="574"/>
      <c r="AY27" s="574"/>
      <c r="AZ27" s="575"/>
      <c r="BA27" s="576"/>
      <c r="BB27" s="577"/>
      <c r="BC27" s="576"/>
      <c r="BD27" s="578"/>
      <c r="BE27" s="579"/>
      <c r="BF27" s="574"/>
      <c r="BG27" s="574"/>
      <c r="BH27" s="574"/>
      <c r="BI27" s="575"/>
      <c r="BJ27" s="576"/>
      <c r="BK27" s="577"/>
      <c r="BL27" s="576"/>
      <c r="BM27" s="578"/>
      <c r="BN27" s="579"/>
      <c r="BO27" s="574"/>
      <c r="BP27" s="574"/>
      <c r="BQ27" s="574"/>
      <c r="BR27" s="575"/>
      <c r="BS27" s="576"/>
      <c r="BT27" s="577"/>
      <c r="BU27" s="576"/>
      <c r="BV27" s="578"/>
      <c r="BW27" s="579"/>
      <c r="BX27" s="574"/>
      <c r="BY27" s="574"/>
      <c r="BZ27" s="574"/>
      <c r="CA27" s="575"/>
      <c r="CB27" s="576"/>
      <c r="CC27" s="577"/>
      <c r="CD27" s="576"/>
      <c r="CE27" s="578"/>
      <c r="CF27" s="579"/>
      <c r="CG27" s="574"/>
      <c r="CH27" s="574"/>
      <c r="CI27" s="574"/>
      <c r="CJ27" s="575"/>
      <c r="CK27" s="576"/>
      <c r="CL27" s="577"/>
      <c r="CM27" s="576"/>
      <c r="CN27" s="578"/>
      <c r="CO27" s="579"/>
      <c r="CP27" s="574"/>
      <c r="CQ27" s="574"/>
      <c r="CR27" s="574"/>
      <c r="CS27" s="575"/>
      <c r="CT27" s="576"/>
      <c r="CU27" s="577"/>
      <c r="CV27" s="580"/>
      <c r="CW27" s="578"/>
      <c r="CX27" s="579"/>
      <c r="CY27" s="574"/>
      <c r="CZ27" s="574"/>
      <c r="DA27" s="574"/>
      <c r="DB27" s="575"/>
      <c r="DC27" s="576"/>
      <c r="DD27" s="577"/>
      <c r="DE27" s="576"/>
      <c r="DF27" s="578"/>
      <c r="DG27" s="579"/>
      <c r="DH27" s="574"/>
      <c r="DI27" s="574"/>
      <c r="DJ27" s="574"/>
      <c r="DK27" s="575"/>
      <c r="DL27" s="576"/>
      <c r="DM27" s="577"/>
      <c r="DN27" s="576"/>
      <c r="DO27" s="578"/>
      <c r="DP27" s="579"/>
      <c r="DQ27" s="574"/>
      <c r="DR27" s="574"/>
      <c r="DS27" s="574"/>
      <c r="DT27" s="575"/>
      <c r="DU27" s="576"/>
      <c r="DV27" s="577"/>
      <c r="DW27" s="576"/>
      <c r="DX27" s="578"/>
      <c r="DY27" s="579"/>
      <c r="DZ27" s="574"/>
      <c r="EA27" s="574"/>
      <c r="EB27" s="574"/>
      <c r="EC27" s="575"/>
      <c r="ED27" s="576"/>
      <c r="EE27" s="577"/>
      <c r="EF27" s="576"/>
      <c r="EG27" s="578"/>
      <c r="EH27" s="579"/>
      <c r="EI27" s="574"/>
      <c r="EJ27" s="574"/>
      <c r="EK27" s="574"/>
      <c r="EL27" s="575"/>
      <c r="EM27" s="576"/>
      <c r="EN27" s="577"/>
      <c r="EO27" s="576"/>
      <c r="EP27" s="578"/>
      <c r="EQ27" s="579"/>
      <c r="ER27" s="574"/>
      <c r="ES27" s="574"/>
      <c r="ET27" s="574"/>
      <c r="EU27" s="575"/>
      <c r="EV27" s="576"/>
      <c r="EW27" s="577"/>
      <c r="EX27" s="576"/>
      <c r="EY27" s="578"/>
      <c r="EZ27" s="579"/>
      <c r="FA27" s="574"/>
      <c r="FB27" s="574"/>
      <c r="FC27" s="574"/>
      <c r="FD27" s="575"/>
      <c r="FE27" s="576"/>
      <c r="FF27" s="577"/>
      <c r="FG27" s="576"/>
      <c r="FH27" s="578"/>
      <c r="FI27" s="579"/>
      <c r="FJ27" s="574"/>
      <c r="FK27" s="574"/>
      <c r="FL27" s="574"/>
      <c r="FM27" s="575"/>
      <c r="FN27" s="576"/>
      <c r="FO27" s="577"/>
      <c r="FP27" s="576"/>
      <c r="FQ27" s="578"/>
      <c r="FR27" s="579"/>
      <c r="FS27" s="574"/>
      <c r="FT27" s="574"/>
      <c r="FU27" s="574"/>
      <c r="FV27" s="575"/>
      <c r="FW27" s="576"/>
      <c r="FX27" s="577"/>
      <c r="FY27" s="576"/>
      <c r="FZ27" s="578"/>
      <c r="GA27" s="579"/>
      <c r="GB27" s="574"/>
      <c r="GC27" s="574"/>
      <c r="GD27" s="574"/>
      <c r="GE27" s="575"/>
      <c r="GF27" s="576"/>
      <c r="GG27" s="577"/>
      <c r="GH27" s="576"/>
      <c r="GI27" s="578"/>
      <c r="GJ27" s="579"/>
      <c r="GK27" s="574"/>
      <c r="GL27" s="574"/>
      <c r="GM27" s="574"/>
      <c r="GN27" s="575"/>
      <c r="GO27" s="576"/>
      <c r="GP27" s="577"/>
      <c r="GQ27" s="576"/>
      <c r="GR27" s="578"/>
      <c r="GS27" s="579"/>
      <c r="GT27" s="584">
        <v>42990</v>
      </c>
      <c r="GU27" s="98">
        <v>17584</v>
      </c>
      <c r="GV27" s="65" t="s">
        <v>719</v>
      </c>
      <c r="GW27" s="74"/>
      <c r="GX27" s="74"/>
      <c r="GY27" s="405" t="s">
        <v>808</v>
      </c>
      <c r="GZ27" s="404">
        <v>2088</v>
      </c>
    </row>
    <row r="28" spans="1:208" x14ac:dyDescent="0.25">
      <c r="A28" s="1">
        <v>23</v>
      </c>
      <c r="B28" t="e">
        <f>#REF!</f>
        <v>#REF!</v>
      </c>
      <c r="C28" t="e">
        <f>#REF!</f>
        <v>#REF!</v>
      </c>
      <c r="D28" s="35" t="e">
        <f>#REF!</f>
        <v>#REF!</v>
      </c>
      <c r="E28" s="36" t="e">
        <f>#REF!</f>
        <v>#REF!</v>
      </c>
      <c r="F28" s="37" t="e">
        <f>#REF!</f>
        <v>#REF!</v>
      </c>
      <c r="G28" s="38" t="e">
        <f>#REF!</f>
        <v>#REF!</v>
      </c>
      <c r="H28" s="39" t="e">
        <f>#REF!</f>
        <v>#REF!</v>
      </c>
      <c r="I28" s="40" t="e">
        <f>#REF!</f>
        <v>#REF!</v>
      </c>
      <c r="J28" s="68" t="s">
        <v>96</v>
      </c>
      <c r="K28" s="407" t="s">
        <v>40</v>
      </c>
      <c r="L28" s="70">
        <v>20570</v>
      </c>
      <c r="M28" s="71">
        <v>42967</v>
      </c>
      <c r="N28" s="569" t="s">
        <v>769</v>
      </c>
      <c r="O28" s="72">
        <v>25400</v>
      </c>
      <c r="P28" s="113">
        <f t="shared" si="0"/>
        <v>4830</v>
      </c>
      <c r="Q28" s="64">
        <v>29</v>
      </c>
      <c r="R28" s="64"/>
      <c r="S28" s="64"/>
      <c r="T28" s="39">
        <f t="shared" si="1"/>
        <v>736600</v>
      </c>
      <c r="U28" s="582" t="s">
        <v>703</v>
      </c>
      <c r="V28" s="585">
        <v>42991</v>
      </c>
      <c r="W28" s="586">
        <v>16588</v>
      </c>
      <c r="X28" s="574"/>
      <c r="Y28" s="575"/>
      <c r="Z28" s="576"/>
      <c r="AA28" s="577"/>
      <c r="AB28" s="576"/>
      <c r="AC28" s="578"/>
      <c r="AD28" s="579"/>
      <c r="AE28" s="574"/>
      <c r="AF28" s="574"/>
      <c r="AG28" s="574"/>
      <c r="AH28" s="575"/>
      <c r="AI28" s="576"/>
      <c r="AJ28" s="577"/>
      <c r="AK28" s="576"/>
      <c r="AL28" s="578"/>
      <c r="AM28" s="579"/>
      <c r="AN28" s="574"/>
      <c r="AO28" s="574"/>
      <c r="AP28" s="574"/>
      <c r="AQ28" s="575"/>
      <c r="AR28" s="576"/>
      <c r="AS28" s="577"/>
      <c r="AT28" s="576"/>
      <c r="AU28" s="578"/>
      <c r="AV28" s="579"/>
      <c r="AW28" s="574"/>
      <c r="AX28" s="574"/>
      <c r="AY28" s="574"/>
      <c r="AZ28" s="575"/>
      <c r="BA28" s="576"/>
      <c r="BB28" s="577"/>
      <c r="BC28" s="576"/>
      <c r="BD28" s="578"/>
      <c r="BE28" s="579"/>
      <c r="BF28" s="574"/>
      <c r="BG28" s="574"/>
      <c r="BH28" s="574"/>
      <c r="BI28" s="575"/>
      <c r="BJ28" s="576"/>
      <c r="BK28" s="577"/>
      <c r="BL28" s="576"/>
      <c r="BM28" s="578"/>
      <c r="BN28" s="579"/>
      <c r="BO28" s="574"/>
      <c r="BP28" s="574"/>
      <c r="BQ28" s="574"/>
      <c r="BR28" s="575"/>
      <c r="BS28" s="576"/>
      <c r="BT28" s="577"/>
      <c r="BU28" s="576"/>
      <c r="BV28" s="578"/>
      <c r="BW28" s="579"/>
      <c r="BX28" s="574"/>
      <c r="BY28" s="574"/>
      <c r="BZ28" s="574"/>
      <c r="CA28" s="575"/>
      <c r="CB28" s="576"/>
      <c r="CC28" s="577"/>
      <c r="CD28" s="576"/>
      <c r="CE28" s="578"/>
      <c r="CF28" s="579"/>
      <c r="CG28" s="574"/>
      <c r="CH28" s="574"/>
      <c r="CI28" s="574"/>
      <c r="CJ28" s="575"/>
      <c r="CK28" s="576"/>
      <c r="CL28" s="577"/>
      <c r="CM28" s="576"/>
      <c r="CN28" s="578"/>
      <c r="CO28" s="579"/>
      <c r="CP28" s="574"/>
      <c r="CQ28" s="574"/>
      <c r="CR28" s="574"/>
      <c r="CS28" s="575"/>
      <c r="CT28" s="576"/>
      <c r="CU28" s="577"/>
      <c r="CV28" s="576"/>
      <c r="CW28" s="578"/>
      <c r="CX28" s="579"/>
      <c r="CY28" s="574"/>
      <c r="CZ28" s="574"/>
      <c r="DA28" s="574"/>
      <c r="DB28" s="575"/>
      <c r="DC28" s="576"/>
      <c r="DD28" s="577"/>
      <c r="DE28" s="576"/>
      <c r="DF28" s="578"/>
      <c r="DG28" s="579"/>
      <c r="DH28" s="574"/>
      <c r="DI28" s="574"/>
      <c r="DJ28" s="574"/>
      <c r="DK28" s="575"/>
      <c r="DL28" s="576"/>
      <c r="DM28" s="577"/>
      <c r="DN28" s="576"/>
      <c r="DO28" s="578"/>
      <c r="DP28" s="579"/>
      <c r="DQ28" s="574"/>
      <c r="DR28" s="574"/>
      <c r="DS28" s="574"/>
      <c r="DT28" s="575"/>
      <c r="DU28" s="576"/>
      <c r="DV28" s="577"/>
      <c r="DW28" s="576"/>
      <c r="DX28" s="578"/>
      <c r="DY28" s="579"/>
      <c r="DZ28" s="574"/>
      <c r="EA28" s="574"/>
      <c r="EB28" s="574"/>
      <c r="EC28" s="575"/>
      <c r="ED28" s="576"/>
      <c r="EE28" s="577"/>
      <c r="EF28" s="576"/>
      <c r="EG28" s="578"/>
      <c r="EH28" s="579"/>
      <c r="EI28" s="574"/>
      <c r="EJ28" s="574"/>
      <c r="EK28" s="574"/>
      <c r="EL28" s="575"/>
      <c r="EM28" s="576"/>
      <c r="EN28" s="577"/>
      <c r="EO28" s="576"/>
      <c r="EP28" s="578"/>
      <c r="EQ28" s="579"/>
      <c r="ER28" s="574"/>
      <c r="ES28" s="574"/>
      <c r="ET28" s="574"/>
      <c r="EU28" s="575"/>
      <c r="EV28" s="576"/>
      <c r="EW28" s="577"/>
      <c r="EX28" s="576"/>
      <c r="EY28" s="578"/>
      <c r="EZ28" s="579"/>
      <c r="FA28" s="574"/>
      <c r="FB28" s="574"/>
      <c r="FC28" s="574"/>
      <c r="FD28" s="575"/>
      <c r="FE28" s="576"/>
      <c r="FF28" s="577"/>
      <c r="FG28" s="576"/>
      <c r="FH28" s="578"/>
      <c r="FI28" s="579"/>
      <c r="FJ28" s="574"/>
      <c r="FK28" s="574"/>
      <c r="FL28" s="574"/>
      <c r="FM28" s="575"/>
      <c r="FN28" s="576"/>
      <c r="FO28" s="577"/>
      <c r="FP28" s="576"/>
      <c r="FQ28" s="578"/>
      <c r="FR28" s="579"/>
      <c r="FS28" s="574"/>
      <c r="FT28" s="574"/>
      <c r="FU28" s="574"/>
      <c r="FV28" s="575"/>
      <c r="FW28" s="576"/>
      <c r="FX28" s="577"/>
      <c r="FY28" s="576"/>
      <c r="FZ28" s="578"/>
      <c r="GA28" s="579"/>
      <c r="GB28" s="574"/>
      <c r="GC28" s="574"/>
      <c r="GD28" s="574"/>
      <c r="GE28" s="575"/>
      <c r="GF28" s="576"/>
      <c r="GG28" s="577"/>
      <c r="GH28" s="576"/>
      <c r="GI28" s="578"/>
      <c r="GJ28" s="579"/>
      <c r="GK28" s="574"/>
      <c r="GL28" s="574"/>
      <c r="GM28" s="574"/>
      <c r="GN28" s="575"/>
      <c r="GO28" s="576"/>
      <c r="GP28" s="577"/>
      <c r="GQ28" s="576"/>
      <c r="GR28" s="578"/>
      <c r="GS28" s="579"/>
      <c r="GT28" s="581">
        <v>42991</v>
      </c>
      <c r="GU28" s="98"/>
      <c r="GV28" s="84"/>
      <c r="GW28" s="74"/>
      <c r="GX28" s="74"/>
      <c r="GY28" s="403" t="s">
        <v>808</v>
      </c>
      <c r="GZ28" s="404">
        <v>3944</v>
      </c>
    </row>
    <row r="29" spans="1:208" x14ac:dyDescent="0.25">
      <c r="D29" s="35"/>
      <c r="E29" s="36"/>
      <c r="F29" s="37"/>
      <c r="G29" s="38"/>
      <c r="H29" s="39"/>
      <c r="I29" s="40"/>
      <c r="J29" s="68" t="s">
        <v>38</v>
      </c>
      <c r="K29" s="407" t="s">
        <v>37</v>
      </c>
      <c r="L29" s="70">
        <v>17630</v>
      </c>
      <c r="M29" s="71">
        <v>42968</v>
      </c>
      <c r="N29" s="569" t="s">
        <v>770</v>
      </c>
      <c r="O29" s="72">
        <v>21920</v>
      </c>
      <c r="P29" s="113">
        <f t="shared" si="0"/>
        <v>4290</v>
      </c>
      <c r="Q29" s="117">
        <v>29</v>
      </c>
      <c r="R29" s="117"/>
      <c r="S29" s="117"/>
      <c r="T29" s="39">
        <f t="shared" si="1"/>
        <v>635680</v>
      </c>
      <c r="U29" s="582" t="s">
        <v>703</v>
      </c>
      <c r="V29" s="572">
        <v>42992</v>
      </c>
      <c r="W29" s="587">
        <v>15080</v>
      </c>
      <c r="X29" s="574"/>
      <c r="Y29" s="575"/>
      <c r="Z29" s="576"/>
      <c r="AA29" s="577"/>
      <c r="AB29" s="576"/>
      <c r="AC29" s="578"/>
      <c r="AD29" s="579"/>
      <c r="AE29" s="574"/>
      <c r="AF29" s="574"/>
      <c r="AG29" s="574"/>
      <c r="AH29" s="575"/>
      <c r="AI29" s="576"/>
      <c r="AJ29" s="577"/>
      <c r="AK29" s="576"/>
      <c r="AL29" s="578"/>
      <c r="AM29" s="579"/>
      <c r="AN29" s="574"/>
      <c r="AO29" s="574"/>
      <c r="AP29" s="574"/>
      <c r="AQ29" s="575"/>
      <c r="AR29" s="576"/>
      <c r="AS29" s="577"/>
      <c r="AT29" s="576"/>
      <c r="AU29" s="578"/>
      <c r="AV29" s="579"/>
      <c r="AW29" s="574"/>
      <c r="AX29" s="574"/>
      <c r="AY29" s="574"/>
      <c r="AZ29" s="575"/>
      <c r="BA29" s="576"/>
      <c r="BB29" s="577"/>
      <c r="BC29" s="576"/>
      <c r="BD29" s="578"/>
      <c r="BE29" s="579"/>
      <c r="BF29" s="574"/>
      <c r="BG29" s="574"/>
      <c r="BH29" s="574"/>
      <c r="BI29" s="575"/>
      <c r="BJ29" s="576"/>
      <c r="BK29" s="577"/>
      <c r="BL29" s="576"/>
      <c r="BM29" s="578"/>
      <c r="BN29" s="579"/>
      <c r="BO29" s="574"/>
      <c r="BP29" s="574"/>
      <c r="BQ29" s="574"/>
      <c r="BR29" s="575"/>
      <c r="BS29" s="576"/>
      <c r="BT29" s="577"/>
      <c r="BU29" s="576"/>
      <c r="BV29" s="578"/>
      <c r="BW29" s="579"/>
      <c r="BX29" s="574"/>
      <c r="BY29" s="574"/>
      <c r="BZ29" s="574"/>
      <c r="CA29" s="575"/>
      <c r="CB29" s="576"/>
      <c r="CC29" s="577"/>
      <c r="CD29" s="576"/>
      <c r="CE29" s="578"/>
      <c r="CF29" s="579"/>
      <c r="CG29" s="574"/>
      <c r="CH29" s="574"/>
      <c r="CI29" s="574"/>
      <c r="CJ29" s="575"/>
      <c r="CK29" s="576"/>
      <c r="CL29" s="577"/>
      <c r="CM29" s="576"/>
      <c r="CN29" s="578"/>
      <c r="CO29" s="579"/>
      <c r="CP29" s="574"/>
      <c r="CQ29" s="574"/>
      <c r="CR29" s="574"/>
      <c r="CS29" s="575"/>
      <c r="CT29" s="576"/>
      <c r="CU29" s="577"/>
      <c r="CV29" s="576"/>
      <c r="CW29" s="578"/>
      <c r="CX29" s="579"/>
      <c r="CY29" s="574"/>
      <c r="CZ29" s="574"/>
      <c r="DA29" s="574"/>
      <c r="DB29" s="575"/>
      <c r="DC29" s="576"/>
      <c r="DD29" s="577"/>
      <c r="DE29" s="576"/>
      <c r="DF29" s="578"/>
      <c r="DG29" s="579"/>
      <c r="DH29" s="574"/>
      <c r="DI29" s="574"/>
      <c r="DJ29" s="574"/>
      <c r="DK29" s="575"/>
      <c r="DL29" s="576"/>
      <c r="DM29" s="577"/>
      <c r="DN29" s="576"/>
      <c r="DO29" s="578"/>
      <c r="DP29" s="579"/>
      <c r="DQ29" s="574"/>
      <c r="DR29" s="574"/>
      <c r="DS29" s="574"/>
      <c r="DT29" s="575"/>
      <c r="DU29" s="576"/>
      <c r="DV29" s="577"/>
      <c r="DW29" s="576"/>
      <c r="DX29" s="578"/>
      <c r="DY29" s="579"/>
      <c r="DZ29" s="574"/>
      <c r="EA29" s="574"/>
      <c r="EB29" s="574"/>
      <c r="EC29" s="575"/>
      <c r="ED29" s="576"/>
      <c r="EE29" s="577"/>
      <c r="EF29" s="576"/>
      <c r="EG29" s="578"/>
      <c r="EH29" s="579"/>
      <c r="EI29" s="574"/>
      <c r="EJ29" s="574"/>
      <c r="EK29" s="574"/>
      <c r="EL29" s="575"/>
      <c r="EM29" s="576"/>
      <c r="EN29" s="577"/>
      <c r="EO29" s="576"/>
      <c r="EP29" s="578"/>
      <c r="EQ29" s="579"/>
      <c r="ER29" s="574"/>
      <c r="ES29" s="574"/>
      <c r="ET29" s="574"/>
      <c r="EU29" s="575"/>
      <c r="EV29" s="576"/>
      <c r="EW29" s="577"/>
      <c r="EX29" s="576"/>
      <c r="EY29" s="578"/>
      <c r="EZ29" s="579"/>
      <c r="FA29" s="574"/>
      <c r="FB29" s="574"/>
      <c r="FC29" s="574"/>
      <c r="FD29" s="575"/>
      <c r="FE29" s="576"/>
      <c r="FF29" s="577"/>
      <c r="FG29" s="576"/>
      <c r="FH29" s="578"/>
      <c r="FI29" s="579"/>
      <c r="FJ29" s="574"/>
      <c r="FK29" s="574"/>
      <c r="FL29" s="574"/>
      <c r="FM29" s="575"/>
      <c r="FN29" s="576"/>
      <c r="FO29" s="577"/>
      <c r="FP29" s="576"/>
      <c r="FQ29" s="578"/>
      <c r="FR29" s="579"/>
      <c r="FS29" s="574"/>
      <c r="FT29" s="574"/>
      <c r="FU29" s="574"/>
      <c r="FV29" s="575"/>
      <c r="FW29" s="576"/>
      <c r="FX29" s="577"/>
      <c r="FY29" s="576"/>
      <c r="FZ29" s="578"/>
      <c r="GA29" s="579"/>
      <c r="GB29" s="574"/>
      <c r="GC29" s="574"/>
      <c r="GD29" s="574"/>
      <c r="GE29" s="575"/>
      <c r="GF29" s="576"/>
      <c r="GG29" s="577"/>
      <c r="GH29" s="576"/>
      <c r="GI29" s="578"/>
      <c r="GJ29" s="579"/>
      <c r="GK29" s="574"/>
      <c r="GL29" s="574"/>
      <c r="GM29" s="574"/>
      <c r="GN29" s="575"/>
      <c r="GO29" s="576"/>
      <c r="GP29" s="577"/>
      <c r="GQ29" s="576"/>
      <c r="GR29" s="578"/>
      <c r="GS29" s="579"/>
      <c r="GT29" s="581">
        <v>42992</v>
      </c>
      <c r="GU29" s="98">
        <v>22176</v>
      </c>
      <c r="GV29" s="65" t="s">
        <v>729</v>
      </c>
      <c r="GW29" s="74"/>
      <c r="GX29" s="74"/>
      <c r="GY29" s="405" t="s">
        <v>808</v>
      </c>
      <c r="GZ29" s="404">
        <v>3944</v>
      </c>
    </row>
    <row r="30" spans="1:208" x14ac:dyDescent="0.25">
      <c r="D30" s="35"/>
      <c r="E30" s="36"/>
      <c r="F30" s="37"/>
      <c r="G30" s="38"/>
      <c r="H30" s="39"/>
      <c r="I30" s="40"/>
      <c r="J30" s="68" t="s">
        <v>42</v>
      </c>
      <c r="K30" s="407" t="s">
        <v>37</v>
      </c>
      <c r="L30" s="70">
        <v>17390</v>
      </c>
      <c r="M30" s="71">
        <v>42969</v>
      </c>
      <c r="N30" s="569" t="s">
        <v>771</v>
      </c>
      <c r="O30" s="72">
        <v>22120</v>
      </c>
      <c r="P30" s="113">
        <f t="shared" si="0"/>
        <v>4730</v>
      </c>
      <c r="Q30" s="117">
        <v>29</v>
      </c>
      <c r="R30" s="905"/>
      <c r="S30" s="906"/>
      <c r="T30" s="39">
        <f t="shared" si="1"/>
        <v>641480</v>
      </c>
      <c r="U30" s="582" t="s">
        <v>703</v>
      </c>
      <c r="V30" s="572">
        <v>42992</v>
      </c>
      <c r="W30" s="587">
        <v>15080</v>
      </c>
      <c r="X30" s="574"/>
      <c r="Y30" s="575"/>
      <c r="Z30" s="576"/>
      <c r="AA30" s="577"/>
      <c r="AB30" s="576"/>
      <c r="AC30" s="578"/>
      <c r="AD30" s="579"/>
      <c r="AE30" s="574"/>
      <c r="AF30" s="574"/>
      <c r="AG30" s="574"/>
      <c r="AH30" s="575"/>
      <c r="AI30" s="576"/>
      <c r="AJ30" s="577"/>
      <c r="AK30" s="576"/>
      <c r="AL30" s="578"/>
      <c r="AM30" s="579"/>
      <c r="AN30" s="574"/>
      <c r="AO30" s="574"/>
      <c r="AP30" s="574"/>
      <c r="AQ30" s="575"/>
      <c r="AR30" s="576"/>
      <c r="AS30" s="577"/>
      <c r="AT30" s="576"/>
      <c r="AU30" s="578"/>
      <c r="AV30" s="579"/>
      <c r="AW30" s="574"/>
      <c r="AX30" s="574"/>
      <c r="AY30" s="574"/>
      <c r="AZ30" s="575"/>
      <c r="BA30" s="576"/>
      <c r="BB30" s="577"/>
      <c r="BC30" s="576"/>
      <c r="BD30" s="578"/>
      <c r="BE30" s="579"/>
      <c r="BF30" s="574"/>
      <c r="BG30" s="574"/>
      <c r="BH30" s="574"/>
      <c r="BI30" s="575"/>
      <c r="BJ30" s="576"/>
      <c r="BK30" s="577"/>
      <c r="BL30" s="576"/>
      <c r="BM30" s="578"/>
      <c r="BN30" s="579"/>
      <c r="BO30" s="574"/>
      <c r="BP30" s="574"/>
      <c r="BQ30" s="574"/>
      <c r="BR30" s="575"/>
      <c r="BS30" s="576"/>
      <c r="BT30" s="577"/>
      <c r="BU30" s="576"/>
      <c r="BV30" s="578"/>
      <c r="BW30" s="579"/>
      <c r="BX30" s="574"/>
      <c r="BY30" s="574"/>
      <c r="BZ30" s="574"/>
      <c r="CA30" s="575"/>
      <c r="CB30" s="576"/>
      <c r="CC30" s="577"/>
      <c r="CD30" s="576"/>
      <c r="CE30" s="578"/>
      <c r="CF30" s="579"/>
      <c r="CG30" s="574"/>
      <c r="CH30" s="574"/>
      <c r="CI30" s="574"/>
      <c r="CJ30" s="575"/>
      <c r="CK30" s="576"/>
      <c r="CL30" s="577"/>
      <c r="CM30" s="576"/>
      <c r="CN30" s="578"/>
      <c r="CO30" s="579"/>
      <c r="CP30" s="574"/>
      <c r="CQ30" s="574"/>
      <c r="CR30" s="574"/>
      <c r="CS30" s="575"/>
      <c r="CT30" s="576"/>
      <c r="CU30" s="577"/>
      <c r="CV30" s="576"/>
      <c r="CW30" s="578"/>
      <c r="CX30" s="579"/>
      <c r="CY30" s="574"/>
      <c r="CZ30" s="574"/>
      <c r="DA30" s="574"/>
      <c r="DB30" s="575"/>
      <c r="DC30" s="576"/>
      <c r="DD30" s="577"/>
      <c r="DE30" s="576"/>
      <c r="DF30" s="578"/>
      <c r="DG30" s="579"/>
      <c r="DH30" s="574"/>
      <c r="DI30" s="574"/>
      <c r="DJ30" s="574"/>
      <c r="DK30" s="575"/>
      <c r="DL30" s="576"/>
      <c r="DM30" s="577"/>
      <c r="DN30" s="576"/>
      <c r="DO30" s="578"/>
      <c r="DP30" s="579"/>
      <c r="DQ30" s="574"/>
      <c r="DR30" s="574"/>
      <c r="DS30" s="574"/>
      <c r="DT30" s="575"/>
      <c r="DU30" s="576"/>
      <c r="DV30" s="577"/>
      <c r="DW30" s="576"/>
      <c r="DX30" s="578"/>
      <c r="DY30" s="579"/>
      <c r="DZ30" s="574"/>
      <c r="EA30" s="574"/>
      <c r="EB30" s="574"/>
      <c r="EC30" s="575"/>
      <c r="ED30" s="576"/>
      <c r="EE30" s="577"/>
      <c r="EF30" s="576"/>
      <c r="EG30" s="578"/>
      <c r="EH30" s="579"/>
      <c r="EI30" s="574"/>
      <c r="EJ30" s="574"/>
      <c r="EK30" s="574"/>
      <c r="EL30" s="575"/>
      <c r="EM30" s="576"/>
      <c r="EN30" s="577"/>
      <c r="EO30" s="576"/>
      <c r="EP30" s="578"/>
      <c r="EQ30" s="579"/>
      <c r="ER30" s="574"/>
      <c r="ES30" s="574"/>
      <c r="ET30" s="574"/>
      <c r="EU30" s="575"/>
      <c r="EV30" s="576"/>
      <c r="EW30" s="577"/>
      <c r="EX30" s="576"/>
      <c r="EY30" s="578"/>
      <c r="EZ30" s="579"/>
      <c r="FA30" s="574"/>
      <c r="FB30" s="574"/>
      <c r="FC30" s="574"/>
      <c r="FD30" s="575"/>
      <c r="FE30" s="576"/>
      <c r="FF30" s="577"/>
      <c r="FG30" s="576"/>
      <c r="FH30" s="578"/>
      <c r="FI30" s="579"/>
      <c r="FJ30" s="574"/>
      <c r="FK30" s="574"/>
      <c r="FL30" s="574"/>
      <c r="FM30" s="575"/>
      <c r="FN30" s="576"/>
      <c r="FO30" s="577"/>
      <c r="FP30" s="576"/>
      <c r="FQ30" s="578"/>
      <c r="FR30" s="579"/>
      <c r="FS30" s="574"/>
      <c r="FT30" s="574"/>
      <c r="FU30" s="574"/>
      <c r="FV30" s="575"/>
      <c r="FW30" s="576"/>
      <c r="FX30" s="577"/>
      <c r="FY30" s="576"/>
      <c r="FZ30" s="578"/>
      <c r="GA30" s="579"/>
      <c r="GB30" s="574"/>
      <c r="GC30" s="574"/>
      <c r="GD30" s="574"/>
      <c r="GE30" s="575"/>
      <c r="GF30" s="576"/>
      <c r="GG30" s="577"/>
      <c r="GH30" s="576"/>
      <c r="GI30" s="578"/>
      <c r="GJ30" s="579"/>
      <c r="GK30" s="574"/>
      <c r="GL30" s="574"/>
      <c r="GM30" s="574"/>
      <c r="GN30" s="575"/>
      <c r="GO30" s="576"/>
      <c r="GP30" s="577"/>
      <c r="GQ30" s="576"/>
      <c r="GR30" s="578"/>
      <c r="GS30" s="579"/>
      <c r="GT30" s="581">
        <v>42992</v>
      </c>
      <c r="GU30" s="98">
        <v>22176</v>
      </c>
      <c r="GV30" s="65" t="s">
        <v>730</v>
      </c>
      <c r="GW30" s="74"/>
      <c r="GX30" s="74"/>
      <c r="GY30" s="405" t="s">
        <v>808</v>
      </c>
      <c r="GZ30" s="404">
        <v>3944</v>
      </c>
    </row>
    <row r="31" spans="1:208" ht="30" x14ac:dyDescent="0.25">
      <c r="D31" s="35"/>
      <c r="E31" s="36"/>
      <c r="F31" s="37"/>
      <c r="G31" s="38"/>
      <c r="H31" s="39"/>
      <c r="I31" s="40"/>
      <c r="J31" s="68" t="s">
        <v>707</v>
      </c>
      <c r="K31" s="407" t="s">
        <v>37</v>
      </c>
      <c r="L31" s="70">
        <v>17590</v>
      </c>
      <c r="M31" s="71">
        <v>42970</v>
      </c>
      <c r="N31" s="569" t="s">
        <v>772</v>
      </c>
      <c r="O31" s="72">
        <v>22360</v>
      </c>
      <c r="P31" s="113">
        <f t="shared" si="0"/>
        <v>4770</v>
      </c>
      <c r="Q31" s="64">
        <v>29</v>
      </c>
      <c r="R31" s="64"/>
      <c r="S31" s="64"/>
      <c r="T31" s="39">
        <f t="shared" si="1"/>
        <v>648440</v>
      </c>
      <c r="U31" s="582" t="s">
        <v>703</v>
      </c>
      <c r="V31" s="572">
        <v>42993</v>
      </c>
      <c r="W31" s="587">
        <v>15080</v>
      </c>
      <c r="X31" s="574"/>
      <c r="Y31" s="575"/>
      <c r="Z31" s="576"/>
      <c r="AA31" s="577"/>
      <c r="AB31" s="576"/>
      <c r="AC31" s="578"/>
      <c r="AD31" s="579"/>
      <c r="AE31" s="574"/>
      <c r="AF31" s="574"/>
      <c r="AG31" s="574"/>
      <c r="AH31" s="575"/>
      <c r="AI31" s="576"/>
      <c r="AJ31" s="577"/>
      <c r="AK31" s="576"/>
      <c r="AL31" s="578"/>
      <c r="AM31" s="579"/>
      <c r="AN31" s="574"/>
      <c r="AO31" s="574"/>
      <c r="AP31" s="574"/>
      <c r="AQ31" s="575"/>
      <c r="AR31" s="576"/>
      <c r="AS31" s="577"/>
      <c r="AT31" s="576"/>
      <c r="AU31" s="578"/>
      <c r="AV31" s="579"/>
      <c r="AW31" s="574"/>
      <c r="AX31" s="574"/>
      <c r="AY31" s="574"/>
      <c r="AZ31" s="575"/>
      <c r="BA31" s="576"/>
      <c r="BB31" s="577"/>
      <c r="BC31" s="576"/>
      <c r="BD31" s="578"/>
      <c r="BE31" s="579"/>
      <c r="BF31" s="574"/>
      <c r="BG31" s="574"/>
      <c r="BH31" s="574"/>
      <c r="BI31" s="575"/>
      <c r="BJ31" s="576"/>
      <c r="BK31" s="577"/>
      <c r="BL31" s="576"/>
      <c r="BM31" s="578"/>
      <c r="BN31" s="579"/>
      <c r="BO31" s="574"/>
      <c r="BP31" s="574"/>
      <c r="BQ31" s="574"/>
      <c r="BR31" s="575"/>
      <c r="BS31" s="576"/>
      <c r="BT31" s="577"/>
      <c r="BU31" s="576"/>
      <c r="BV31" s="578"/>
      <c r="BW31" s="579"/>
      <c r="BX31" s="574"/>
      <c r="BY31" s="574"/>
      <c r="BZ31" s="574"/>
      <c r="CA31" s="575"/>
      <c r="CB31" s="576"/>
      <c r="CC31" s="577"/>
      <c r="CD31" s="576"/>
      <c r="CE31" s="578"/>
      <c r="CF31" s="579"/>
      <c r="CG31" s="574"/>
      <c r="CH31" s="574"/>
      <c r="CI31" s="574"/>
      <c r="CJ31" s="575"/>
      <c r="CK31" s="576"/>
      <c r="CL31" s="577"/>
      <c r="CM31" s="576"/>
      <c r="CN31" s="578"/>
      <c r="CO31" s="579"/>
      <c r="CP31" s="574"/>
      <c r="CQ31" s="574"/>
      <c r="CR31" s="574"/>
      <c r="CS31" s="575"/>
      <c r="CT31" s="576"/>
      <c r="CU31" s="577"/>
      <c r="CV31" s="576"/>
      <c r="CW31" s="578"/>
      <c r="CX31" s="579"/>
      <c r="CY31" s="574"/>
      <c r="CZ31" s="574"/>
      <c r="DA31" s="574"/>
      <c r="DB31" s="575"/>
      <c r="DC31" s="576"/>
      <c r="DD31" s="577"/>
      <c r="DE31" s="576"/>
      <c r="DF31" s="578"/>
      <c r="DG31" s="579"/>
      <c r="DH31" s="574"/>
      <c r="DI31" s="574"/>
      <c r="DJ31" s="574"/>
      <c r="DK31" s="575"/>
      <c r="DL31" s="576"/>
      <c r="DM31" s="577"/>
      <c r="DN31" s="576"/>
      <c r="DO31" s="578"/>
      <c r="DP31" s="579"/>
      <c r="DQ31" s="574"/>
      <c r="DR31" s="574"/>
      <c r="DS31" s="574"/>
      <c r="DT31" s="575"/>
      <c r="DU31" s="576"/>
      <c r="DV31" s="577"/>
      <c r="DW31" s="576"/>
      <c r="DX31" s="578"/>
      <c r="DY31" s="579"/>
      <c r="DZ31" s="574"/>
      <c r="EA31" s="574"/>
      <c r="EB31" s="574"/>
      <c r="EC31" s="575"/>
      <c r="ED31" s="576"/>
      <c r="EE31" s="577"/>
      <c r="EF31" s="576"/>
      <c r="EG31" s="578"/>
      <c r="EH31" s="579"/>
      <c r="EI31" s="574"/>
      <c r="EJ31" s="574"/>
      <c r="EK31" s="574"/>
      <c r="EL31" s="575"/>
      <c r="EM31" s="576"/>
      <c r="EN31" s="577"/>
      <c r="EO31" s="576"/>
      <c r="EP31" s="578"/>
      <c r="EQ31" s="579"/>
      <c r="ER31" s="574"/>
      <c r="ES31" s="574"/>
      <c r="ET31" s="574"/>
      <c r="EU31" s="575"/>
      <c r="EV31" s="576"/>
      <c r="EW31" s="577"/>
      <c r="EX31" s="576"/>
      <c r="EY31" s="578"/>
      <c r="EZ31" s="579"/>
      <c r="FA31" s="574"/>
      <c r="FB31" s="574"/>
      <c r="FC31" s="574"/>
      <c r="FD31" s="575"/>
      <c r="FE31" s="576"/>
      <c r="FF31" s="577"/>
      <c r="FG31" s="576"/>
      <c r="FH31" s="578"/>
      <c r="FI31" s="579"/>
      <c r="FJ31" s="574"/>
      <c r="FK31" s="574"/>
      <c r="FL31" s="574"/>
      <c r="FM31" s="575"/>
      <c r="FN31" s="576"/>
      <c r="FO31" s="577"/>
      <c r="FP31" s="576"/>
      <c r="FQ31" s="578"/>
      <c r="FR31" s="579"/>
      <c r="FS31" s="574"/>
      <c r="FT31" s="574"/>
      <c r="FU31" s="574"/>
      <c r="FV31" s="575"/>
      <c r="FW31" s="576"/>
      <c r="FX31" s="577"/>
      <c r="FY31" s="576"/>
      <c r="FZ31" s="578"/>
      <c r="GA31" s="579"/>
      <c r="GB31" s="574"/>
      <c r="GC31" s="574"/>
      <c r="GD31" s="574"/>
      <c r="GE31" s="575"/>
      <c r="GF31" s="576"/>
      <c r="GG31" s="577"/>
      <c r="GH31" s="576"/>
      <c r="GI31" s="578"/>
      <c r="GJ31" s="579"/>
      <c r="GK31" s="574"/>
      <c r="GL31" s="574"/>
      <c r="GM31" s="574"/>
      <c r="GN31" s="575"/>
      <c r="GO31" s="576"/>
      <c r="GP31" s="577"/>
      <c r="GQ31" s="576"/>
      <c r="GR31" s="578"/>
      <c r="GS31" s="579"/>
      <c r="GT31" s="581">
        <v>42993</v>
      </c>
      <c r="GU31" s="98">
        <v>22176</v>
      </c>
      <c r="GV31" s="65" t="s">
        <v>731</v>
      </c>
      <c r="GW31" s="74"/>
      <c r="GX31" s="74"/>
      <c r="GY31" s="403" t="s">
        <v>808</v>
      </c>
      <c r="GZ31" s="404">
        <v>3944</v>
      </c>
    </row>
    <row r="32" spans="1:208" x14ac:dyDescent="0.25">
      <c r="D32" s="35"/>
      <c r="E32" s="36"/>
      <c r="F32" s="37"/>
      <c r="G32" s="38"/>
      <c r="H32" s="39"/>
      <c r="I32" s="40"/>
      <c r="J32" s="68" t="s">
        <v>708</v>
      </c>
      <c r="K32" s="407" t="s">
        <v>37</v>
      </c>
      <c r="L32" s="70">
        <v>17630</v>
      </c>
      <c r="M32" s="71">
        <v>42971</v>
      </c>
      <c r="N32" s="570" t="s">
        <v>781</v>
      </c>
      <c r="O32" s="72">
        <v>22920</v>
      </c>
      <c r="P32" s="113">
        <f t="shared" si="0"/>
        <v>5290</v>
      </c>
      <c r="Q32" s="117">
        <v>29</v>
      </c>
      <c r="R32" s="64"/>
      <c r="S32" s="120"/>
      <c r="T32" s="39">
        <f t="shared" si="1"/>
        <v>664680</v>
      </c>
      <c r="U32" s="582" t="s">
        <v>703</v>
      </c>
      <c r="V32" s="572">
        <v>42996</v>
      </c>
      <c r="W32" s="588">
        <v>15080</v>
      </c>
      <c r="X32" s="574"/>
      <c r="Y32" s="575"/>
      <c r="Z32" s="576"/>
      <c r="AA32" s="577"/>
      <c r="AB32" s="576"/>
      <c r="AC32" s="578"/>
      <c r="AD32" s="579"/>
      <c r="AE32" s="574"/>
      <c r="AF32" s="574"/>
      <c r="AG32" s="574"/>
      <c r="AH32" s="575"/>
      <c r="AI32" s="576"/>
      <c r="AJ32" s="577"/>
      <c r="AK32" s="576"/>
      <c r="AL32" s="578"/>
      <c r="AM32" s="579"/>
      <c r="AN32" s="574"/>
      <c r="AO32" s="574"/>
      <c r="AP32" s="574"/>
      <c r="AQ32" s="575"/>
      <c r="AR32" s="576"/>
      <c r="AS32" s="577"/>
      <c r="AT32" s="576"/>
      <c r="AU32" s="578"/>
      <c r="AV32" s="579"/>
      <c r="AW32" s="574"/>
      <c r="AX32" s="574"/>
      <c r="AY32" s="574"/>
      <c r="AZ32" s="575"/>
      <c r="BA32" s="576"/>
      <c r="BB32" s="577"/>
      <c r="BC32" s="576"/>
      <c r="BD32" s="578"/>
      <c r="BE32" s="579"/>
      <c r="BF32" s="574"/>
      <c r="BG32" s="574"/>
      <c r="BH32" s="574"/>
      <c r="BI32" s="575"/>
      <c r="BJ32" s="576"/>
      <c r="BK32" s="577"/>
      <c r="BL32" s="576"/>
      <c r="BM32" s="578"/>
      <c r="BN32" s="579"/>
      <c r="BO32" s="574"/>
      <c r="BP32" s="574"/>
      <c r="BQ32" s="574"/>
      <c r="BR32" s="575"/>
      <c r="BS32" s="576"/>
      <c r="BT32" s="577"/>
      <c r="BU32" s="576"/>
      <c r="BV32" s="578"/>
      <c r="BW32" s="579"/>
      <c r="BX32" s="574"/>
      <c r="BY32" s="574"/>
      <c r="BZ32" s="574"/>
      <c r="CA32" s="575"/>
      <c r="CB32" s="576"/>
      <c r="CC32" s="577"/>
      <c r="CD32" s="576"/>
      <c r="CE32" s="578"/>
      <c r="CF32" s="579"/>
      <c r="CG32" s="574"/>
      <c r="CH32" s="574"/>
      <c r="CI32" s="574"/>
      <c r="CJ32" s="575"/>
      <c r="CK32" s="576"/>
      <c r="CL32" s="577"/>
      <c r="CM32" s="576"/>
      <c r="CN32" s="578"/>
      <c r="CO32" s="579"/>
      <c r="CP32" s="574"/>
      <c r="CQ32" s="574"/>
      <c r="CR32" s="574"/>
      <c r="CS32" s="575"/>
      <c r="CT32" s="576"/>
      <c r="CU32" s="577"/>
      <c r="CV32" s="576"/>
      <c r="CW32" s="578"/>
      <c r="CX32" s="579"/>
      <c r="CY32" s="574"/>
      <c r="CZ32" s="574"/>
      <c r="DA32" s="574"/>
      <c r="DB32" s="575"/>
      <c r="DC32" s="576"/>
      <c r="DD32" s="577"/>
      <c r="DE32" s="576"/>
      <c r="DF32" s="578"/>
      <c r="DG32" s="579"/>
      <c r="DH32" s="574"/>
      <c r="DI32" s="574"/>
      <c r="DJ32" s="574"/>
      <c r="DK32" s="575"/>
      <c r="DL32" s="576"/>
      <c r="DM32" s="577"/>
      <c r="DN32" s="576"/>
      <c r="DO32" s="578"/>
      <c r="DP32" s="579"/>
      <c r="DQ32" s="574"/>
      <c r="DR32" s="574"/>
      <c r="DS32" s="574"/>
      <c r="DT32" s="575"/>
      <c r="DU32" s="576"/>
      <c r="DV32" s="577"/>
      <c r="DW32" s="576"/>
      <c r="DX32" s="578"/>
      <c r="DY32" s="579"/>
      <c r="DZ32" s="574"/>
      <c r="EA32" s="574"/>
      <c r="EB32" s="574"/>
      <c r="EC32" s="575"/>
      <c r="ED32" s="576"/>
      <c r="EE32" s="577"/>
      <c r="EF32" s="576"/>
      <c r="EG32" s="578"/>
      <c r="EH32" s="579"/>
      <c r="EI32" s="574"/>
      <c r="EJ32" s="574"/>
      <c r="EK32" s="574"/>
      <c r="EL32" s="575"/>
      <c r="EM32" s="576"/>
      <c r="EN32" s="577"/>
      <c r="EO32" s="576"/>
      <c r="EP32" s="578"/>
      <c r="EQ32" s="579"/>
      <c r="ER32" s="574"/>
      <c r="ES32" s="574"/>
      <c r="ET32" s="574"/>
      <c r="EU32" s="575"/>
      <c r="EV32" s="576"/>
      <c r="EW32" s="577"/>
      <c r="EX32" s="576"/>
      <c r="EY32" s="578"/>
      <c r="EZ32" s="579"/>
      <c r="FA32" s="574"/>
      <c r="FB32" s="574"/>
      <c r="FC32" s="574"/>
      <c r="FD32" s="575"/>
      <c r="FE32" s="576"/>
      <c r="FF32" s="577"/>
      <c r="FG32" s="576"/>
      <c r="FH32" s="578"/>
      <c r="FI32" s="579"/>
      <c r="FJ32" s="574"/>
      <c r="FK32" s="574"/>
      <c r="FL32" s="574"/>
      <c r="FM32" s="575"/>
      <c r="FN32" s="576"/>
      <c r="FO32" s="577"/>
      <c r="FP32" s="576"/>
      <c r="FQ32" s="578"/>
      <c r="FR32" s="579"/>
      <c r="FS32" s="574"/>
      <c r="FT32" s="574"/>
      <c r="FU32" s="574"/>
      <c r="FV32" s="575"/>
      <c r="FW32" s="576"/>
      <c r="FX32" s="577"/>
      <c r="FY32" s="576"/>
      <c r="FZ32" s="578"/>
      <c r="GA32" s="579"/>
      <c r="GB32" s="574"/>
      <c r="GC32" s="574"/>
      <c r="GD32" s="574"/>
      <c r="GE32" s="575"/>
      <c r="GF32" s="576"/>
      <c r="GG32" s="577"/>
      <c r="GH32" s="576"/>
      <c r="GI32" s="578"/>
      <c r="GJ32" s="579"/>
      <c r="GK32" s="574"/>
      <c r="GL32" s="574"/>
      <c r="GM32" s="574"/>
      <c r="GN32" s="575"/>
      <c r="GO32" s="576"/>
      <c r="GP32" s="577"/>
      <c r="GQ32" s="576"/>
      <c r="GR32" s="578"/>
      <c r="GS32" s="579"/>
      <c r="GT32" s="589">
        <v>42996</v>
      </c>
      <c r="GU32" s="98"/>
      <c r="GV32" s="84"/>
      <c r="GW32" s="74"/>
      <c r="GX32" s="74"/>
      <c r="GY32" s="403" t="s">
        <v>808</v>
      </c>
      <c r="GZ32" s="404">
        <v>3944</v>
      </c>
    </row>
    <row r="33" spans="1:208" ht="30" x14ac:dyDescent="0.25">
      <c r="D33" s="35"/>
      <c r="E33" s="36"/>
      <c r="F33" s="37"/>
      <c r="G33" s="38"/>
      <c r="H33" s="39"/>
      <c r="I33" s="40"/>
      <c r="J33" s="68" t="s">
        <v>43</v>
      </c>
      <c r="K33" s="451" t="s">
        <v>709</v>
      </c>
      <c r="L33" s="70">
        <v>10910</v>
      </c>
      <c r="M33" s="71">
        <v>42971</v>
      </c>
      <c r="N33" s="569" t="s">
        <v>780</v>
      </c>
      <c r="O33" s="72">
        <v>14322.44</v>
      </c>
      <c r="P33" s="113">
        <f t="shared" si="0"/>
        <v>3412.4400000000005</v>
      </c>
      <c r="Q33" s="117">
        <v>29</v>
      </c>
      <c r="R33" s="117"/>
      <c r="S33" s="89"/>
      <c r="T33" s="39">
        <f t="shared" si="1"/>
        <v>415350.76</v>
      </c>
      <c r="U33" s="582" t="s">
        <v>703</v>
      </c>
      <c r="V33" s="572">
        <v>42993</v>
      </c>
      <c r="W33" s="587">
        <v>9952.7999999999993</v>
      </c>
      <c r="X33" s="574"/>
      <c r="Y33" s="575"/>
      <c r="Z33" s="576"/>
      <c r="AA33" s="577"/>
      <c r="AB33" s="576"/>
      <c r="AC33" s="578"/>
      <c r="AD33" s="579"/>
      <c r="AE33" s="574"/>
      <c r="AF33" s="574"/>
      <c r="AG33" s="574"/>
      <c r="AH33" s="575"/>
      <c r="AI33" s="576"/>
      <c r="AJ33" s="577"/>
      <c r="AK33" s="576"/>
      <c r="AL33" s="578"/>
      <c r="AM33" s="579"/>
      <c r="AN33" s="574"/>
      <c r="AO33" s="574"/>
      <c r="AP33" s="574"/>
      <c r="AQ33" s="575"/>
      <c r="AR33" s="576"/>
      <c r="AS33" s="577"/>
      <c r="AT33" s="576"/>
      <c r="AU33" s="578"/>
      <c r="AV33" s="579"/>
      <c r="AW33" s="574"/>
      <c r="AX33" s="574"/>
      <c r="AY33" s="574"/>
      <c r="AZ33" s="575"/>
      <c r="BA33" s="576"/>
      <c r="BB33" s="577"/>
      <c r="BC33" s="576"/>
      <c r="BD33" s="578"/>
      <c r="BE33" s="579"/>
      <c r="BF33" s="574"/>
      <c r="BG33" s="574"/>
      <c r="BH33" s="574"/>
      <c r="BI33" s="575"/>
      <c r="BJ33" s="576"/>
      <c r="BK33" s="577"/>
      <c r="BL33" s="576"/>
      <c r="BM33" s="578"/>
      <c r="BN33" s="579"/>
      <c r="BO33" s="574"/>
      <c r="BP33" s="574"/>
      <c r="BQ33" s="574"/>
      <c r="BR33" s="575"/>
      <c r="BS33" s="576"/>
      <c r="BT33" s="577"/>
      <c r="BU33" s="576"/>
      <c r="BV33" s="578"/>
      <c r="BW33" s="579"/>
      <c r="BX33" s="574"/>
      <c r="BY33" s="574"/>
      <c r="BZ33" s="574"/>
      <c r="CA33" s="575"/>
      <c r="CB33" s="576"/>
      <c r="CC33" s="577"/>
      <c r="CD33" s="576"/>
      <c r="CE33" s="578"/>
      <c r="CF33" s="579"/>
      <c r="CG33" s="574"/>
      <c r="CH33" s="574"/>
      <c r="CI33" s="574"/>
      <c r="CJ33" s="575"/>
      <c r="CK33" s="576"/>
      <c r="CL33" s="577"/>
      <c r="CM33" s="576"/>
      <c r="CN33" s="578"/>
      <c r="CO33" s="579"/>
      <c r="CP33" s="574"/>
      <c r="CQ33" s="574"/>
      <c r="CR33" s="574"/>
      <c r="CS33" s="575"/>
      <c r="CT33" s="576"/>
      <c r="CU33" s="577"/>
      <c r="CV33" s="576"/>
      <c r="CW33" s="578"/>
      <c r="CX33" s="579"/>
      <c r="CY33" s="574"/>
      <c r="CZ33" s="574"/>
      <c r="DA33" s="574"/>
      <c r="DB33" s="575"/>
      <c r="DC33" s="576"/>
      <c r="DD33" s="577"/>
      <c r="DE33" s="576"/>
      <c r="DF33" s="578"/>
      <c r="DG33" s="579"/>
      <c r="DH33" s="574"/>
      <c r="DI33" s="574"/>
      <c r="DJ33" s="574"/>
      <c r="DK33" s="575"/>
      <c r="DL33" s="576"/>
      <c r="DM33" s="577"/>
      <c r="DN33" s="576"/>
      <c r="DO33" s="578"/>
      <c r="DP33" s="579"/>
      <c r="DQ33" s="574"/>
      <c r="DR33" s="574"/>
      <c r="DS33" s="574"/>
      <c r="DT33" s="575"/>
      <c r="DU33" s="576"/>
      <c r="DV33" s="577"/>
      <c r="DW33" s="576"/>
      <c r="DX33" s="578"/>
      <c r="DY33" s="579"/>
      <c r="DZ33" s="574"/>
      <c r="EA33" s="574"/>
      <c r="EB33" s="574"/>
      <c r="EC33" s="575"/>
      <c r="ED33" s="576"/>
      <c r="EE33" s="577"/>
      <c r="EF33" s="576"/>
      <c r="EG33" s="578"/>
      <c r="EH33" s="579"/>
      <c r="EI33" s="574"/>
      <c r="EJ33" s="574"/>
      <c r="EK33" s="574"/>
      <c r="EL33" s="575"/>
      <c r="EM33" s="576"/>
      <c r="EN33" s="577"/>
      <c r="EO33" s="576"/>
      <c r="EP33" s="578"/>
      <c r="EQ33" s="579"/>
      <c r="ER33" s="574"/>
      <c r="ES33" s="574"/>
      <c r="ET33" s="574"/>
      <c r="EU33" s="575"/>
      <c r="EV33" s="576"/>
      <c r="EW33" s="577"/>
      <c r="EX33" s="576"/>
      <c r="EY33" s="578"/>
      <c r="EZ33" s="579"/>
      <c r="FA33" s="574"/>
      <c r="FB33" s="574"/>
      <c r="FC33" s="574"/>
      <c r="FD33" s="575"/>
      <c r="FE33" s="576"/>
      <c r="FF33" s="577"/>
      <c r="FG33" s="576"/>
      <c r="FH33" s="578"/>
      <c r="FI33" s="579"/>
      <c r="FJ33" s="574"/>
      <c r="FK33" s="574"/>
      <c r="FL33" s="574"/>
      <c r="FM33" s="575"/>
      <c r="FN33" s="576"/>
      <c r="FO33" s="577"/>
      <c r="FP33" s="576"/>
      <c r="FQ33" s="578"/>
      <c r="FR33" s="579"/>
      <c r="FS33" s="574"/>
      <c r="FT33" s="574"/>
      <c r="FU33" s="574"/>
      <c r="FV33" s="575"/>
      <c r="FW33" s="576"/>
      <c r="FX33" s="577"/>
      <c r="FY33" s="576"/>
      <c r="FZ33" s="578"/>
      <c r="GA33" s="579"/>
      <c r="GB33" s="574"/>
      <c r="GC33" s="574"/>
      <c r="GD33" s="574"/>
      <c r="GE33" s="575"/>
      <c r="GF33" s="576"/>
      <c r="GG33" s="577"/>
      <c r="GH33" s="576"/>
      <c r="GI33" s="578"/>
      <c r="GJ33" s="579"/>
      <c r="GK33" s="574"/>
      <c r="GL33" s="574"/>
      <c r="GM33" s="574"/>
      <c r="GN33" s="575"/>
      <c r="GO33" s="576"/>
      <c r="GP33" s="577"/>
      <c r="GQ33" s="576"/>
      <c r="GR33" s="578"/>
      <c r="GS33" s="579"/>
      <c r="GT33" s="581">
        <v>42993</v>
      </c>
      <c r="GU33" s="98">
        <v>17584</v>
      </c>
      <c r="GV33" s="65" t="s">
        <v>732</v>
      </c>
      <c r="GW33" s="74"/>
      <c r="GX33" s="74"/>
      <c r="GY33" s="403" t="s">
        <v>808</v>
      </c>
      <c r="GZ33" s="404">
        <v>2088</v>
      </c>
    </row>
    <row r="34" spans="1:208" x14ac:dyDescent="0.25">
      <c r="D34" s="35"/>
      <c r="E34" s="36"/>
      <c r="F34" s="37"/>
      <c r="G34" s="38"/>
      <c r="H34" s="39"/>
      <c r="I34" s="40"/>
      <c r="J34" s="68" t="s">
        <v>708</v>
      </c>
      <c r="K34" s="451" t="s">
        <v>156</v>
      </c>
      <c r="L34" s="70">
        <v>18850</v>
      </c>
      <c r="M34" s="71">
        <v>42972</v>
      </c>
      <c r="N34" s="569" t="s">
        <v>783</v>
      </c>
      <c r="O34" s="72">
        <v>23695</v>
      </c>
      <c r="P34" s="113">
        <f t="shared" si="0"/>
        <v>4845</v>
      </c>
      <c r="Q34" s="117">
        <v>29</v>
      </c>
      <c r="R34" s="117"/>
      <c r="S34" s="89"/>
      <c r="T34" s="39">
        <f t="shared" si="1"/>
        <v>687155</v>
      </c>
      <c r="U34" s="582" t="s">
        <v>703</v>
      </c>
      <c r="V34" s="572">
        <v>42996</v>
      </c>
      <c r="W34" s="587">
        <v>15080</v>
      </c>
      <c r="X34" s="574"/>
      <c r="Y34" s="575"/>
      <c r="Z34" s="576"/>
      <c r="AA34" s="577"/>
      <c r="AB34" s="576"/>
      <c r="AC34" s="578"/>
      <c r="AD34" s="579"/>
      <c r="AE34" s="574"/>
      <c r="AF34" s="574"/>
      <c r="AG34" s="574"/>
      <c r="AH34" s="575"/>
      <c r="AI34" s="576"/>
      <c r="AJ34" s="577"/>
      <c r="AK34" s="576"/>
      <c r="AL34" s="578"/>
      <c r="AM34" s="579"/>
      <c r="AN34" s="574"/>
      <c r="AO34" s="574"/>
      <c r="AP34" s="574"/>
      <c r="AQ34" s="575"/>
      <c r="AR34" s="576"/>
      <c r="AS34" s="577"/>
      <c r="AT34" s="576"/>
      <c r="AU34" s="578"/>
      <c r="AV34" s="579"/>
      <c r="AW34" s="574"/>
      <c r="AX34" s="574"/>
      <c r="AY34" s="574"/>
      <c r="AZ34" s="575"/>
      <c r="BA34" s="576"/>
      <c r="BB34" s="577"/>
      <c r="BC34" s="576"/>
      <c r="BD34" s="578"/>
      <c r="BE34" s="579"/>
      <c r="BF34" s="574"/>
      <c r="BG34" s="574"/>
      <c r="BH34" s="574"/>
      <c r="BI34" s="575"/>
      <c r="BJ34" s="576"/>
      <c r="BK34" s="577"/>
      <c r="BL34" s="576"/>
      <c r="BM34" s="578"/>
      <c r="BN34" s="579"/>
      <c r="BO34" s="574"/>
      <c r="BP34" s="574"/>
      <c r="BQ34" s="574"/>
      <c r="BR34" s="575"/>
      <c r="BS34" s="576"/>
      <c r="BT34" s="577"/>
      <c r="BU34" s="576"/>
      <c r="BV34" s="578"/>
      <c r="BW34" s="579"/>
      <c r="BX34" s="574"/>
      <c r="BY34" s="574"/>
      <c r="BZ34" s="574"/>
      <c r="CA34" s="575"/>
      <c r="CB34" s="576"/>
      <c r="CC34" s="577"/>
      <c r="CD34" s="576"/>
      <c r="CE34" s="578"/>
      <c r="CF34" s="579"/>
      <c r="CG34" s="574"/>
      <c r="CH34" s="574"/>
      <c r="CI34" s="574"/>
      <c r="CJ34" s="575"/>
      <c r="CK34" s="576"/>
      <c r="CL34" s="577"/>
      <c r="CM34" s="576"/>
      <c r="CN34" s="578"/>
      <c r="CO34" s="579"/>
      <c r="CP34" s="574"/>
      <c r="CQ34" s="574"/>
      <c r="CR34" s="574"/>
      <c r="CS34" s="575"/>
      <c r="CT34" s="576"/>
      <c r="CU34" s="577"/>
      <c r="CV34" s="576"/>
      <c r="CW34" s="578"/>
      <c r="CX34" s="579"/>
      <c r="CY34" s="574"/>
      <c r="CZ34" s="574"/>
      <c r="DA34" s="574"/>
      <c r="DB34" s="575"/>
      <c r="DC34" s="576"/>
      <c r="DD34" s="577"/>
      <c r="DE34" s="576"/>
      <c r="DF34" s="578"/>
      <c r="DG34" s="579"/>
      <c r="DH34" s="574"/>
      <c r="DI34" s="574"/>
      <c r="DJ34" s="574"/>
      <c r="DK34" s="575"/>
      <c r="DL34" s="576"/>
      <c r="DM34" s="577"/>
      <c r="DN34" s="576"/>
      <c r="DO34" s="578"/>
      <c r="DP34" s="579"/>
      <c r="DQ34" s="574"/>
      <c r="DR34" s="574"/>
      <c r="DS34" s="574"/>
      <c r="DT34" s="575"/>
      <c r="DU34" s="576"/>
      <c r="DV34" s="577"/>
      <c r="DW34" s="576"/>
      <c r="DX34" s="578"/>
      <c r="DY34" s="579"/>
      <c r="DZ34" s="574"/>
      <c r="EA34" s="574"/>
      <c r="EB34" s="574"/>
      <c r="EC34" s="575"/>
      <c r="ED34" s="576"/>
      <c r="EE34" s="577"/>
      <c r="EF34" s="576"/>
      <c r="EG34" s="578"/>
      <c r="EH34" s="579"/>
      <c r="EI34" s="574"/>
      <c r="EJ34" s="574"/>
      <c r="EK34" s="574"/>
      <c r="EL34" s="575"/>
      <c r="EM34" s="576"/>
      <c r="EN34" s="577"/>
      <c r="EO34" s="576"/>
      <c r="EP34" s="578"/>
      <c r="EQ34" s="579"/>
      <c r="ER34" s="574"/>
      <c r="ES34" s="574"/>
      <c r="ET34" s="574"/>
      <c r="EU34" s="575"/>
      <c r="EV34" s="576"/>
      <c r="EW34" s="577"/>
      <c r="EX34" s="576"/>
      <c r="EY34" s="578"/>
      <c r="EZ34" s="579"/>
      <c r="FA34" s="574"/>
      <c r="FB34" s="574"/>
      <c r="FC34" s="574"/>
      <c r="FD34" s="575"/>
      <c r="FE34" s="576"/>
      <c r="FF34" s="577"/>
      <c r="FG34" s="576"/>
      <c r="FH34" s="578"/>
      <c r="FI34" s="579"/>
      <c r="FJ34" s="574"/>
      <c r="FK34" s="574"/>
      <c r="FL34" s="574"/>
      <c r="FM34" s="575"/>
      <c r="FN34" s="576"/>
      <c r="FO34" s="577"/>
      <c r="FP34" s="576"/>
      <c r="FQ34" s="578"/>
      <c r="FR34" s="579"/>
      <c r="FS34" s="574"/>
      <c r="FT34" s="574"/>
      <c r="FU34" s="574"/>
      <c r="FV34" s="575"/>
      <c r="FW34" s="576"/>
      <c r="FX34" s="577"/>
      <c r="FY34" s="576"/>
      <c r="FZ34" s="578"/>
      <c r="GA34" s="579"/>
      <c r="GB34" s="574"/>
      <c r="GC34" s="574"/>
      <c r="GD34" s="574"/>
      <c r="GE34" s="575"/>
      <c r="GF34" s="576"/>
      <c r="GG34" s="577"/>
      <c r="GH34" s="576"/>
      <c r="GI34" s="578"/>
      <c r="GJ34" s="579"/>
      <c r="GK34" s="574"/>
      <c r="GL34" s="574"/>
      <c r="GM34" s="574"/>
      <c r="GN34" s="575"/>
      <c r="GO34" s="576"/>
      <c r="GP34" s="577"/>
      <c r="GQ34" s="576"/>
      <c r="GR34" s="578"/>
      <c r="GS34" s="579"/>
      <c r="GT34" s="581">
        <v>42996</v>
      </c>
      <c r="GU34" s="98">
        <v>22176</v>
      </c>
      <c r="GV34" s="65" t="s">
        <v>734</v>
      </c>
      <c r="GW34" s="74"/>
      <c r="GX34" s="74"/>
      <c r="GY34" s="403" t="s">
        <v>808</v>
      </c>
      <c r="GZ34" s="404">
        <v>3944</v>
      </c>
    </row>
    <row r="35" spans="1:208" x14ac:dyDescent="0.25">
      <c r="D35" s="35"/>
      <c r="E35" s="36"/>
      <c r="F35" s="37"/>
      <c r="G35" s="38"/>
      <c r="H35" s="39"/>
      <c r="I35" s="40"/>
      <c r="J35" s="68" t="s">
        <v>96</v>
      </c>
      <c r="K35" s="407" t="s">
        <v>35</v>
      </c>
      <c r="L35" s="70">
        <v>11700</v>
      </c>
      <c r="M35" s="71">
        <v>42972</v>
      </c>
      <c r="N35" s="569" t="s">
        <v>782</v>
      </c>
      <c r="O35" s="72">
        <v>15050</v>
      </c>
      <c r="P35" s="113">
        <f t="shared" si="0"/>
        <v>3350</v>
      </c>
      <c r="Q35" s="64">
        <v>29</v>
      </c>
      <c r="R35" s="124"/>
      <c r="S35" s="117"/>
      <c r="T35" s="39">
        <f t="shared" si="1"/>
        <v>436450</v>
      </c>
      <c r="U35" s="582" t="s">
        <v>703</v>
      </c>
      <c r="V35" s="572">
        <v>42996</v>
      </c>
      <c r="W35" s="590">
        <v>9802</v>
      </c>
      <c r="X35" s="574"/>
      <c r="Y35" s="575"/>
      <c r="Z35" s="576"/>
      <c r="AA35" s="577"/>
      <c r="AB35" s="576"/>
      <c r="AC35" s="578"/>
      <c r="AD35" s="579"/>
      <c r="AE35" s="574"/>
      <c r="AF35" s="574"/>
      <c r="AG35" s="574"/>
      <c r="AH35" s="575"/>
      <c r="AI35" s="576"/>
      <c r="AJ35" s="577"/>
      <c r="AK35" s="576"/>
      <c r="AL35" s="578"/>
      <c r="AM35" s="579"/>
      <c r="AN35" s="574"/>
      <c r="AO35" s="574"/>
      <c r="AP35" s="574"/>
      <c r="AQ35" s="575"/>
      <c r="AR35" s="576"/>
      <c r="AS35" s="577"/>
      <c r="AT35" s="576"/>
      <c r="AU35" s="578"/>
      <c r="AV35" s="579"/>
      <c r="AW35" s="574"/>
      <c r="AX35" s="574"/>
      <c r="AY35" s="574"/>
      <c r="AZ35" s="575"/>
      <c r="BA35" s="576"/>
      <c r="BB35" s="577"/>
      <c r="BC35" s="576"/>
      <c r="BD35" s="578"/>
      <c r="BE35" s="579"/>
      <c r="BF35" s="574"/>
      <c r="BG35" s="574"/>
      <c r="BH35" s="574"/>
      <c r="BI35" s="575"/>
      <c r="BJ35" s="576"/>
      <c r="BK35" s="577"/>
      <c r="BL35" s="576"/>
      <c r="BM35" s="578"/>
      <c r="BN35" s="579"/>
      <c r="BO35" s="574"/>
      <c r="BP35" s="574"/>
      <c r="BQ35" s="574"/>
      <c r="BR35" s="575"/>
      <c r="BS35" s="576"/>
      <c r="BT35" s="577"/>
      <c r="BU35" s="576"/>
      <c r="BV35" s="578"/>
      <c r="BW35" s="579"/>
      <c r="BX35" s="574"/>
      <c r="BY35" s="574"/>
      <c r="BZ35" s="574"/>
      <c r="CA35" s="575"/>
      <c r="CB35" s="576"/>
      <c r="CC35" s="577"/>
      <c r="CD35" s="576"/>
      <c r="CE35" s="578"/>
      <c r="CF35" s="579"/>
      <c r="CG35" s="574"/>
      <c r="CH35" s="574"/>
      <c r="CI35" s="574"/>
      <c r="CJ35" s="575"/>
      <c r="CK35" s="576"/>
      <c r="CL35" s="577"/>
      <c r="CM35" s="576"/>
      <c r="CN35" s="578"/>
      <c r="CO35" s="579"/>
      <c r="CP35" s="574"/>
      <c r="CQ35" s="574"/>
      <c r="CR35" s="574"/>
      <c r="CS35" s="575"/>
      <c r="CT35" s="576"/>
      <c r="CU35" s="577"/>
      <c r="CV35" s="576"/>
      <c r="CW35" s="578"/>
      <c r="CX35" s="579"/>
      <c r="CY35" s="574"/>
      <c r="CZ35" s="574"/>
      <c r="DA35" s="574"/>
      <c r="DB35" s="575"/>
      <c r="DC35" s="576"/>
      <c r="DD35" s="577"/>
      <c r="DE35" s="576"/>
      <c r="DF35" s="578"/>
      <c r="DG35" s="579"/>
      <c r="DH35" s="574"/>
      <c r="DI35" s="574"/>
      <c r="DJ35" s="574"/>
      <c r="DK35" s="575"/>
      <c r="DL35" s="576"/>
      <c r="DM35" s="577"/>
      <c r="DN35" s="576"/>
      <c r="DO35" s="578"/>
      <c r="DP35" s="579"/>
      <c r="DQ35" s="574"/>
      <c r="DR35" s="574"/>
      <c r="DS35" s="574"/>
      <c r="DT35" s="575"/>
      <c r="DU35" s="576"/>
      <c r="DV35" s="577"/>
      <c r="DW35" s="576"/>
      <c r="DX35" s="578"/>
      <c r="DY35" s="579"/>
      <c r="DZ35" s="574"/>
      <c r="EA35" s="574"/>
      <c r="EB35" s="574"/>
      <c r="EC35" s="575"/>
      <c r="ED35" s="576"/>
      <c r="EE35" s="577"/>
      <c r="EF35" s="576"/>
      <c r="EG35" s="578"/>
      <c r="EH35" s="579"/>
      <c r="EI35" s="574"/>
      <c r="EJ35" s="574"/>
      <c r="EK35" s="574"/>
      <c r="EL35" s="575"/>
      <c r="EM35" s="576"/>
      <c r="EN35" s="577"/>
      <c r="EO35" s="576"/>
      <c r="EP35" s="578"/>
      <c r="EQ35" s="579"/>
      <c r="ER35" s="574"/>
      <c r="ES35" s="574"/>
      <c r="ET35" s="574"/>
      <c r="EU35" s="575"/>
      <c r="EV35" s="576"/>
      <c r="EW35" s="577"/>
      <c r="EX35" s="576"/>
      <c r="EY35" s="578"/>
      <c r="EZ35" s="579"/>
      <c r="FA35" s="574"/>
      <c r="FB35" s="574"/>
      <c r="FC35" s="574"/>
      <c r="FD35" s="575"/>
      <c r="FE35" s="576"/>
      <c r="FF35" s="577"/>
      <c r="FG35" s="576"/>
      <c r="FH35" s="578"/>
      <c r="FI35" s="579"/>
      <c r="FJ35" s="574"/>
      <c r="FK35" s="574"/>
      <c r="FL35" s="574"/>
      <c r="FM35" s="575"/>
      <c r="FN35" s="576"/>
      <c r="FO35" s="577"/>
      <c r="FP35" s="576"/>
      <c r="FQ35" s="578"/>
      <c r="FR35" s="579"/>
      <c r="FS35" s="574"/>
      <c r="FT35" s="574"/>
      <c r="FU35" s="574"/>
      <c r="FV35" s="575"/>
      <c r="FW35" s="576"/>
      <c r="FX35" s="577"/>
      <c r="FY35" s="576"/>
      <c r="FZ35" s="578"/>
      <c r="GA35" s="579"/>
      <c r="GB35" s="574"/>
      <c r="GC35" s="574"/>
      <c r="GD35" s="574"/>
      <c r="GE35" s="575"/>
      <c r="GF35" s="576"/>
      <c r="GG35" s="577"/>
      <c r="GH35" s="576"/>
      <c r="GI35" s="578"/>
      <c r="GJ35" s="579"/>
      <c r="GK35" s="574"/>
      <c r="GL35" s="574"/>
      <c r="GM35" s="574"/>
      <c r="GN35" s="575"/>
      <c r="GO35" s="576"/>
      <c r="GP35" s="577"/>
      <c r="GQ35" s="576"/>
      <c r="GR35" s="578"/>
      <c r="GS35" s="579"/>
      <c r="GT35" s="589">
        <v>42996</v>
      </c>
      <c r="GU35" s="98">
        <v>17584</v>
      </c>
      <c r="GV35" s="65" t="s">
        <v>733</v>
      </c>
      <c r="GW35" s="74"/>
      <c r="GX35" s="74"/>
      <c r="GY35" s="403" t="s">
        <v>808</v>
      </c>
      <c r="GZ35" s="404">
        <v>2088</v>
      </c>
    </row>
    <row r="36" spans="1:208" ht="30" x14ac:dyDescent="0.25">
      <c r="D36" s="35"/>
      <c r="E36" s="36"/>
      <c r="F36" s="37"/>
      <c r="G36" s="38"/>
      <c r="H36" s="39"/>
      <c r="I36" s="40"/>
      <c r="J36" s="68" t="s">
        <v>42</v>
      </c>
      <c r="K36" s="407" t="s">
        <v>485</v>
      </c>
      <c r="L36" s="70">
        <v>23390</v>
      </c>
      <c r="M36" s="71">
        <v>42974</v>
      </c>
      <c r="N36" s="569" t="s">
        <v>784</v>
      </c>
      <c r="O36" s="72">
        <f>29590-229.38</f>
        <v>29360.62</v>
      </c>
      <c r="P36" s="113">
        <f t="shared" si="0"/>
        <v>5970.619999999999</v>
      </c>
      <c r="Q36" s="64">
        <v>28.5</v>
      </c>
      <c r="R36" s="124"/>
      <c r="S36" s="125"/>
      <c r="T36" s="39">
        <f t="shared" si="1"/>
        <v>836777.66999999993</v>
      </c>
      <c r="U36" s="582" t="s">
        <v>703</v>
      </c>
      <c r="V36" s="572">
        <v>42998</v>
      </c>
      <c r="W36" s="590">
        <v>19453.2</v>
      </c>
      <c r="X36" s="574"/>
      <c r="Y36" s="575"/>
      <c r="Z36" s="576"/>
      <c r="AA36" s="577"/>
      <c r="AB36" s="576"/>
      <c r="AC36" s="578"/>
      <c r="AD36" s="579"/>
      <c r="AE36" s="574"/>
      <c r="AF36" s="574"/>
      <c r="AG36" s="574"/>
      <c r="AH36" s="575"/>
      <c r="AI36" s="576"/>
      <c r="AJ36" s="577"/>
      <c r="AK36" s="576"/>
      <c r="AL36" s="578"/>
      <c r="AM36" s="579"/>
      <c r="AN36" s="574"/>
      <c r="AO36" s="574"/>
      <c r="AP36" s="574"/>
      <c r="AQ36" s="575"/>
      <c r="AR36" s="576"/>
      <c r="AS36" s="577"/>
      <c r="AT36" s="576"/>
      <c r="AU36" s="578"/>
      <c r="AV36" s="579"/>
      <c r="AW36" s="574"/>
      <c r="AX36" s="574"/>
      <c r="AY36" s="574"/>
      <c r="AZ36" s="575"/>
      <c r="BA36" s="576"/>
      <c r="BB36" s="577"/>
      <c r="BC36" s="576"/>
      <c r="BD36" s="578"/>
      <c r="BE36" s="579"/>
      <c r="BF36" s="574"/>
      <c r="BG36" s="574"/>
      <c r="BH36" s="574"/>
      <c r="BI36" s="575"/>
      <c r="BJ36" s="576"/>
      <c r="BK36" s="577"/>
      <c r="BL36" s="576"/>
      <c r="BM36" s="578"/>
      <c r="BN36" s="579"/>
      <c r="BO36" s="574"/>
      <c r="BP36" s="574"/>
      <c r="BQ36" s="574"/>
      <c r="BR36" s="575"/>
      <c r="BS36" s="576"/>
      <c r="BT36" s="577"/>
      <c r="BU36" s="576"/>
      <c r="BV36" s="578"/>
      <c r="BW36" s="579"/>
      <c r="BX36" s="574"/>
      <c r="BY36" s="574"/>
      <c r="BZ36" s="574"/>
      <c r="CA36" s="575"/>
      <c r="CB36" s="576"/>
      <c r="CC36" s="577"/>
      <c r="CD36" s="576"/>
      <c r="CE36" s="578"/>
      <c r="CF36" s="579"/>
      <c r="CG36" s="574"/>
      <c r="CH36" s="574"/>
      <c r="CI36" s="574"/>
      <c r="CJ36" s="575"/>
      <c r="CK36" s="576"/>
      <c r="CL36" s="577"/>
      <c r="CM36" s="576"/>
      <c r="CN36" s="578"/>
      <c r="CO36" s="579"/>
      <c r="CP36" s="574"/>
      <c r="CQ36" s="574"/>
      <c r="CR36" s="574"/>
      <c r="CS36" s="575"/>
      <c r="CT36" s="576"/>
      <c r="CU36" s="577"/>
      <c r="CV36" s="576"/>
      <c r="CW36" s="578"/>
      <c r="CX36" s="579"/>
      <c r="CY36" s="574"/>
      <c r="CZ36" s="574"/>
      <c r="DA36" s="574"/>
      <c r="DB36" s="575"/>
      <c r="DC36" s="576"/>
      <c r="DD36" s="577"/>
      <c r="DE36" s="576"/>
      <c r="DF36" s="578"/>
      <c r="DG36" s="579"/>
      <c r="DH36" s="574"/>
      <c r="DI36" s="574"/>
      <c r="DJ36" s="574"/>
      <c r="DK36" s="575"/>
      <c r="DL36" s="576"/>
      <c r="DM36" s="577"/>
      <c r="DN36" s="576"/>
      <c r="DO36" s="578"/>
      <c r="DP36" s="579"/>
      <c r="DQ36" s="574"/>
      <c r="DR36" s="574"/>
      <c r="DS36" s="574"/>
      <c r="DT36" s="575"/>
      <c r="DU36" s="576"/>
      <c r="DV36" s="577"/>
      <c r="DW36" s="576"/>
      <c r="DX36" s="578"/>
      <c r="DY36" s="579"/>
      <c r="DZ36" s="574"/>
      <c r="EA36" s="574"/>
      <c r="EB36" s="574"/>
      <c r="EC36" s="575"/>
      <c r="ED36" s="576"/>
      <c r="EE36" s="577"/>
      <c r="EF36" s="576"/>
      <c r="EG36" s="578"/>
      <c r="EH36" s="579"/>
      <c r="EI36" s="574"/>
      <c r="EJ36" s="574"/>
      <c r="EK36" s="574"/>
      <c r="EL36" s="575"/>
      <c r="EM36" s="576"/>
      <c r="EN36" s="577"/>
      <c r="EO36" s="576"/>
      <c r="EP36" s="578"/>
      <c r="EQ36" s="579"/>
      <c r="ER36" s="574"/>
      <c r="ES36" s="574"/>
      <c r="ET36" s="574"/>
      <c r="EU36" s="575"/>
      <c r="EV36" s="576"/>
      <c r="EW36" s="577"/>
      <c r="EX36" s="576"/>
      <c r="EY36" s="578"/>
      <c r="EZ36" s="579"/>
      <c r="FA36" s="574"/>
      <c r="FB36" s="574"/>
      <c r="FC36" s="574"/>
      <c r="FD36" s="575"/>
      <c r="FE36" s="576"/>
      <c r="FF36" s="577"/>
      <c r="FG36" s="576"/>
      <c r="FH36" s="578"/>
      <c r="FI36" s="579"/>
      <c r="FJ36" s="574"/>
      <c r="FK36" s="574"/>
      <c r="FL36" s="574"/>
      <c r="FM36" s="575"/>
      <c r="FN36" s="576"/>
      <c r="FO36" s="577"/>
      <c r="FP36" s="576"/>
      <c r="FQ36" s="578"/>
      <c r="FR36" s="579"/>
      <c r="FS36" s="574"/>
      <c r="FT36" s="574"/>
      <c r="FU36" s="574"/>
      <c r="FV36" s="575"/>
      <c r="FW36" s="576"/>
      <c r="FX36" s="577"/>
      <c r="FY36" s="576"/>
      <c r="FZ36" s="578"/>
      <c r="GA36" s="579"/>
      <c r="GB36" s="574"/>
      <c r="GC36" s="574"/>
      <c r="GD36" s="574"/>
      <c r="GE36" s="575"/>
      <c r="GF36" s="576"/>
      <c r="GG36" s="577"/>
      <c r="GH36" s="576"/>
      <c r="GI36" s="578"/>
      <c r="GJ36" s="579"/>
      <c r="GK36" s="574"/>
      <c r="GL36" s="574"/>
      <c r="GM36" s="574"/>
      <c r="GN36" s="575"/>
      <c r="GO36" s="576"/>
      <c r="GP36" s="577"/>
      <c r="GQ36" s="576"/>
      <c r="GR36" s="578"/>
      <c r="GS36" s="579"/>
      <c r="GT36" s="589">
        <v>42998</v>
      </c>
      <c r="GU36" s="591"/>
      <c r="GV36" s="592"/>
      <c r="GW36" s="74"/>
      <c r="GX36" s="74"/>
      <c r="GY36" s="403" t="s">
        <v>808</v>
      </c>
      <c r="GZ36" s="404">
        <v>3944</v>
      </c>
    </row>
    <row r="37" spans="1:208" x14ac:dyDescent="0.25">
      <c r="A37"/>
      <c r="D37" s="35"/>
      <c r="E37" s="36"/>
      <c r="F37" s="37"/>
      <c r="G37" s="38"/>
      <c r="H37" s="39"/>
      <c r="I37" s="40"/>
      <c r="J37" s="68" t="s">
        <v>213</v>
      </c>
      <c r="K37" s="407" t="s">
        <v>67</v>
      </c>
      <c r="L37" s="70">
        <v>18290</v>
      </c>
      <c r="M37" s="71">
        <v>42975</v>
      </c>
      <c r="N37" s="569" t="s">
        <v>789</v>
      </c>
      <c r="O37" s="72">
        <v>23105</v>
      </c>
      <c r="P37" s="113">
        <f t="shared" si="0"/>
        <v>4815</v>
      </c>
      <c r="Q37" s="126">
        <v>28.5</v>
      </c>
      <c r="R37" s="127"/>
      <c r="S37" s="127"/>
      <c r="T37" s="39">
        <f t="shared" si="1"/>
        <v>658492.5</v>
      </c>
      <c r="U37" s="582" t="s">
        <v>703</v>
      </c>
      <c r="V37" s="572">
        <v>43000</v>
      </c>
      <c r="W37" s="587">
        <v>15004.6</v>
      </c>
      <c r="X37" s="574"/>
      <c r="Y37" s="575"/>
      <c r="Z37" s="576"/>
      <c r="AA37" s="577"/>
      <c r="AB37" s="576"/>
      <c r="AC37" s="578"/>
      <c r="AD37" s="579"/>
      <c r="AE37" s="574"/>
      <c r="AF37" s="574"/>
      <c r="AG37" s="574"/>
      <c r="AH37" s="575"/>
      <c r="AI37" s="576"/>
      <c r="AJ37" s="577"/>
      <c r="AK37" s="576"/>
      <c r="AL37" s="578"/>
      <c r="AM37" s="579"/>
      <c r="AN37" s="574"/>
      <c r="AO37" s="574"/>
      <c r="AP37" s="574"/>
      <c r="AQ37" s="575"/>
      <c r="AR37" s="576"/>
      <c r="AS37" s="577"/>
      <c r="AT37" s="576"/>
      <c r="AU37" s="578"/>
      <c r="AV37" s="579"/>
      <c r="AW37" s="574"/>
      <c r="AX37" s="574"/>
      <c r="AY37" s="574"/>
      <c r="AZ37" s="575"/>
      <c r="BA37" s="576"/>
      <c r="BB37" s="577"/>
      <c r="BC37" s="576"/>
      <c r="BD37" s="578"/>
      <c r="BE37" s="579"/>
      <c r="BF37" s="574"/>
      <c r="BG37" s="574"/>
      <c r="BH37" s="574"/>
      <c r="BI37" s="575"/>
      <c r="BJ37" s="576"/>
      <c r="BK37" s="577"/>
      <c r="BL37" s="576"/>
      <c r="BM37" s="578"/>
      <c r="BN37" s="579"/>
      <c r="BO37" s="574"/>
      <c r="BP37" s="574"/>
      <c r="BQ37" s="574"/>
      <c r="BR37" s="575"/>
      <c r="BS37" s="576"/>
      <c r="BT37" s="577"/>
      <c r="BU37" s="576"/>
      <c r="BV37" s="578"/>
      <c r="BW37" s="579"/>
      <c r="BX37" s="574"/>
      <c r="BY37" s="574"/>
      <c r="BZ37" s="574"/>
      <c r="CA37" s="575"/>
      <c r="CB37" s="576"/>
      <c r="CC37" s="577"/>
      <c r="CD37" s="576"/>
      <c r="CE37" s="578"/>
      <c r="CF37" s="579"/>
      <c r="CG37" s="574"/>
      <c r="CH37" s="574"/>
      <c r="CI37" s="574"/>
      <c r="CJ37" s="575"/>
      <c r="CK37" s="576"/>
      <c r="CL37" s="577"/>
      <c r="CM37" s="576"/>
      <c r="CN37" s="578"/>
      <c r="CO37" s="579"/>
      <c r="CP37" s="574"/>
      <c r="CQ37" s="574"/>
      <c r="CR37" s="574"/>
      <c r="CS37" s="575"/>
      <c r="CT37" s="576"/>
      <c r="CU37" s="577"/>
      <c r="CV37" s="576"/>
      <c r="CW37" s="578"/>
      <c r="CX37" s="579"/>
      <c r="CY37" s="574"/>
      <c r="CZ37" s="574"/>
      <c r="DA37" s="574"/>
      <c r="DB37" s="575"/>
      <c r="DC37" s="576"/>
      <c r="DD37" s="577"/>
      <c r="DE37" s="576"/>
      <c r="DF37" s="578"/>
      <c r="DG37" s="579"/>
      <c r="DH37" s="574"/>
      <c r="DI37" s="574"/>
      <c r="DJ37" s="574"/>
      <c r="DK37" s="575"/>
      <c r="DL37" s="576"/>
      <c r="DM37" s="577"/>
      <c r="DN37" s="576"/>
      <c r="DO37" s="578"/>
      <c r="DP37" s="579"/>
      <c r="DQ37" s="574"/>
      <c r="DR37" s="574"/>
      <c r="DS37" s="574"/>
      <c r="DT37" s="575"/>
      <c r="DU37" s="576"/>
      <c r="DV37" s="577"/>
      <c r="DW37" s="576"/>
      <c r="DX37" s="578"/>
      <c r="DY37" s="579"/>
      <c r="DZ37" s="574"/>
      <c r="EA37" s="574"/>
      <c r="EB37" s="574"/>
      <c r="EC37" s="575"/>
      <c r="ED37" s="576"/>
      <c r="EE37" s="577"/>
      <c r="EF37" s="576"/>
      <c r="EG37" s="578"/>
      <c r="EH37" s="579"/>
      <c r="EI37" s="574"/>
      <c r="EJ37" s="574"/>
      <c r="EK37" s="574"/>
      <c r="EL37" s="575"/>
      <c r="EM37" s="576"/>
      <c r="EN37" s="577"/>
      <c r="EO37" s="576"/>
      <c r="EP37" s="578"/>
      <c r="EQ37" s="579"/>
      <c r="ER37" s="574"/>
      <c r="ES37" s="574"/>
      <c r="ET37" s="574"/>
      <c r="EU37" s="575"/>
      <c r="EV37" s="576"/>
      <c r="EW37" s="577"/>
      <c r="EX37" s="576"/>
      <c r="EY37" s="578"/>
      <c r="EZ37" s="579"/>
      <c r="FA37" s="574"/>
      <c r="FB37" s="574"/>
      <c r="FC37" s="574"/>
      <c r="FD37" s="575"/>
      <c r="FE37" s="576"/>
      <c r="FF37" s="577"/>
      <c r="FG37" s="576"/>
      <c r="FH37" s="578"/>
      <c r="FI37" s="579"/>
      <c r="FJ37" s="574"/>
      <c r="FK37" s="574"/>
      <c r="FL37" s="574"/>
      <c r="FM37" s="575"/>
      <c r="FN37" s="576"/>
      <c r="FO37" s="577"/>
      <c r="FP37" s="576"/>
      <c r="FQ37" s="578"/>
      <c r="FR37" s="579"/>
      <c r="FS37" s="574"/>
      <c r="FT37" s="574"/>
      <c r="FU37" s="574"/>
      <c r="FV37" s="575"/>
      <c r="FW37" s="576"/>
      <c r="FX37" s="577"/>
      <c r="FY37" s="576"/>
      <c r="FZ37" s="578"/>
      <c r="GA37" s="579"/>
      <c r="GB37" s="574"/>
      <c r="GC37" s="574"/>
      <c r="GD37" s="574"/>
      <c r="GE37" s="575"/>
      <c r="GF37" s="576"/>
      <c r="GG37" s="577"/>
      <c r="GH37" s="576"/>
      <c r="GI37" s="578"/>
      <c r="GJ37" s="579"/>
      <c r="GK37" s="574"/>
      <c r="GL37" s="574"/>
      <c r="GM37" s="574"/>
      <c r="GN37" s="575"/>
      <c r="GO37" s="576"/>
      <c r="GP37" s="577"/>
      <c r="GQ37" s="576"/>
      <c r="GR37" s="578"/>
      <c r="GS37" s="579"/>
      <c r="GT37" s="606">
        <v>43000</v>
      </c>
      <c r="GU37" s="591">
        <v>22176</v>
      </c>
      <c r="GV37" s="592" t="s">
        <v>757</v>
      </c>
      <c r="GW37" s="74"/>
      <c r="GX37" s="74"/>
      <c r="GY37" s="403" t="s">
        <v>808</v>
      </c>
      <c r="GZ37" s="404">
        <v>3944</v>
      </c>
    </row>
    <row r="38" spans="1:208" x14ac:dyDescent="0.25">
      <c r="A38"/>
      <c r="D38" s="35"/>
      <c r="E38" s="36"/>
      <c r="F38" s="37"/>
      <c r="G38" s="38"/>
      <c r="H38" s="39"/>
      <c r="I38" s="40"/>
      <c r="J38" s="68" t="s">
        <v>713</v>
      </c>
      <c r="K38" s="407" t="s">
        <v>786</v>
      </c>
      <c r="L38" s="70">
        <v>17040</v>
      </c>
      <c r="M38" s="71">
        <v>42976</v>
      </c>
      <c r="N38" s="569" t="s">
        <v>785</v>
      </c>
      <c r="O38" s="72">
        <v>19720</v>
      </c>
      <c r="P38" s="113">
        <f t="shared" si="0"/>
        <v>2680</v>
      </c>
      <c r="Q38" s="117">
        <v>28.5</v>
      </c>
      <c r="R38" s="127"/>
      <c r="S38" s="127"/>
      <c r="T38" s="39">
        <f t="shared" si="1"/>
        <v>562020</v>
      </c>
      <c r="U38" s="582" t="s">
        <v>703</v>
      </c>
      <c r="V38" s="572">
        <v>42998</v>
      </c>
      <c r="W38" s="587">
        <v>13798.2</v>
      </c>
      <c r="X38" s="574"/>
      <c r="Y38" s="575"/>
      <c r="Z38" s="576"/>
      <c r="AA38" s="577"/>
      <c r="AB38" s="576"/>
      <c r="AC38" s="578"/>
      <c r="AD38" s="579"/>
      <c r="AE38" s="574"/>
      <c r="AF38" s="574"/>
      <c r="AG38" s="574"/>
      <c r="AH38" s="575"/>
      <c r="AI38" s="576"/>
      <c r="AJ38" s="577"/>
      <c r="AK38" s="576"/>
      <c r="AL38" s="578"/>
      <c r="AM38" s="579"/>
      <c r="AN38" s="574"/>
      <c r="AO38" s="574"/>
      <c r="AP38" s="574"/>
      <c r="AQ38" s="575"/>
      <c r="AR38" s="576"/>
      <c r="AS38" s="577"/>
      <c r="AT38" s="576"/>
      <c r="AU38" s="578"/>
      <c r="AV38" s="579"/>
      <c r="AW38" s="574"/>
      <c r="AX38" s="574"/>
      <c r="AY38" s="574"/>
      <c r="AZ38" s="575"/>
      <c r="BA38" s="576"/>
      <c r="BB38" s="577"/>
      <c r="BC38" s="576"/>
      <c r="BD38" s="578"/>
      <c r="BE38" s="579"/>
      <c r="BF38" s="574"/>
      <c r="BG38" s="574"/>
      <c r="BH38" s="574"/>
      <c r="BI38" s="575"/>
      <c r="BJ38" s="576"/>
      <c r="BK38" s="577"/>
      <c r="BL38" s="576"/>
      <c r="BM38" s="578"/>
      <c r="BN38" s="579"/>
      <c r="BO38" s="574"/>
      <c r="BP38" s="574"/>
      <c r="BQ38" s="574"/>
      <c r="BR38" s="575"/>
      <c r="BS38" s="576"/>
      <c r="BT38" s="577"/>
      <c r="BU38" s="576"/>
      <c r="BV38" s="578"/>
      <c r="BW38" s="579"/>
      <c r="BX38" s="574"/>
      <c r="BY38" s="574"/>
      <c r="BZ38" s="574"/>
      <c r="CA38" s="575"/>
      <c r="CB38" s="576"/>
      <c r="CC38" s="577"/>
      <c r="CD38" s="576"/>
      <c r="CE38" s="578"/>
      <c r="CF38" s="579"/>
      <c r="CG38" s="574"/>
      <c r="CH38" s="574"/>
      <c r="CI38" s="574"/>
      <c r="CJ38" s="575"/>
      <c r="CK38" s="576"/>
      <c r="CL38" s="577"/>
      <c r="CM38" s="576"/>
      <c r="CN38" s="578"/>
      <c r="CO38" s="579"/>
      <c r="CP38" s="574"/>
      <c r="CQ38" s="574"/>
      <c r="CR38" s="574"/>
      <c r="CS38" s="575"/>
      <c r="CT38" s="576"/>
      <c r="CU38" s="577"/>
      <c r="CV38" s="576"/>
      <c r="CW38" s="578"/>
      <c r="CX38" s="579"/>
      <c r="CY38" s="574"/>
      <c r="CZ38" s="574"/>
      <c r="DA38" s="574"/>
      <c r="DB38" s="575"/>
      <c r="DC38" s="576"/>
      <c r="DD38" s="577"/>
      <c r="DE38" s="576"/>
      <c r="DF38" s="578"/>
      <c r="DG38" s="579"/>
      <c r="DH38" s="574"/>
      <c r="DI38" s="574"/>
      <c r="DJ38" s="574"/>
      <c r="DK38" s="575"/>
      <c r="DL38" s="576"/>
      <c r="DM38" s="577"/>
      <c r="DN38" s="576"/>
      <c r="DO38" s="578"/>
      <c r="DP38" s="579"/>
      <c r="DQ38" s="574"/>
      <c r="DR38" s="574"/>
      <c r="DS38" s="574"/>
      <c r="DT38" s="575"/>
      <c r="DU38" s="576"/>
      <c r="DV38" s="577"/>
      <c r="DW38" s="576"/>
      <c r="DX38" s="578"/>
      <c r="DY38" s="579"/>
      <c r="DZ38" s="574"/>
      <c r="EA38" s="574"/>
      <c r="EB38" s="574"/>
      <c r="EC38" s="575"/>
      <c r="ED38" s="576"/>
      <c r="EE38" s="577"/>
      <c r="EF38" s="576"/>
      <c r="EG38" s="578"/>
      <c r="EH38" s="579"/>
      <c r="EI38" s="574"/>
      <c r="EJ38" s="574"/>
      <c r="EK38" s="574"/>
      <c r="EL38" s="575"/>
      <c r="EM38" s="576"/>
      <c r="EN38" s="577"/>
      <c r="EO38" s="576"/>
      <c r="EP38" s="578"/>
      <c r="EQ38" s="579"/>
      <c r="ER38" s="574"/>
      <c r="ES38" s="574"/>
      <c r="ET38" s="574"/>
      <c r="EU38" s="575"/>
      <c r="EV38" s="576"/>
      <c r="EW38" s="577"/>
      <c r="EX38" s="576"/>
      <c r="EY38" s="578"/>
      <c r="EZ38" s="579"/>
      <c r="FA38" s="574"/>
      <c r="FB38" s="574"/>
      <c r="FC38" s="574"/>
      <c r="FD38" s="575"/>
      <c r="FE38" s="576"/>
      <c r="FF38" s="577"/>
      <c r="FG38" s="576"/>
      <c r="FH38" s="578"/>
      <c r="FI38" s="579"/>
      <c r="FJ38" s="574"/>
      <c r="FK38" s="574"/>
      <c r="FL38" s="574"/>
      <c r="FM38" s="575"/>
      <c r="FN38" s="576"/>
      <c r="FO38" s="577"/>
      <c r="FP38" s="576"/>
      <c r="FQ38" s="578"/>
      <c r="FR38" s="579"/>
      <c r="FS38" s="574"/>
      <c r="FT38" s="574"/>
      <c r="FU38" s="574"/>
      <c r="FV38" s="575"/>
      <c r="FW38" s="576"/>
      <c r="FX38" s="577"/>
      <c r="FY38" s="576"/>
      <c r="FZ38" s="578"/>
      <c r="GA38" s="579"/>
      <c r="GB38" s="574"/>
      <c r="GC38" s="574"/>
      <c r="GD38" s="574"/>
      <c r="GE38" s="575"/>
      <c r="GF38" s="576"/>
      <c r="GG38" s="577"/>
      <c r="GH38" s="576"/>
      <c r="GI38" s="578"/>
      <c r="GJ38" s="579"/>
      <c r="GK38" s="574"/>
      <c r="GL38" s="574"/>
      <c r="GM38" s="574"/>
      <c r="GN38" s="575"/>
      <c r="GO38" s="576"/>
      <c r="GP38" s="577"/>
      <c r="GQ38" s="576"/>
      <c r="GR38" s="578"/>
      <c r="GS38" s="579"/>
      <c r="GT38" s="581">
        <v>42998</v>
      </c>
      <c r="GU38" s="591"/>
      <c r="GV38" s="592"/>
      <c r="GW38" s="74"/>
      <c r="GX38" s="74"/>
      <c r="GY38" s="403" t="s">
        <v>808</v>
      </c>
      <c r="GZ38" s="404">
        <v>3944</v>
      </c>
    </row>
    <row r="39" spans="1:208" x14ac:dyDescent="0.25">
      <c r="A39"/>
      <c r="D39" s="35"/>
      <c r="E39" s="36"/>
      <c r="F39" s="37"/>
      <c r="G39" s="38"/>
      <c r="H39" s="39"/>
      <c r="I39" s="40"/>
      <c r="J39" s="68" t="s">
        <v>153</v>
      </c>
      <c r="K39" s="407" t="s">
        <v>714</v>
      </c>
      <c r="L39" s="70"/>
      <c r="M39" s="71">
        <v>42976</v>
      </c>
      <c r="N39" s="569" t="s">
        <v>788</v>
      </c>
      <c r="O39" s="72">
        <v>1865</v>
      </c>
      <c r="P39" s="113">
        <f t="shared" si="0"/>
        <v>1865</v>
      </c>
      <c r="Q39" s="117">
        <v>28.5</v>
      </c>
      <c r="R39" s="117"/>
      <c r="S39" s="117"/>
      <c r="T39" s="39">
        <f>Q39*O39</f>
        <v>53152.5</v>
      </c>
      <c r="U39" s="582" t="s">
        <v>703</v>
      </c>
      <c r="V39" s="572">
        <v>42999</v>
      </c>
      <c r="W39" s="587">
        <v>1131</v>
      </c>
      <c r="X39" s="574"/>
      <c r="Y39" s="575"/>
      <c r="Z39" s="576"/>
      <c r="AA39" s="577"/>
      <c r="AB39" s="576"/>
      <c r="AC39" s="578"/>
      <c r="AD39" s="579"/>
      <c r="AE39" s="574"/>
      <c r="AF39" s="574"/>
      <c r="AG39" s="574"/>
      <c r="AH39" s="575"/>
      <c r="AI39" s="576"/>
      <c r="AJ39" s="577"/>
      <c r="AK39" s="576"/>
      <c r="AL39" s="578"/>
      <c r="AM39" s="579"/>
      <c r="AN39" s="574"/>
      <c r="AO39" s="574"/>
      <c r="AP39" s="574"/>
      <c r="AQ39" s="575"/>
      <c r="AR39" s="576"/>
      <c r="AS39" s="577"/>
      <c r="AT39" s="576"/>
      <c r="AU39" s="578"/>
      <c r="AV39" s="579"/>
      <c r="AW39" s="574"/>
      <c r="AX39" s="574"/>
      <c r="AY39" s="574"/>
      <c r="AZ39" s="575"/>
      <c r="BA39" s="576"/>
      <c r="BB39" s="577"/>
      <c r="BC39" s="576"/>
      <c r="BD39" s="578"/>
      <c r="BE39" s="579"/>
      <c r="BF39" s="574"/>
      <c r="BG39" s="574"/>
      <c r="BH39" s="574"/>
      <c r="BI39" s="575"/>
      <c r="BJ39" s="576"/>
      <c r="BK39" s="577"/>
      <c r="BL39" s="576"/>
      <c r="BM39" s="578"/>
      <c r="BN39" s="579"/>
      <c r="BO39" s="574"/>
      <c r="BP39" s="574"/>
      <c r="BQ39" s="574"/>
      <c r="BR39" s="575"/>
      <c r="BS39" s="576"/>
      <c r="BT39" s="577"/>
      <c r="BU39" s="576"/>
      <c r="BV39" s="578"/>
      <c r="BW39" s="579"/>
      <c r="BX39" s="574"/>
      <c r="BY39" s="574"/>
      <c r="BZ39" s="574"/>
      <c r="CA39" s="575"/>
      <c r="CB39" s="576"/>
      <c r="CC39" s="577"/>
      <c r="CD39" s="576"/>
      <c r="CE39" s="578"/>
      <c r="CF39" s="579"/>
      <c r="CG39" s="574"/>
      <c r="CH39" s="574"/>
      <c r="CI39" s="574"/>
      <c r="CJ39" s="575"/>
      <c r="CK39" s="576"/>
      <c r="CL39" s="577"/>
      <c r="CM39" s="576"/>
      <c r="CN39" s="578"/>
      <c r="CO39" s="579"/>
      <c r="CP39" s="574"/>
      <c r="CQ39" s="574"/>
      <c r="CR39" s="574"/>
      <c r="CS39" s="575"/>
      <c r="CT39" s="576"/>
      <c r="CU39" s="577"/>
      <c r="CV39" s="576"/>
      <c r="CW39" s="578"/>
      <c r="CX39" s="579"/>
      <c r="CY39" s="574"/>
      <c r="CZ39" s="574"/>
      <c r="DA39" s="574"/>
      <c r="DB39" s="575"/>
      <c r="DC39" s="576"/>
      <c r="DD39" s="577"/>
      <c r="DE39" s="576"/>
      <c r="DF39" s="578"/>
      <c r="DG39" s="579"/>
      <c r="DH39" s="574"/>
      <c r="DI39" s="574"/>
      <c r="DJ39" s="574"/>
      <c r="DK39" s="575"/>
      <c r="DL39" s="576"/>
      <c r="DM39" s="577"/>
      <c r="DN39" s="576"/>
      <c r="DO39" s="578"/>
      <c r="DP39" s="579"/>
      <c r="DQ39" s="574"/>
      <c r="DR39" s="574"/>
      <c r="DS39" s="574"/>
      <c r="DT39" s="575"/>
      <c r="DU39" s="576"/>
      <c r="DV39" s="577"/>
      <c r="DW39" s="576"/>
      <c r="DX39" s="578"/>
      <c r="DY39" s="579"/>
      <c r="DZ39" s="574"/>
      <c r="EA39" s="574"/>
      <c r="EB39" s="574"/>
      <c r="EC39" s="575"/>
      <c r="ED39" s="576"/>
      <c r="EE39" s="577"/>
      <c r="EF39" s="576"/>
      <c r="EG39" s="578"/>
      <c r="EH39" s="579"/>
      <c r="EI39" s="574"/>
      <c r="EJ39" s="574"/>
      <c r="EK39" s="574"/>
      <c r="EL39" s="575"/>
      <c r="EM39" s="576"/>
      <c r="EN39" s="577"/>
      <c r="EO39" s="576"/>
      <c r="EP39" s="578"/>
      <c r="EQ39" s="579"/>
      <c r="ER39" s="574"/>
      <c r="ES39" s="574"/>
      <c r="ET39" s="574"/>
      <c r="EU39" s="575"/>
      <c r="EV39" s="576"/>
      <c r="EW39" s="577"/>
      <c r="EX39" s="576"/>
      <c r="EY39" s="578"/>
      <c r="EZ39" s="579"/>
      <c r="FA39" s="574"/>
      <c r="FB39" s="574"/>
      <c r="FC39" s="574"/>
      <c r="FD39" s="575"/>
      <c r="FE39" s="576"/>
      <c r="FF39" s="577"/>
      <c r="FG39" s="576"/>
      <c r="FH39" s="578"/>
      <c r="FI39" s="579"/>
      <c r="FJ39" s="574"/>
      <c r="FK39" s="574"/>
      <c r="FL39" s="574"/>
      <c r="FM39" s="575"/>
      <c r="FN39" s="576"/>
      <c r="FO39" s="577"/>
      <c r="FP39" s="576"/>
      <c r="FQ39" s="578"/>
      <c r="FR39" s="579"/>
      <c r="FS39" s="574"/>
      <c r="FT39" s="574"/>
      <c r="FU39" s="574"/>
      <c r="FV39" s="575"/>
      <c r="FW39" s="576"/>
      <c r="FX39" s="577"/>
      <c r="FY39" s="576"/>
      <c r="FZ39" s="578"/>
      <c r="GA39" s="579"/>
      <c r="GB39" s="574"/>
      <c r="GC39" s="574"/>
      <c r="GD39" s="574"/>
      <c r="GE39" s="575"/>
      <c r="GF39" s="576"/>
      <c r="GG39" s="577"/>
      <c r="GH39" s="576"/>
      <c r="GI39" s="578"/>
      <c r="GJ39" s="579"/>
      <c r="GK39" s="574"/>
      <c r="GL39" s="574"/>
      <c r="GM39" s="574"/>
      <c r="GN39" s="575"/>
      <c r="GO39" s="576"/>
      <c r="GP39" s="577"/>
      <c r="GQ39" s="576"/>
      <c r="GR39" s="578"/>
      <c r="GS39" s="579"/>
      <c r="GT39" s="605">
        <v>42999</v>
      </c>
      <c r="GU39" s="591"/>
      <c r="GV39" s="592"/>
      <c r="GW39" s="74"/>
      <c r="GX39" s="74"/>
      <c r="GY39" s="403"/>
      <c r="GZ39" s="404">
        <v>0</v>
      </c>
    </row>
    <row r="40" spans="1:208" x14ac:dyDescent="0.25">
      <c r="A40"/>
      <c r="D40" s="35"/>
      <c r="E40" s="36"/>
      <c r="F40" s="37"/>
      <c r="G40" s="38"/>
      <c r="H40" s="39"/>
      <c r="I40" s="40"/>
      <c r="J40" s="68" t="s">
        <v>96</v>
      </c>
      <c r="K40" s="407" t="s">
        <v>37</v>
      </c>
      <c r="L40" s="70">
        <v>19330</v>
      </c>
      <c r="M40" s="71">
        <v>42977</v>
      </c>
      <c r="N40" s="569" t="s">
        <v>795</v>
      </c>
      <c r="O40" s="72">
        <v>24160</v>
      </c>
      <c r="P40" s="113">
        <f t="shared" si="0"/>
        <v>4830</v>
      </c>
      <c r="Q40" s="117">
        <v>28.5</v>
      </c>
      <c r="R40" s="117"/>
      <c r="S40" s="117"/>
      <c r="T40" s="39">
        <f>Q40*O40</f>
        <v>688560</v>
      </c>
      <c r="U40" s="582" t="s">
        <v>703</v>
      </c>
      <c r="V40" s="572">
        <v>43003</v>
      </c>
      <c r="W40" s="587">
        <v>15080</v>
      </c>
      <c r="X40" s="574"/>
      <c r="Y40" s="575"/>
      <c r="Z40" s="576"/>
      <c r="AA40" s="577"/>
      <c r="AB40" s="576"/>
      <c r="AC40" s="578"/>
      <c r="AD40" s="579"/>
      <c r="AE40" s="574"/>
      <c r="AF40" s="574"/>
      <c r="AG40" s="574"/>
      <c r="AH40" s="575"/>
      <c r="AI40" s="576"/>
      <c r="AJ40" s="577"/>
      <c r="AK40" s="576"/>
      <c r="AL40" s="578"/>
      <c r="AM40" s="579"/>
      <c r="AN40" s="574"/>
      <c r="AO40" s="574"/>
      <c r="AP40" s="574"/>
      <c r="AQ40" s="575"/>
      <c r="AR40" s="576"/>
      <c r="AS40" s="577"/>
      <c r="AT40" s="576"/>
      <c r="AU40" s="578"/>
      <c r="AV40" s="579"/>
      <c r="AW40" s="574"/>
      <c r="AX40" s="574"/>
      <c r="AY40" s="574"/>
      <c r="AZ40" s="575"/>
      <c r="BA40" s="576"/>
      <c r="BB40" s="577"/>
      <c r="BC40" s="576"/>
      <c r="BD40" s="578"/>
      <c r="BE40" s="579"/>
      <c r="BF40" s="574"/>
      <c r="BG40" s="574"/>
      <c r="BH40" s="574"/>
      <c r="BI40" s="575"/>
      <c r="BJ40" s="576"/>
      <c r="BK40" s="577"/>
      <c r="BL40" s="576"/>
      <c r="BM40" s="578"/>
      <c r="BN40" s="579"/>
      <c r="BO40" s="574"/>
      <c r="BP40" s="574"/>
      <c r="BQ40" s="574"/>
      <c r="BR40" s="575"/>
      <c r="BS40" s="576"/>
      <c r="BT40" s="577"/>
      <c r="BU40" s="576"/>
      <c r="BV40" s="578"/>
      <c r="BW40" s="579"/>
      <c r="BX40" s="574"/>
      <c r="BY40" s="574"/>
      <c r="BZ40" s="574"/>
      <c r="CA40" s="575"/>
      <c r="CB40" s="576"/>
      <c r="CC40" s="577"/>
      <c r="CD40" s="576"/>
      <c r="CE40" s="578"/>
      <c r="CF40" s="579"/>
      <c r="CG40" s="574"/>
      <c r="CH40" s="574"/>
      <c r="CI40" s="574"/>
      <c r="CJ40" s="575"/>
      <c r="CK40" s="576"/>
      <c r="CL40" s="577"/>
      <c r="CM40" s="576"/>
      <c r="CN40" s="578"/>
      <c r="CO40" s="579"/>
      <c r="CP40" s="574"/>
      <c r="CQ40" s="574"/>
      <c r="CR40" s="574"/>
      <c r="CS40" s="575"/>
      <c r="CT40" s="576"/>
      <c r="CU40" s="577"/>
      <c r="CV40" s="576"/>
      <c r="CW40" s="578"/>
      <c r="CX40" s="579"/>
      <c r="CY40" s="574"/>
      <c r="CZ40" s="574"/>
      <c r="DA40" s="574"/>
      <c r="DB40" s="575"/>
      <c r="DC40" s="576"/>
      <c r="DD40" s="577"/>
      <c r="DE40" s="576"/>
      <c r="DF40" s="578"/>
      <c r="DG40" s="579"/>
      <c r="DH40" s="574"/>
      <c r="DI40" s="574"/>
      <c r="DJ40" s="574"/>
      <c r="DK40" s="575"/>
      <c r="DL40" s="576"/>
      <c r="DM40" s="577"/>
      <c r="DN40" s="576"/>
      <c r="DO40" s="578"/>
      <c r="DP40" s="579"/>
      <c r="DQ40" s="574"/>
      <c r="DR40" s="574"/>
      <c r="DS40" s="574"/>
      <c r="DT40" s="575"/>
      <c r="DU40" s="576"/>
      <c r="DV40" s="577"/>
      <c r="DW40" s="576"/>
      <c r="DX40" s="578"/>
      <c r="DY40" s="579"/>
      <c r="DZ40" s="574"/>
      <c r="EA40" s="574"/>
      <c r="EB40" s="574"/>
      <c r="EC40" s="575"/>
      <c r="ED40" s="576"/>
      <c r="EE40" s="577"/>
      <c r="EF40" s="576"/>
      <c r="EG40" s="578"/>
      <c r="EH40" s="579"/>
      <c r="EI40" s="574"/>
      <c r="EJ40" s="574"/>
      <c r="EK40" s="574"/>
      <c r="EL40" s="575"/>
      <c r="EM40" s="576"/>
      <c r="EN40" s="577"/>
      <c r="EO40" s="576"/>
      <c r="EP40" s="578"/>
      <c r="EQ40" s="579"/>
      <c r="ER40" s="574"/>
      <c r="ES40" s="574"/>
      <c r="ET40" s="574"/>
      <c r="EU40" s="575"/>
      <c r="EV40" s="576"/>
      <c r="EW40" s="577"/>
      <c r="EX40" s="576"/>
      <c r="EY40" s="578"/>
      <c r="EZ40" s="579"/>
      <c r="FA40" s="574"/>
      <c r="FB40" s="574"/>
      <c r="FC40" s="574"/>
      <c r="FD40" s="575"/>
      <c r="FE40" s="576"/>
      <c r="FF40" s="577"/>
      <c r="FG40" s="576"/>
      <c r="FH40" s="578"/>
      <c r="FI40" s="579"/>
      <c r="FJ40" s="574"/>
      <c r="FK40" s="574"/>
      <c r="FL40" s="574"/>
      <c r="FM40" s="575"/>
      <c r="FN40" s="576"/>
      <c r="FO40" s="577"/>
      <c r="FP40" s="576"/>
      <c r="FQ40" s="578"/>
      <c r="FR40" s="579"/>
      <c r="FS40" s="574"/>
      <c r="FT40" s="574"/>
      <c r="FU40" s="574"/>
      <c r="FV40" s="575"/>
      <c r="FW40" s="576"/>
      <c r="FX40" s="577"/>
      <c r="FY40" s="576"/>
      <c r="FZ40" s="578"/>
      <c r="GA40" s="579"/>
      <c r="GB40" s="574"/>
      <c r="GC40" s="574"/>
      <c r="GD40" s="574"/>
      <c r="GE40" s="575"/>
      <c r="GF40" s="576"/>
      <c r="GG40" s="577"/>
      <c r="GH40" s="576"/>
      <c r="GI40" s="578"/>
      <c r="GJ40" s="579"/>
      <c r="GK40" s="574"/>
      <c r="GL40" s="574"/>
      <c r="GM40" s="574"/>
      <c r="GN40" s="575"/>
      <c r="GO40" s="576"/>
      <c r="GP40" s="577"/>
      <c r="GQ40" s="576"/>
      <c r="GR40" s="578"/>
      <c r="GS40" s="579"/>
      <c r="GT40" s="581">
        <v>43003</v>
      </c>
      <c r="GU40" s="591">
        <v>22176</v>
      </c>
      <c r="GV40" s="592" t="s">
        <v>758</v>
      </c>
      <c r="GW40" s="74"/>
      <c r="GX40" s="74"/>
      <c r="GY40" s="403" t="s">
        <v>808</v>
      </c>
      <c r="GZ40" s="404">
        <v>3944</v>
      </c>
    </row>
    <row r="41" spans="1:208" x14ac:dyDescent="0.25">
      <c r="A41"/>
      <c r="D41" s="35"/>
      <c r="E41" s="36"/>
      <c r="F41" s="37"/>
      <c r="G41" s="38"/>
      <c r="H41" s="39"/>
      <c r="I41" s="40"/>
      <c r="J41" s="68" t="s">
        <v>735</v>
      </c>
      <c r="K41" s="451" t="s">
        <v>85</v>
      </c>
      <c r="L41" s="70">
        <v>17490</v>
      </c>
      <c r="M41" s="71">
        <v>42978</v>
      </c>
      <c r="N41" s="569" t="s">
        <v>796</v>
      </c>
      <c r="O41" s="72">
        <v>26645</v>
      </c>
      <c r="P41" s="113">
        <f t="shared" si="0"/>
        <v>9155</v>
      </c>
      <c r="Q41" s="64">
        <v>28.5</v>
      </c>
      <c r="R41" s="117"/>
      <c r="S41" s="117"/>
      <c r="T41" s="39">
        <f>Q41*O41</f>
        <v>759382.5</v>
      </c>
      <c r="U41" s="582" t="s">
        <v>703</v>
      </c>
      <c r="V41" s="572">
        <v>43003</v>
      </c>
      <c r="W41" s="587">
        <v>17266.599999999999</v>
      </c>
      <c r="X41" s="574"/>
      <c r="Y41" s="575"/>
      <c r="Z41" s="576"/>
      <c r="AA41" s="577"/>
      <c r="AB41" s="576"/>
      <c r="AC41" s="578"/>
      <c r="AD41" s="579"/>
      <c r="AE41" s="574"/>
      <c r="AF41" s="574"/>
      <c r="AG41" s="574"/>
      <c r="AH41" s="575"/>
      <c r="AI41" s="576"/>
      <c r="AJ41" s="577"/>
      <c r="AK41" s="576"/>
      <c r="AL41" s="578"/>
      <c r="AM41" s="579"/>
      <c r="AN41" s="574"/>
      <c r="AO41" s="574"/>
      <c r="AP41" s="574"/>
      <c r="AQ41" s="575"/>
      <c r="AR41" s="576"/>
      <c r="AS41" s="577"/>
      <c r="AT41" s="576"/>
      <c r="AU41" s="578"/>
      <c r="AV41" s="579"/>
      <c r="AW41" s="574"/>
      <c r="AX41" s="574"/>
      <c r="AY41" s="574"/>
      <c r="AZ41" s="575"/>
      <c r="BA41" s="576"/>
      <c r="BB41" s="577"/>
      <c r="BC41" s="576"/>
      <c r="BD41" s="578"/>
      <c r="BE41" s="579"/>
      <c r="BF41" s="574"/>
      <c r="BG41" s="574"/>
      <c r="BH41" s="574"/>
      <c r="BI41" s="575"/>
      <c r="BJ41" s="576"/>
      <c r="BK41" s="577"/>
      <c r="BL41" s="576"/>
      <c r="BM41" s="578"/>
      <c r="BN41" s="579"/>
      <c r="BO41" s="574"/>
      <c r="BP41" s="574"/>
      <c r="BQ41" s="574"/>
      <c r="BR41" s="575"/>
      <c r="BS41" s="576"/>
      <c r="BT41" s="577"/>
      <c r="BU41" s="576"/>
      <c r="BV41" s="578"/>
      <c r="BW41" s="579"/>
      <c r="BX41" s="574"/>
      <c r="BY41" s="574"/>
      <c r="BZ41" s="574"/>
      <c r="CA41" s="575"/>
      <c r="CB41" s="576"/>
      <c r="CC41" s="577"/>
      <c r="CD41" s="576"/>
      <c r="CE41" s="578"/>
      <c r="CF41" s="579"/>
      <c r="CG41" s="574"/>
      <c r="CH41" s="574"/>
      <c r="CI41" s="574"/>
      <c r="CJ41" s="575"/>
      <c r="CK41" s="576"/>
      <c r="CL41" s="577"/>
      <c r="CM41" s="576"/>
      <c r="CN41" s="578"/>
      <c r="CO41" s="579"/>
      <c r="CP41" s="574"/>
      <c r="CQ41" s="574"/>
      <c r="CR41" s="574"/>
      <c r="CS41" s="575"/>
      <c r="CT41" s="576"/>
      <c r="CU41" s="577"/>
      <c r="CV41" s="576"/>
      <c r="CW41" s="578"/>
      <c r="CX41" s="579"/>
      <c r="CY41" s="574"/>
      <c r="CZ41" s="574"/>
      <c r="DA41" s="574"/>
      <c r="DB41" s="575"/>
      <c r="DC41" s="576"/>
      <c r="DD41" s="577"/>
      <c r="DE41" s="576"/>
      <c r="DF41" s="578"/>
      <c r="DG41" s="579"/>
      <c r="DH41" s="574"/>
      <c r="DI41" s="574"/>
      <c r="DJ41" s="574"/>
      <c r="DK41" s="575"/>
      <c r="DL41" s="576"/>
      <c r="DM41" s="577"/>
      <c r="DN41" s="576"/>
      <c r="DO41" s="578"/>
      <c r="DP41" s="579"/>
      <c r="DQ41" s="574"/>
      <c r="DR41" s="574"/>
      <c r="DS41" s="574"/>
      <c r="DT41" s="575"/>
      <c r="DU41" s="576"/>
      <c r="DV41" s="577"/>
      <c r="DW41" s="576"/>
      <c r="DX41" s="578"/>
      <c r="DY41" s="579"/>
      <c r="DZ41" s="574"/>
      <c r="EA41" s="574"/>
      <c r="EB41" s="574"/>
      <c r="EC41" s="575"/>
      <c r="ED41" s="576"/>
      <c r="EE41" s="577"/>
      <c r="EF41" s="576"/>
      <c r="EG41" s="578"/>
      <c r="EH41" s="579"/>
      <c r="EI41" s="574"/>
      <c r="EJ41" s="574"/>
      <c r="EK41" s="574"/>
      <c r="EL41" s="575"/>
      <c r="EM41" s="576"/>
      <c r="EN41" s="577"/>
      <c r="EO41" s="576"/>
      <c r="EP41" s="578"/>
      <c r="EQ41" s="579"/>
      <c r="ER41" s="574"/>
      <c r="ES41" s="574"/>
      <c r="ET41" s="574"/>
      <c r="EU41" s="575"/>
      <c r="EV41" s="576"/>
      <c r="EW41" s="577"/>
      <c r="EX41" s="576"/>
      <c r="EY41" s="578"/>
      <c r="EZ41" s="579"/>
      <c r="FA41" s="574"/>
      <c r="FB41" s="574"/>
      <c r="FC41" s="574"/>
      <c r="FD41" s="575"/>
      <c r="FE41" s="576"/>
      <c r="FF41" s="577"/>
      <c r="FG41" s="576"/>
      <c r="FH41" s="578"/>
      <c r="FI41" s="579"/>
      <c r="FJ41" s="574"/>
      <c r="FK41" s="574"/>
      <c r="FL41" s="574"/>
      <c r="FM41" s="575"/>
      <c r="FN41" s="576"/>
      <c r="FO41" s="577"/>
      <c r="FP41" s="576"/>
      <c r="FQ41" s="578"/>
      <c r="FR41" s="579"/>
      <c r="FS41" s="574"/>
      <c r="FT41" s="574"/>
      <c r="FU41" s="574"/>
      <c r="FV41" s="575"/>
      <c r="FW41" s="576"/>
      <c r="FX41" s="577"/>
      <c r="FY41" s="576"/>
      <c r="FZ41" s="578"/>
      <c r="GA41" s="579"/>
      <c r="GB41" s="574"/>
      <c r="GC41" s="574"/>
      <c r="GD41" s="574"/>
      <c r="GE41" s="575"/>
      <c r="GF41" s="576"/>
      <c r="GG41" s="577"/>
      <c r="GH41" s="576"/>
      <c r="GI41" s="578"/>
      <c r="GJ41" s="579"/>
      <c r="GK41" s="574"/>
      <c r="GL41" s="574"/>
      <c r="GM41" s="574"/>
      <c r="GN41" s="575"/>
      <c r="GO41" s="576"/>
      <c r="GP41" s="577"/>
      <c r="GQ41" s="576"/>
      <c r="GR41" s="578"/>
      <c r="GS41" s="579"/>
      <c r="GT41" s="605">
        <v>43003</v>
      </c>
      <c r="GU41" s="591"/>
      <c r="GV41" s="593"/>
      <c r="GW41" s="74"/>
      <c r="GX41" s="74"/>
      <c r="GY41" s="403" t="s">
        <v>808</v>
      </c>
      <c r="GZ41" s="404">
        <v>3944</v>
      </c>
    </row>
    <row r="42" spans="1:208" x14ac:dyDescent="0.25">
      <c r="A42"/>
      <c r="D42" s="35"/>
      <c r="E42" s="36"/>
      <c r="F42" s="37"/>
      <c r="G42" s="38"/>
      <c r="H42" s="39"/>
      <c r="I42" s="40"/>
      <c r="J42" s="68" t="s">
        <v>736</v>
      </c>
      <c r="K42" s="407" t="s">
        <v>46</v>
      </c>
      <c r="L42" s="70">
        <v>11620</v>
      </c>
      <c r="M42" s="71">
        <v>42978</v>
      </c>
      <c r="N42" s="570" t="s">
        <v>787</v>
      </c>
      <c r="O42" s="72">
        <v>10685</v>
      </c>
      <c r="P42" s="113">
        <f>O42-L42</f>
        <v>-935</v>
      </c>
      <c r="Q42" s="117">
        <v>28.5</v>
      </c>
      <c r="R42" s="117"/>
      <c r="S42" s="111"/>
      <c r="T42" s="39">
        <f>Q42*O42+S42+0</f>
        <v>304522.5</v>
      </c>
      <c r="U42" s="582" t="s">
        <v>703</v>
      </c>
      <c r="V42" s="572">
        <v>42999</v>
      </c>
      <c r="W42" s="587">
        <v>7540</v>
      </c>
      <c r="X42" s="574"/>
      <c r="Y42" s="575"/>
      <c r="Z42" s="576"/>
      <c r="AA42" s="577"/>
      <c r="AB42" s="576"/>
      <c r="AC42" s="578"/>
      <c r="AD42" s="579"/>
      <c r="AE42" s="574"/>
      <c r="AF42" s="574"/>
      <c r="AG42" s="574"/>
      <c r="AH42" s="575"/>
      <c r="AI42" s="576"/>
      <c r="AJ42" s="577"/>
      <c r="AK42" s="576"/>
      <c r="AL42" s="578"/>
      <c r="AM42" s="579"/>
      <c r="AN42" s="574"/>
      <c r="AO42" s="574"/>
      <c r="AP42" s="574"/>
      <c r="AQ42" s="575"/>
      <c r="AR42" s="576"/>
      <c r="AS42" s="577"/>
      <c r="AT42" s="576"/>
      <c r="AU42" s="578"/>
      <c r="AV42" s="579"/>
      <c r="AW42" s="574"/>
      <c r="AX42" s="574"/>
      <c r="AY42" s="574"/>
      <c r="AZ42" s="575"/>
      <c r="BA42" s="576"/>
      <c r="BB42" s="577"/>
      <c r="BC42" s="576"/>
      <c r="BD42" s="578"/>
      <c r="BE42" s="579"/>
      <c r="BF42" s="574"/>
      <c r="BG42" s="574"/>
      <c r="BH42" s="574"/>
      <c r="BI42" s="575"/>
      <c r="BJ42" s="576"/>
      <c r="BK42" s="577"/>
      <c r="BL42" s="576"/>
      <c r="BM42" s="578"/>
      <c r="BN42" s="579"/>
      <c r="BO42" s="574"/>
      <c r="BP42" s="574"/>
      <c r="BQ42" s="574"/>
      <c r="BR42" s="575"/>
      <c r="BS42" s="576"/>
      <c r="BT42" s="577"/>
      <c r="BU42" s="576"/>
      <c r="BV42" s="578"/>
      <c r="BW42" s="579"/>
      <c r="BX42" s="574"/>
      <c r="BY42" s="574"/>
      <c r="BZ42" s="574"/>
      <c r="CA42" s="575"/>
      <c r="CB42" s="576"/>
      <c r="CC42" s="577"/>
      <c r="CD42" s="576"/>
      <c r="CE42" s="578"/>
      <c r="CF42" s="579"/>
      <c r="CG42" s="574"/>
      <c r="CH42" s="574"/>
      <c r="CI42" s="574"/>
      <c r="CJ42" s="575"/>
      <c r="CK42" s="576"/>
      <c r="CL42" s="577"/>
      <c r="CM42" s="576"/>
      <c r="CN42" s="578"/>
      <c r="CO42" s="579"/>
      <c r="CP42" s="574"/>
      <c r="CQ42" s="574"/>
      <c r="CR42" s="574"/>
      <c r="CS42" s="575"/>
      <c r="CT42" s="576"/>
      <c r="CU42" s="577"/>
      <c r="CV42" s="576"/>
      <c r="CW42" s="578"/>
      <c r="CX42" s="579"/>
      <c r="CY42" s="574"/>
      <c r="CZ42" s="574"/>
      <c r="DA42" s="574"/>
      <c r="DB42" s="575"/>
      <c r="DC42" s="576"/>
      <c r="DD42" s="577"/>
      <c r="DE42" s="576"/>
      <c r="DF42" s="578"/>
      <c r="DG42" s="579"/>
      <c r="DH42" s="574"/>
      <c r="DI42" s="574"/>
      <c r="DJ42" s="574"/>
      <c r="DK42" s="575"/>
      <c r="DL42" s="576"/>
      <c r="DM42" s="577"/>
      <c r="DN42" s="576"/>
      <c r="DO42" s="578"/>
      <c r="DP42" s="579"/>
      <c r="DQ42" s="574"/>
      <c r="DR42" s="574"/>
      <c r="DS42" s="574"/>
      <c r="DT42" s="575"/>
      <c r="DU42" s="576"/>
      <c r="DV42" s="577"/>
      <c r="DW42" s="576"/>
      <c r="DX42" s="578"/>
      <c r="DY42" s="579"/>
      <c r="DZ42" s="574"/>
      <c r="EA42" s="574"/>
      <c r="EB42" s="574"/>
      <c r="EC42" s="575"/>
      <c r="ED42" s="576"/>
      <c r="EE42" s="577"/>
      <c r="EF42" s="576"/>
      <c r="EG42" s="578"/>
      <c r="EH42" s="579"/>
      <c r="EI42" s="574"/>
      <c r="EJ42" s="574"/>
      <c r="EK42" s="574"/>
      <c r="EL42" s="575"/>
      <c r="EM42" s="576"/>
      <c r="EN42" s="577"/>
      <c r="EO42" s="576"/>
      <c r="EP42" s="578"/>
      <c r="EQ42" s="579"/>
      <c r="ER42" s="574"/>
      <c r="ES42" s="574"/>
      <c r="ET42" s="574"/>
      <c r="EU42" s="575"/>
      <c r="EV42" s="576"/>
      <c r="EW42" s="577"/>
      <c r="EX42" s="576"/>
      <c r="EY42" s="578"/>
      <c r="EZ42" s="579"/>
      <c r="FA42" s="574"/>
      <c r="FB42" s="574"/>
      <c r="FC42" s="574"/>
      <c r="FD42" s="575"/>
      <c r="FE42" s="576"/>
      <c r="FF42" s="577"/>
      <c r="FG42" s="576"/>
      <c r="FH42" s="578"/>
      <c r="FI42" s="579"/>
      <c r="FJ42" s="574"/>
      <c r="FK42" s="574"/>
      <c r="FL42" s="574"/>
      <c r="FM42" s="575"/>
      <c r="FN42" s="576"/>
      <c r="FO42" s="577"/>
      <c r="FP42" s="576"/>
      <c r="FQ42" s="578"/>
      <c r="FR42" s="579"/>
      <c r="FS42" s="574"/>
      <c r="FT42" s="574"/>
      <c r="FU42" s="574"/>
      <c r="FV42" s="575"/>
      <c r="FW42" s="576"/>
      <c r="FX42" s="577"/>
      <c r="FY42" s="576"/>
      <c r="FZ42" s="578"/>
      <c r="GA42" s="579"/>
      <c r="GB42" s="574"/>
      <c r="GC42" s="574"/>
      <c r="GD42" s="574"/>
      <c r="GE42" s="575"/>
      <c r="GF42" s="576"/>
      <c r="GG42" s="577"/>
      <c r="GH42" s="576"/>
      <c r="GI42" s="578"/>
      <c r="GJ42" s="579"/>
      <c r="GK42" s="574"/>
      <c r="GL42" s="574"/>
      <c r="GM42" s="574"/>
      <c r="GN42" s="575"/>
      <c r="GO42" s="576"/>
      <c r="GP42" s="577"/>
      <c r="GQ42" s="576"/>
      <c r="GR42" s="578"/>
      <c r="GS42" s="579"/>
      <c r="GT42" s="581">
        <v>42999</v>
      </c>
      <c r="GU42" s="591">
        <v>17584</v>
      </c>
      <c r="GV42" s="592" t="s">
        <v>759</v>
      </c>
      <c r="GW42" s="74"/>
      <c r="GX42" s="74"/>
      <c r="GY42" s="403" t="s">
        <v>808</v>
      </c>
      <c r="GZ42" s="404">
        <v>2088</v>
      </c>
    </row>
    <row r="43" spans="1:208" x14ac:dyDescent="0.25">
      <c r="A43"/>
      <c r="D43" s="35"/>
      <c r="E43" s="36"/>
      <c r="F43" s="37"/>
      <c r="G43" s="38"/>
      <c r="H43" s="39"/>
      <c r="I43" s="40"/>
      <c r="J43" s="68"/>
      <c r="K43" s="407"/>
      <c r="L43" s="70"/>
      <c r="M43" s="71"/>
      <c r="N43" s="119"/>
      <c r="O43" s="72"/>
      <c r="P43" s="113">
        <f t="shared" ref="P43:P54" si="4">O43-L43</f>
        <v>0</v>
      </c>
      <c r="Q43" s="117"/>
      <c r="R43" s="117"/>
      <c r="S43" s="111"/>
      <c r="T43" s="39">
        <f>Q43*O43+S43+0</f>
        <v>0</v>
      </c>
      <c r="U43" s="607"/>
      <c r="V43" s="608"/>
      <c r="W43" s="609"/>
      <c r="X43" s="610"/>
      <c r="Y43" s="611"/>
      <c r="Z43" s="612"/>
      <c r="AA43" s="613"/>
      <c r="AB43" s="612"/>
      <c r="AC43" s="614"/>
      <c r="AD43" s="615"/>
      <c r="AE43" s="610"/>
      <c r="AF43" s="610"/>
      <c r="AG43" s="610"/>
      <c r="AH43" s="611"/>
      <c r="AI43" s="612"/>
      <c r="AJ43" s="613"/>
      <c r="AK43" s="612"/>
      <c r="AL43" s="614"/>
      <c r="AM43" s="615"/>
      <c r="AN43" s="610"/>
      <c r="AO43" s="610"/>
      <c r="AP43" s="610"/>
      <c r="AQ43" s="611"/>
      <c r="AR43" s="612"/>
      <c r="AS43" s="613"/>
      <c r="AT43" s="612"/>
      <c r="AU43" s="614"/>
      <c r="AV43" s="615"/>
      <c r="AW43" s="610"/>
      <c r="AX43" s="610"/>
      <c r="AY43" s="610"/>
      <c r="AZ43" s="611"/>
      <c r="BA43" s="612"/>
      <c r="BB43" s="613"/>
      <c r="BC43" s="612"/>
      <c r="BD43" s="614"/>
      <c r="BE43" s="615"/>
      <c r="BF43" s="610"/>
      <c r="BG43" s="610"/>
      <c r="BH43" s="610"/>
      <c r="BI43" s="611"/>
      <c r="BJ43" s="612"/>
      <c r="BK43" s="613"/>
      <c r="BL43" s="612"/>
      <c r="BM43" s="614"/>
      <c r="BN43" s="615"/>
      <c r="BO43" s="610"/>
      <c r="BP43" s="610"/>
      <c r="BQ43" s="610"/>
      <c r="BR43" s="611"/>
      <c r="BS43" s="612"/>
      <c r="BT43" s="613"/>
      <c r="BU43" s="612"/>
      <c r="BV43" s="614"/>
      <c r="BW43" s="615"/>
      <c r="BX43" s="610"/>
      <c r="BY43" s="610"/>
      <c r="BZ43" s="610"/>
      <c r="CA43" s="611"/>
      <c r="CB43" s="612"/>
      <c r="CC43" s="613"/>
      <c r="CD43" s="612"/>
      <c r="CE43" s="614"/>
      <c r="CF43" s="615"/>
      <c r="CG43" s="610"/>
      <c r="CH43" s="610"/>
      <c r="CI43" s="610"/>
      <c r="CJ43" s="611"/>
      <c r="CK43" s="612"/>
      <c r="CL43" s="613"/>
      <c r="CM43" s="612"/>
      <c r="CN43" s="614"/>
      <c r="CO43" s="615"/>
      <c r="CP43" s="610"/>
      <c r="CQ43" s="610"/>
      <c r="CR43" s="610"/>
      <c r="CS43" s="611"/>
      <c r="CT43" s="612"/>
      <c r="CU43" s="613"/>
      <c r="CV43" s="612"/>
      <c r="CW43" s="614"/>
      <c r="CX43" s="615"/>
      <c r="CY43" s="610"/>
      <c r="CZ43" s="610"/>
      <c r="DA43" s="610"/>
      <c r="DB43" s="611"/>
      <c r="DC43" s="612"/>
      <c r="DD43" s="613"/>
      <c r="DE43" s="612"/>
      <c r="DF43" s="614"/>
      <c r="DG43" s="615"/>
      <c r="DH43" s="610"/>
      <c r="DI43" s="610"/>
      <c r="DJ43" s="610"/>
      <c r="DK43" s="611"/>
      <c r="DL43" s="612"/>
      <c r="DM43" s="613"/>
      <c r="DN43" s="612"/>
      <c r="DO43" s="614"/>
      <c r="DP43" s="615"/>
      <c r="DQ43" s="610"/>
      <c r="DR43" s="610"/>
      <c r="DS43" s="610"/>
      <c r="DT43" s="611"/>
      <c r="DU43" s="612"/>
      <c r="DV43" s="613"/>
      <c r="DW43" s="612"/>
      <c r="DX43" s="614"/>
      <c r="DY43" s="615"/>
      <c r="DZ43" s="610"/>
      <c r="EA43" s="610"/>
      <c r="EB43" s="610"/>
      <c r="EC43" s="611"/>
      <c r="ED43" s="612"/>
      <c r="EE43" s="613"/>
      <c r="EF43" s="612"/>
      <c r="EG43" s="614"/>
      <c r="EH43" s="615"/>
      <c r="EI43" s="610"/>
      <c r="EJ43" s="610"/>
      <c r="EK43" s="610"/>
      <c r="EL43" s="611"/>
      <c r="EM43" s="612"/>
      <c r="EN43" s="613"/>
      <c r="EO43" s="612"/>
      <c r="EP43" s="614"/>
      <c r="EQ43" s="615"/>
      <c r="ER43" s="610"/>
      <c r="ES43" s="610"/>
      <c r="ET43" s="610"/>
      <c r="EU43" s="611"/>
      <c r="EV43" s="612"/>
      <c r="EW43" s="613"/>
      <c r="EX43" s="612"/>
      <c r="EY43" s="614"/>
      <c r="EZ43" s="615"/>
      <c r="FA43" s="610"/>
      <c r="FB43" s="610"/>
      <c r="FC43" s="610"/>
      <c r="FD43" s="611"/>
      <c r="FE43" s="612"/>
      <c r="FF43" s="613"/>
      <c r="FG43" s="612"/>
      <c r="FH43" s="614"/>
      <c r="FI43" s="615"/>
      <c r="FJ43" s="610"/>
      <c r="FK43" s="610"/>
      <c r="FL43" s="610"/>
      <c r="FM43" s="611"/>
      <c r="FN43" s="612"/>
      <c r="FO43" s="613"/>
      <c r="FP43" s="612"/>
      <c r="FQ43" s="614"/>
      <c r="FR43" s="615"/>
      <c r="FS43" s="610"/>
      <c r="FT43" s="610"/>
      <c r="FU43" s="610"/>
      <c r="FV43" s="611"/>
      <c r="FW43" s="612"/>
      <c r="FX43" s="613"/>
      <c r="FY43" s="612"/>
      <c r="FZ43" s="614"/>
      <c r="GA43" s="615"/>
      <c r="GB43" s="610"/>
      <c r="GC43" s="610"/>
      <c r="GD43" s="610"/>
      <c r="GE43" s="611"/>
      <c r="GF43" s="612"/>
      <c r="GG43" s="613"/>
      <c r="GH43" s="612"/>
      <c r="GI43" s="614"/>
      <c r="GJ43" s="615"/>
      <c r="GK43" s="610"/>
      <c r="GL43" s="610"/>
      <c r="GM43" s="610"/>
      <c r="GN43" s="611"/>
      <c r="GO43" s="612"/>
      <c r="GP43" s="613"/>
      <c r="GQ43" s="612"/>
      <c r="GR43" s="614"/>
      <c r="GS43" s="615"/>
      <c r="GT43" s="616"/>
      <c r="GU43" s="131"/>
      <c r="GV43" s="130"/>
      <c r="GW43" s="74"/>
      <c r="GX43" s="74"/>
      <c r="GY43" s="167"/>
      <c r="GZ43" s="86">
        <f>SUM(GZ23:GZ42)</f>
        <v>65656</v>
      </c>
    </row>
    <row r="44" spans="1:208" x14ac:dyDescent="0.25">
      <c r="A44"/>
      <c r="D44" s="35"/>
      <c r="E44" s="36"/>
      <c r="F44" s="37"/>
      <c r="G44" s="38"/>
      <c r="H44" s="39"/>
      <c r="I44" s="40"/>
      <c r="J44" s="68"/>
      <c r="K44" s="407"/>
      <c r="L44" s="70"/>
      <c r="M44" s="71"/>
      <c r="N44" s="119"/>
      <c r="O44" s="72"/>
      <c r="P44" s="113">
        <f t="shared" si="4"/>
        <v>0</v>
      </c>
      <c r="Q44" s="117"/>
      <c r="R44" s="893"/>
      <c r="S44" s="894"/>
      <c r="T44" s="39">
        <f>Q44*O44</f>
        <v>0</v>
      </c>
      <c r="U44" s="375"/>
      <c r="V44" s="144"/>
      <c r="W44" s="377"/>
      <c r="X44" s="146"/>
      <c r="Y44" s="147"/>
      <c r="Z44" s="148"/>
      <c r="AA44" s="149"/>
      <c r="AB44" s="148"/>
      <c r="AC44" s="150"/>
      <c r="AD44" s="151"/>
      <c r="AE44" s="146"/>
      <c r="AF44" s="146"/>
      <c r="AG44" s="146"/>
      <c r="AH44" s="147"/>
      <c r="AI44" s="148"/>
      <c r="AJ44" s="149"/>
      <c r="AK44" s="148"/>
      <c r="AL44" s="150"/>
      <c r="AM44" s="151"/>
      <c r="AN44" s="146"/>
      <c r="AO44" s="146"/>
      <c r="AP44" s="146"/>
      <c r="AQ44" s="147"/>
      <c r="AR44" s="148"/>
      <c r="AS44" s="149"/>
      <c r="AT44" s="148"/>
      <c r="AU44" s="150"/>
      <c r="AV44" s="151"/>
      <c r="AW44" s="146"/>
      <c r="AX44" s="146"/>
      <c r="AY44" s="146"/>
      <c r="AZ44" s="147"/>
      <c r="BA44" s="148"/>
      <c r="BB44" s="149"/>
      <c r="BC44" s="148"/>
      <c r="BD44" s="150"/>
      <c r="BE44" s="151"/>
      <c r="BF44" s="146"/>
      <c r="BG44" s="146"/>
      <c r="BH44" s="146"/>
      <c r="BI44" s="147"/>
      <c r="BJ44" s="148"/>
      <c r="BK44" s="149"/>
      <c r="BL44" s="148"/>
      <c r="BM44" s="150"/>
      <c r="BN44" s="151"/>
      <c r="BO44" s="146"/>
      <c r="BP44" s="146"/>
      <c r="BQ44" s="146"/>
      <c r="BR44" s="147"/>
      <c r="BS44" s="148"/>
      <c r="BT44" s="149"/>
      <c r="BU44" s="148"/>
      <c r="BV44" s="150"/>
      <c r="BW44" s="151"/>
      <c r="BX44" s="146"/>
      <c r="BY44" s="146"/>
      <c r="BZ44" s="146"/>
      <c r="CA44" s="147"/>
      <c r="CB44" s="148"/>
      <c r="CC44" s="149"/>
      <c r="CD44" s="148"/>
      <c r="CE44" s="150"/>
      <c r="CF44" s="151"/>
      <c r="CG44" s="146"/>
      <c r="CH44" s="146"/>
      <c r="CI44" s="146"/>
      <c r="CJ44" s="147"/>
      <c r="CK44" s="148"/>
      <c r="CL44" s="149"/>
      <c r="CM44" s="148"/>
      <c r="CN44" s="150"/>
      <c r="CO44" s="151"/>
      <c r="CP44" s="146"/>
      <c r="CQ44" s="146"/>
      <c r="CR44" s="146"/>
      <c r="CS44" s="147"/>
      <c r="CT44" s="148"/>
      <c r="CU44" s="149"/>
      <c r="CV44" s="148"/>
      <c r="CW44" s="150"/>
      <c r="CX44" s="151"/>
      <c r="CY44" s="146"/>
      <c r="CZ44" s="146"/>
      <c r="DA44" s="146"/>
      <c r="DB44" s="147"/>
      <c r="DC44" s="148"/>
      <c r="DD44" s="149"/>
      <c r="DE44" s="148"/>
      <c r="DF44" s="150"/>
      <c r="DG44" s="151"/>
      <c r="DH44" s="146"/>
      <c r="DI44" s="146"/>
      <c r="DJ44" s="146"/>
      <c r="DK44" s="147"/>
      <c r="DL44" s="148"/>
      <c r="DM44" s="149"/>
      <c r="DN44" s="148"/>
      <c r="DO44" s="150"/>
      <c r="DP44" s="151"/>
      <c r="DQ44" s="146"/>
      <c r="DR44" s="146"/>
      <c r="DS44" s="146"/>
      <c r="DT44" s="147"/>
      <c r="DU44" s="148"/>
      <c r="DV44" s="149"/>
      <c r="DW44" s="148"/>
      <c r="DX44" s="150"/>
      <c r="DY44" s="151"/>
      <c r="DZ44" s="146"/>
      <c r="EA44" s="146"/>
      <c r="EB44" s="146"/>
      <c r="EC44" s="147"/>
      <c r="ED44" s="148"/>
      <c r="EE44" s="149"/>
      <c r="EF44" s="148"/>
      <c r="EG44" s="150"/>
      <c r="EH44" s="151"/>
      <c r="EI44" s="146"/>
      <c r="EJ44" s="146"/>
      <c r="EK44" s="146"/>
      <c r="EL44" s="147"/>
      <c r="EM44" s="148"/>
      <c r="EN44" s="149"/>
      <c r="EO44" s="148"/>
      <c r="EP44" s="150"/>
      <c r="EQ44" s="151"/>
      <c r="ER44" s="146"/>
      <c r="ES44" s="146"/>
      <c r="ET44" s="146"/>
      <c r="EU44" s="147"/>
      <c r="EV44" s="148"/>
      <c r="EW44" s="149"/>
      <c r="EX44" s="148"/>
      <c r="EY44" s="150"/>
      <c r="EZ44" s="151"/>
      <c r="FA44" s="146"/>
      <c r="FB44" s="146"/>
      <c r="FC44" s="146"/>
      <c r="FD44" s="147"/>
      <c r="FE44" s="148"/>
      <c r="FF44" s="149"/>
      <c r="FG44" s="148"/>
      <c r="FH44" s="150"/>
      <c r="FI44" s="151"/>
      <c r="FJ44" s="146"/>
      <c r="FK44" s="146"/>
      <c r="FL44" s="146"/>
      <c r="FM44" s="147"/>
      <c r="FN44" s="148"/>
      <c r="FO44" s="149"/>
      <c r="FP44" s="148"/>
      <c r="FQ44" s="150"/>
      <c r="FR44" s="151"/>
      <c r="FS44" s="146"/>
      <c r="FT44" s="146"/>
      <c r="FU44" s="146"/>
      <c r="FV44" s="147"/>
      <c r="FW44" s="148"/>
      <c r="FX44" s="149"/>
      <c r="FY44" s="148"/>
      <c r="FZ44" s="150"/>
      <c r="GA44" s="151"/>
      <c r="GB44" s="146"/>
      <c r="GC44" s="146"/>
      <c r="GD44" s="146"/>
      <c r="GE44" s="147"/>
      <c r="GF44" s="148"/>
      <c r="GG44" s="149"/>
      <c r="GH44" s="148"/>
      <c r="GI44" s="150"/>
      <c r="GJ44" s="151"/>
      <c r="GK44" s="146"/>
      <c r="GL44" s="146"/>
      <c r="GM44" s="146"/>
      <c r="GN44" s="147"/>
      <c r="GO44" s="148"/>
      <c r="GP44" s="149"/>
      <c r="GQ44" s="148"/>
      <c r="GR44" s="150"/>
      <c r="GS44" s="151"/>
      <c r="GT44" s="152"/>
      <c r="GU44" s="131"/>
      <c r="GV44" s="130"/>
      <c r="GW44" s="74"/>
      <c r="GX44" s="74"/>
      <c r="GY44" s="85"/>
      <c r="GZ44" s="86"/>
    </row>
    <row r="45" spans="1:208" x14ac:dyDescent="0.25">
      <c r="A45"/>
      <c r="D45" s="35"/>
      <c r="E45" s="36"/>
      <c r="F45" s="37"/>
      <c r="G45" s="38"/>
      <c r="H45" s="39"/>
      <c r="I45" s="40"/>
      <c r="J45" s="68"/>
      <c r="K45" s="407"/>
      <c r="L45" s="70"/>
      <c r="M45" s="71"/>
      <c r="N45" s="56"/>
      <c r="O45" s="72"/>
      <c r="P45" s="113">
        <f t="shared" si="4"/>
        <v>0</v>
      </c>
      <c r="Q45" s="117"/>
      <c r="R45" s="117"/>
      <c r="S45" s="117"/>
      <c r="T45" s="39">
        <f t="shared" ref="T45:T52" si="5">Q45*O45+S45+0</f>
        <v>0</v>
      </c>
      <c r="U45" s="375"/>
      <c r="V45" s="144"/>
      <c r="W45" s="377"/>
      <c r="X45" s="146"/>
      <c r="Y45" s="147"/>
      <c r="Z45" s="148"/>
      <c r="AA45" s="149"/>
      <c r="AB45" s="148"/>
      <c r="AC45" s="150"/>
      <c r="AD45" s="151"/>
      <c r="AE45" s="146"/>
      <c r="AF45" s="146"/>
      <c r="AG45" s="146"/>
      <c r="AH45" s="147"/>
      <c r="AI45" s="148"/>
      <c r="AJ45" s="149"/>
      <c r="AK45" s="148"/>
      <c r="AL45" s="150"/>
      <c r="AM45" s="151"/>
      <c r="AN45" s="146"/>
      <c r="AO45" s="146"/>
      <c r="AP45" s="146"/>
      <c r="AQ45" s="147"/>
      <c r="AR45" s="148"/>
      <c r="AS45" s="149"/>
      <c r="AT45" s="148"/>
      <c r="AU45" s="150"/>
      <c r="AV45" s="151"/>
      <c r="AW45" s="146"/>
      <c r="AX45" s="146"/>
      <c r="AY45" s="146"/>
      <c r="AZ45" s="147"/>
      <c r="BA45" s="148"/>
      <c r="BB45" s="149"/>
      <c r="BC45" s="148"/>
      <c r="BD45" s="150"/>
      <c r="BE45" s="151"/>
      <c r="BF45" s="146"/>
      <c r="BG45" s="146"/>
      <c r="BH45" s="146"/>
      <c r="BI45" s="147"/>
      <c r="BJ45" s="148"/>
      <c r="BK45" s="149"/>
      <c r="BL45" s="148"/>
      <c r="BM45" s="150"/>
      <c r="BN45" s="151"/>
      <c r="BO45" s="146"/>
      <c r="BP45" s="146"/>
      <c r="BQ45" s="146"/>
      <c r="BR45" s="147"/>
      <c r="BS45" s="148"/>
      <c r="BT45" s="149"/>
      <c r="BU45" s="148"/>
      <c r="BV45" s="150"/>
      <c r="BW45" s="151"/>
      <c r="BX45" s="146"/>
      <c r="BY45" s="146"/>
      <c r="BZ45" s="146"/>
      <c r="CA45" s="147"/>
      <c r="CB45" s="148"/>
      <c r="CC45" s="149"/>
      <c r="CD45" s="148"/>
      <c r="CE45" s="150"/>
      <c r="CF45" s="151"/>
      <c r="CG45" s="146"/>
      <c r="CH45" s="146"/>
      <c r="CI45" s="146"/>
      <c r="CJ45" s="147"/>
      <c r="CK45" s="148"/>
      <c r="CL45" s="149"/>
      <c r="CM45" s="148"/>
      <c r="CN45" s="150"/>
      <c r="CO45" s="151"/>
      <c r="CP45" s="146"/>
      <c r="CQ45" s="146"/>
      <c r="CR45" s="146"/>
      <c r="CS45" s="147"/>
      <c r="CT45" s="148"/>
      <c r="CU45" s="149"/>
      <c r="CV45" s="148"/>
      <c r="CW45" s="150"/>
      <c r="CX45" s="151"/>
      <c r="CY45" s="146"/>
      <c r="CZ45" s="146"/>
      <c r="DA45" s="146"/>
      <c r="DB45" s="147"/>
      <c r="DC45" s="148"/>
      <c r="DD45" s="149"/>
      <c r="DE45" s="148"/>
      <c r="DF45" s="150"/>
      <c r="DG45" s="151"/>
      <c r="DH45" s="146"/>
      <c r="DI45" s="146"/>
      <c r="DJ45" s="146"/>
      <c r="DK45" s="147"/>
      <c r="DL45" s="148"/>
      <c r="DM45" s="149"/>
      <c r="DN45" s="148"/>
      <c r="DO45" s="150"/>
      <c r="DP45" s="151"/>
      <c r="DQ45" s="146"/>
      <c r="DR45" s="146"/>
      <c r="DS45" s="146"/>
      <c r="DT45" s="147"/>
      <c r="DU45" s="148"/>
      <c r="DV45" s="149"/>
      <c r="DW45" s="148"/>
      <c r="DX45" s="150"/>
      <c r="DY45" s="151"/>
      <c r="DZ45" s="146"/>
      <c r="EA45" s="146"/>
      <c r="EB45" s="146"/>
      <c r="EC45" s="147"/>
      <c r="ED45" s="148"/>
      <c r="EE45" s="149"/>
      <c r="EF45" s="148"/>
      <c r="EG45" s="150"/>
      <c r="EH45" s="151"/>
      <c r="EI45" s="146"/>
      <c r="EJ45" s="146"/>
      <c r="EK45" s="146"/>
      <c r="EL45" s="147"/>
      <c r="EM45" s="148"/>
      <c r="EN45" s="149"/>
      <c r="EO45" s="148"/>
      <c r="EP45" s="150"/>
      <c r="EQ45" s="151"/>
      <c r="ER45" s="146"/>
      <c r="ES45" s="146"/>
      <c r="ET45" s="146"/>
      <c r="EU45" s="147"/>
      <c r="EV45" s="148"/>
      <c r="EW45" s="149"/>
      <c r="EX45" s="148"/>
      <c r="EY45" s="150"/>
      <c r="EZ45" s="151"/>
      <c r="FA45" s="146"/>
      <c r="FB45" s="146"/>
      <c r="FC45" s="146"/>
      <c r="FD45" s="147"/>
      <c r="FE45" s="148"/>
      <c r="FF45" s="149"/>
      <c r="FG45" s="148"/>
      <c r="FH45" s="150"/>
      <c r="FI45" s="151"/>
      <c r="FJ45" s="146"/>
      <c r="FK45" s="146"/>
      <c r="FL45" s="146"/>
      <c r="FM45" s="147"/>
      <c r="FN45" s="148"/>
      <c r="FO45" s="149"/>
      <c r="FP45" s="148"/>
      <c r="FQ45" s="150"/>
      <c r="FR45" s="151"/>
      <c r="FS45" s="146"/>
      <c r="FT45" s="146"/>
      <c r="FU45" s="146"/>
      <c r="FV45" s="147"/>
      <c r="FW45" s="148"/>
      <c r="FX45" s="149"/>
      <c r="FY45" s="148"/>
      <c r="FZ45" s="150"/>
      <c r="GA45" s="151"/>
      <c r="GB45" s="146"/>
      <c r="GC45" s="146"/>
      <c r="GD45" s="146"/>
      <c r="GE45" s="147"/>
      <c r="GF45" s="148"/>
      <c r="GG45" s="149"/>
      <c r="GH45" s="148"/>
      <c r="GI45" s="150"/>
      <c r="GJ45" s="151"/>
      <c r="GK45" s="146"/>
      <c r="GL45" s="146"/>
      <c r="GM45" s="146"/>
      <c r="GN45" s="147"/>
      <c r="GO45" s="148"/>
      <c r="GP45" s="149"/>
      <c r="GQ45" s="148"/>
      <c r="GR45" s="150"/>
      <c r="GS45" s="151"/>
      <c r="GT45" s="152"/>
      <c r="GU45" s="98"/>
      <c r="GV45" s="130"/>
      <c r="GW45" s="74"/>
      <c r="GX45" s="132"/>
      <c r="GY45" s="85"/>
      <c r="GZ45" s="86"/>
    </row>
    <row r="46" spans="1:208" x14ac:dyDescent="0.25">
      <c r="A46"/>
      <c r="D46" s="35"/>
      <c r="E46" s="36"/>
      <c r="F46" s="37"/>
      <c r="G46" s="38"/>
      <c r="H46" s="39"/>
      <c r="I46" s="40"/>
      <c r="J46" s="68"/>
      <c r="K46" s="39">
        <f t="shared" ref="K46:K69" si="6">H46*F46</f>
        <v>0</v>
      </c>
      <c r="L46" s="70"/>
      <c r="M46" s="71"/>
      <c r="N46" s="56"/>
      <c r="O46" s="72"/>
      <c r="P46" s="113">
        <f t="shared" si="4"/>
        <v>0</v>
      </c>
      <c r="Q46" s="117"/>
      <c r="R46" s="117"/>
      <c r="S46" s="117"/>
      <c r="T46" s="39">
        <f t="shared" si="5"/>
        <v>0</v>
      </c>
      <c r="U46" s="115"/>
      <c r="V46" s="112"/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152"/>
      <c r="GU46" s="98"/>
      <c r="GV46" s="130"/>
      <c r="GW46" s="74"/>
      <c r="GX46" s="132"/>
      <c r="GY46" s="85"/>
      <c r="GZ46" s="86"/>
    </row>
    <row r="47" spans="1:208" x14ac:dyDescent="0.25">
      <c r="A47"/>
      <c r="D47" s="35"/>
      <c r="E47" s="36"/>
      <c r="F47" s="37"/>
      <c r="G47" s="38"/>
      <c r="H47" s="39"/>
      <c r="I47" s="40"/>
      <c r="J47" s="68"/>
      <c r="K47" s="39">
        <f t="shared" si="6"/>
        <v>0</v>
      </c>
      <c r="L47" s="70"/>
      <c r="M47" s="71"/>
      <c r="N47" s="56"/>
      <c r="O47" s="72"/>
      <c r="P47" s="113">
        <f t="shared" si="4"/>
        <v>0</v>
      </c>
      <c r="Q47" s="117"/>
      <c r="R47" s="117"/>
      <c r="S47" s="117"/>
      <c r="T47" s="39">
        <f t="shared" si="5"/>
        <v>0</v>
      </c>
      <c r="U47" s="115"/>
      <c r="V47" s="112"/>
      <c r="W47" s="377"/>
      <c r="X47" s="146"/>
      <c r="Y47" s="147"/>
      <c r="Z47" s="148"/>
      <c r="AA47" s="149"/>
      <c r="AB47" s="148"/>
      <c r="AC47" s="150"/>
      <c r="AD47" s="151"/>
      <c r="AE47" s="146"/>
      <c r="AF47" s="146"/>
      <c r="AG47" s="146"/>
      <c r="AH47" s="147"/>
      <c r="AI47" s="148"/>
      <c r="AJ47" s="149"/>
      <c r="AK47" s="148"/>
      <c r="AL47" s="150"/>
      <c r="AM47" s="151"/>
      <c r="AN47" s="146"/>
      <c r="AO47" s="146"/>
      <c r="AP47" s="146"/>
      <c r="AQ47" s="147"/>
      <c r="AR47" s="148"/>
      <c r="AS47" s="149"/>
      <c r="AT47" s="148"/>
      <c r="AU47" s="150"/>
      <c r="AV47" s="151"/>
      <c r="AW47" s="146"/>
      <c r="AX47" s="146"/>
      <c r="AY47" s="146"/>
      <c r="AZ47" s="147"/>
      <c r="BA47" s="148"/>
      <c r="BB47" s="149"/>
      <c r="BC47" s="148"/>
      <c r="BD47" s="150"/>
      <c r="BE47" s="151"/>
      <c r="BF47" s="146"/>
      <c r="BG47" s="146"/>
      <c r="BH47" s="146"/>
      <c r="BI47" s="147"/>
      <c r="BJ47" s="148"/>
      <c r="BK47" s="149"/>
      <c r="BL47" s="148"/>
      <c r="BM47" s="150"/>
      <c r="BN47" s="151"/>
      <c r="BO47" s="146"/>
      <c r="BP47" s="146"/>
      <c r="BQ47" s="146"/>
      <c r="BR47" s="147"/>
      <c r="BS47" s="148"/>
      <c r="BT47" s="149"/>
      <c r="BU47" s="148"/>
      <c r="BV47" s="150"/>
      <c r="BW47" s="151"/>
      <c r="BX47" s="146"/>
      <c r="BY47" s="146"/>
      <c r="BZ47" s="146"/>
      <c r="CA47" s="147"/>
      <c r="CB47" s="148"/>
      <c r="CC47" s="149"/>
      <c r="CD47" s="148"/>
      <c r="CE47" s="150"/>
      <c r="CF47" s="151"/>
      <c r="CG47" s="146"/>
      <c r="CH47" s="146"/>
      <c r="CI47" s="146"/>
      <c r="CJ47" s="147"/>
      <c r="CK47" s="148"/>
      <c r="CL47" s="149"/>
      <c r="CM47" s="148"/>
      <c r="CN47" s="150"/>
      <c r="CO47" s="151"/>
      <c r="CP47" s="146"/>
      <c r="CQ47" s="146"/>
      <c r="CR47" s="146"/>
      <c r="CS47" s="147"/>
      <c r="CT47" s="148"/>
      <c r="CU47" s="149"/>
      <c r="CV47" s="148"/>
      <c r="CW47" s="150"/>
      <c r="CX47" s="151"/>
      <c r="CY47" s="146"/>
      <c r="CZ47" s="146"/>
      <c r="DA47" s="146"/>
      <c r="DB47" s="147"/>
      <c r="DC47" s="148"/>
      <c r="DD47" s="149"/>
      <c r="DE47" s="148"/>
      <c r="DF47" s="150"/>
      <c r="DG47" s="151"/>
      <c r="DH47" s="146"/>
      <c r="DI47" s="146"/>
      <c r="DJ47" s="146"/>
      <c r="DK47" s="147"/>
      <c r="DL47" s="148"/>
      <c r="DM47" s="149"/>
      <c r="DN47" s="148"/>
      <c r="DO47" s="150"/>
      <c r="DP47" s="151"/>
      <c r="DQ47" s="146"/>
      <c r="DR47" s="146"/>
      <c r="DS47" s="146"/>
      <c r="DT47" s="147"/>
      <c r="DU47" s="148"/>
      <c r="DV47" s="149"/>
      <c r="DW47" s="148"/>
      <c r="DX47" s="150"/>
      <c r="DY47" s="151"/>
      <c r="DZ47" s="146"/>
      <c r="EA47" s="146"/>
      <c r="EB47" s="146"/>
      <c r="EC47" s="147"/>
      <c r="ED47" s="148"/>
      <c r="EE47" s="149"/>
      <c r="EF47" s="148"/>
      <c r="EG47" s="150"/>
      <c r="EH47" s="151"/>
      <c r="EI47" s="146"/>
      <c r="EJ47" s="146"/>
      <c r="EK47" s="146"/>
      <c r="EL47" s="147"/>
      <c r="EM47" s="148"/>
      <c r="EN47" s="149"/>
      <c r="EO47" s="148"/>
      <c r="EP47" s="150"/>
      <c r="EQ47" s="151"/>
      <c r="ER47" s="146"/>
      <c r="ES47" s="146"/>
      <c r="ET47" s="146"/>
      <c r="EU47" s="147"/>
      <c r="EV47" s="148"/>
      <c r="EW47" s="149"/>
      <c r="EX47" s="148"/>
      <c r="EY47" s="150"/>
      <c r="EZ47" s="151"/>
      <c r="FA47" s="146"/>
      <c r="FB47" s="146"/>
      <c r="FC47" s="146"/>
      <c r="FD47" s="147"/>
      <c r="FE47" s="148"/>
      <c r="FF47" s="149"/>
      <c r="FG47" s="148"/>
      <c r="FH47" s="150"/>
      <c r="FI47" s="151"/>
      <c r="FJ47" s="146"/>
      <c r="FK47" s="146"/>
      <c r="FL47" s="146"/>
      <c r="FM47" s="147"/>
      <c r="FN47" s="148"/>
      <c r="FO47" s="149"/>
      <c r="FP47" s="148"/>
      <c r="FQ47" s="150"/>
      <c r="FR47" s="151"/>
      <c r="FS47" s="146"/>
      <c r="FT47" s="146"/>
      <c r="FU47" s="146"/>
      <c r="FV47" s="147"/>
      <c r="FW47" s="148"/>
      <c r="FX47" s="149"/>
      <c r="FY47" s="148"/>
      <c r="FZ47" s="150"/>
      <c r="GA47" s="151"/>
      <c r="GB47" s="146"/>
      <c r="GC47" s="146"/>
      <c r="GD47" s="146"/>
      <c r="GE47" s="147"/>
      <c r="GF47" s="148"/>
      <c r="GG47" s="149"/>
      <c r="GH47" s="148"/>
      <c r="GI47" s="150"/>
      <c r="GJ47" s="151"/>
      <c r="GK47" s="146"/>
      <c r="GL47" s="146"/>
      <c r="GM47" s="146"/>
      <c r="GN47" s="147"/>
      <c r="GO47" s="148"/>
      <c r="GP47" s="149"/>
      <c r="GQ47" s="148"/>
      <c r="GR47" s="150"/>
      <c r="GS47" s="151"/>
      <c r="GT47" s="152"/>
      <c r="GU47" s="98"/>
      <c r="GV47" s="130"/>
      <c r="GW47" s="74"/>
      <c r="GX47" s="132"/>
      <c r="GY47" s="85"/>
      <c r="GZ47" s="86"/>
    </row>
    <row r="48" spans="1:208" x14ac:dyDescent="0.25">
      <c r="A48"/>
      <c r="D48" s="35"/>
      <c r="E48" s="36"/>
      <c r="F48" s="37"/>
      <c r="G48" s="38"/>
      <c r="H48" s="39"/>
      <c r="I48" s="40"/>
      <c r="J48" s="68"/>
      <c r="K48" s="39">
        <f t="shared" si="6"/>
        <v>0</v>
      </c>
      <c r="L48" s="70"/>
      <c r="M48" s="71"/>
      <c r="N48" s="56"/>
      <c r="O48" s="72"/>
      <c r="P48" s="113">
        <f t="shared" si="4"/>
        <v>0</v>
      </c>
      <c r="Q48" s="117"/>
      <c r="R48" s="117"/>
      <c r="S48" s="117"/>
      <c r="T48" s="39">
        <f t="shared" si="5"/>
        <v>0</v>
      </c>
      <c r="U48" s="115"/>
      <c r="V48" s="112"/>
      <c r="W48" s="377"/>
      <c r="X48" s="146"/>
      <c r="Y48" s="147"/>
      <c r="Z48" s="148"/>
      <c r="AA48" s="149"/>
      <c r="AB48" s="148"/>
      <c r="AC48" s="150"/>
      <c r="AD48" s="151"/>
      <c r="AE48" s="146"/>
      <c r="AF48" s="146"/>
      <c r="AG48" s="146"/>
      <c r="AH48" s="147"/>
      <c r="AI48" s="148"/>
      <c r="AJ48" s="149"/>
      <c r="AK48" s="148"/>
      <c r="AL48" s="150"/>
      <c r="AM48" s="151"/>
      <c r="AN48" s="146"/>
      <c r="AO48" s="146"/>
      <c r="AP48" s="146"/>
      <c r="AQ48" s="147"/>
      <c r="AR48" s="148"/>
      <c r="AS48" s="149"/>
      <c r="AT48" s="148"/>
      <c r="AU48" s="150"/>
      <c r="AV48" s="151"/>
      <c r="AW48" s="146"/>
      <c r="AX48" s="146"/>
      <c r="AY48" s="146"/>
      <c r="AZ48" s="147"/>
      <c r="BA48" s="148"/>
      <c r="BB48" s="149"/>
      <c r="BC48" s="148"/>
      <c r="BD48" s="150"/>
      <c r="BE48" s="151"/>
      <c r="BF48" s="146"/>
      <c r="BG48" s="146"/>
      <c r="BH48" s="146"/>
      <c r="BI48" s="147"/>
      <c r="BJ48" s="148"/>
      <c r="BK48" s="149"/>
      <c r="BL48" s="148"/>
      <c r="BM48" s="150"/>
      <c r="BN48" s="151"/>
      <c r="BO48" s="146"/>
      <c r="BP48" s="146"/>
      <c r="BQ48" s="146"/>
      <c r="BR48" s="147"/>
      <c r="BS48" s="148"/>
      <c r="BT48" s="149"/>
      <c r="BU48" s="148"/>
      <c r="BV48" s="150"/>
      <c r="BW48" s="151"/>
      <c r="BX48" s="146"/>
      <c r="BY48" s="146"/>
      <c r="BZ48" s="146"/>
      <c r="CA48" s="147"/>
      <c r="CB48" s="148"/>
      <c r="CC48" s="149"/>
      <c r="CD48" s="148"/>
      <c r="CE48" s="150"/>
      <c r="CF48" s="151"/>
      <c r="CG48" s="146"/>
      <c r="CH48" s="146"/>
      <c r="CI48" s="146"/>
      <c r="CJ48" s="147"/>
      <c r="CK48" s="148"/>
      <c r="CL48" s="149"/>
      <c r="CM48" s="148"/>
      <c r="CN48" s="150"/>
      <c r="CO48" s="151"/>
      <c r="CP48" s="146"/>
      <c r="CQ48" s="146"/>
      <c r="CR48" s="146"/>
      <c r="CS48" s="147"/>
      <c r="CT48" s="148"/>
      <c r="CU48" s="149"/>
      <c r="CV48" s="148"/>
      <c r="CW48" s="150"/>
      <c r="CX48" s="151"/>
      <c r="CY48" s="146"/>
      <c r="CZ48" s="146"/>
      <c r="DA48" s="146"/>
      <c r="DB48" s="147"/>
      <c r="DC48" s="148"/>
      <c r="DD48" s="149"/>
      <c r="DE48" s="148"/>
      <c r="DF48" s="150"/>
      <c r="DG48" s="151"/>
      <c r="DH48" s="146"/>
      <c r="DI48" s="146"/>
      <c r="DJ48" s="146"/>
      <c r="DK48" s="147"/>
      <c r="DL48" s="148"/>
      <c r="DM48" s="149"/>
      <c r="DN48" s="148"/>
      <c r="DO48" s="150"/>
      <c r="DP48" s="151"/>
      <c r="DQ48" s="146"/>
      <c r="DR48" s="146"/>
      <c r="DS48" s="146"/>
      <c r="DT48" s="147"/>
      <c r="DU48" s="148"/>
      <c r="DV48" s="149"/>
      <c r="DW48" s="148"/>
      <c r="DX48" s="150"/>
      <c r="DY48" s="151"/>
      <c r="DZ48" s="146"/>
      <c r="EA48" s="146"/>
      <c r="EB48" s="146"/>
      <c r="EC48" s="147"/>
      <c r="ED48" s="148"/>
      <c r="EE48" s="149"/>
      <c r="EF48" s="148"/>
      <c r="EG48" s="150"/>
      <c r="EH48" s="151"/>
      <c r="EI48" s="146"/>
      <c r="EJ48" s="146"/>
      <c r="EK48" s="146"/>
      <c r="EL48" s="147"/>
      <c r="EM48" s="148"/>
      <c r="EN48" s="149"/>
      <c r="EO48" s="148"/>
      <c r="EP48" s="150"/>
      <c r="EQ48" s="151"/>
      <c r="ER48" s="146"/>
      <c r="ES48" s="146"/>
      <c r="ET48" s="146"/>
      <c r="EU48" s="147"/>
      <c r="EV48" s="148"/>
      <c r="EW48" s="149"/>
      <c r="EX48" s="148"/>
      <c r="EY48" s="150"/>
      <c r="EZ48" s="151"/>
      <c r="FA48" s="146"/>
      <c r="FB48" s="146"/>
      <c r="FC48" s="146"/>
      <c r="FD48" s="147"/>
      <c r="FE48" s="148"/>
      <c r="FF48" s="149"/>
      <c r="FG48" s="148"/>
      <c r="FH48" s="150"/>
      <c r="FI48" s="151"/>
      <c r="FJ48" s="146"/>
      <c r="FK48" s="146"/>
      <c r="FL48" s="146"/>
      <c r="FM48" s="147"/>
      <c r="FN48" s="148"/>
      <c r="FO48" s="149"/>
      <c r="FP48" s="148"/>
      <c r="FQ48" s="150"/>
      <c r="FR48" s="151"/>
      <c r="FS48" s="146"/>
      <c r="FT48" s="146"/>
      <c r="FU48" s="146"/>
      <c r="FV48" s="147"/>
      <c r="FW48" s="148"/>
      <c r="FX48" s="149"/>
      <c r="FY48" s="148"/>
      <c r="FZ48" s="150"/>
      <c r="GA48" s="151"/>
      <c r="GB48" s="146"/>
      <c r="GC48" s="146"/>
      <c r="GD48" s="146"/>
      <c r="GE48" s="147"/>
      <c r="GF48" s="148"/>
      <c r="GG48" s="149"/>
      <c r="GH48" s="148"/>
      <c r="GI48" s="150"/>
      <c r="GJ48" s="151"/>
      <c r="GK48" s="146"/>
      <c r="GL48" s="146"/>
      <c r="GM48" s="146"/>
      <c r="GN48" s="147"/>
      <c r="GO48" s="148"/>
      <c r="GP48" s="149"/>
      <c r="GQ48" s="148"/>
      <c r="GR48" s="150"/>
      <c r="GS48" s="151"/>
      <c r="GT48" s="152"/>
      <c r="GU48" s="98"/>
      <c r="GV48" s="130"/>
      <c r="GW48" s="74"/>
      <c r="GX48" s="132"/>
      <c r="GY48" s="85"/>
      <c r="GZ48" s="86"/>
    </row>
    <row r="49" spans="1:208" x14ac:dyDescent="0.25">
      <c r="A49"/>
      <c r="D49" s="35"/>
      <c r="E49" s="36"/>
      <c r="F49" s="37"/>
      <c r="G49" s="38"/>
      <c r="H49" s="39"/>
      <c r="I49" s="40"/>
      <c r="J49" s="68"/>
      <c r="K49" s="39">
        <f t="shared" si="6"/>
        <v>0</v>
      </c>
      <c r="L49" s="70"/>
      <c r="M49" s="71"/>
      <c r="N49" s="56"/>
      <c r="O49" s="72"/>
      <c r="P49" s="113">
        <f t="shared" si="4"/>
        <v>0</v>
      </c>
      <c r="Q49" s="117"/>
      <c r="R49" s="117"/>
      <c r="S49" s="117"/>
      <c r="T49" s="39">
        <f t="shared" si="5"/>
        <v>0</v>
      </c>
      <c r="U49" s="115"/>
      <c r="V49" s="112"/>
      <c r="W49" s="377"/>
      <c r="X49" s="146"/>
      <c r="Y49" s="147"/>
      <c r="Z49" s="148"/>
      <c r="AA49" s="149"/>
      <c r="AB49" s="148"/>
      <c r="AC49" s="150"/>
      <c r="AD49" s="151"/>
      <c r="AE49" s="146"/>
      <c r="AF49" s="146"/>
      <c r="AG49" s="146"/>
      <c r="AH49" s="147"/>
      <c r="AI49" s="148"/>
      <c r="AJ49" s="149"/>
      <c r="AK49" s="148"/>
      <c r="AL49" s="150"/>
      <c r="AM49" s="151"/>
      <c r="AN49" s="146"/>
      <c r="AO49" s="146"/>
      <c r="AP49" s="146"/>
      <c r="AQ49" s="147"/>
      <c r="AR49" s="148"/>
      <c r="AS49" s="149"/>
      <c r="AT49" s="148"/>
      <c r="AU49" s="150"/>
      <c r="AV49" s="151"/>
      <c r="AW49" s="146"/>
      <c r="AX49" s="146"/>
      <c r="AY49" s="146"/>
      <c r="AZ49" s="147"/>
      <c r="BA49" s="148"/>
      <c r="BB49" s="149"/>
      <c r="BC49" s="148"/>
      <c r="BD49" s="150"/>
      <c r="BE49" s="151"/>
      <c r="BF49" s="146"/>
      <c r="BG49" s="146"/>
      <c r="BH49" s="146"/>
      <c r="BI49" s="147"/>
      <c r="BJ49" s="148"/>
      <c r="BK49" s="149"/>
      <c r="BL49" s="148"/>
      <c r="BM49" s="150"/>
      <c r="BN49" s="151"/>
      <c r="BO49" s="146"/>
      <c r="BP49" s="146"/>
      <c r="BQ49" s="146"/>
      <c r="BR49" s="147"/>
      <c r="BS49" s="148"/>
      <c r="BT49" s="149"/>
      <c r="BU49" s="148"/>
      <c r="BV49" s="150"/>
      <c r="BW49" s="151"/>
      <c r="BX49" s="146"/>
      <c r="BY49" s="146"/>
      <c r="BZ49" s="146"/>
      <c r="CA49" s="147"/>
      <c r="CB49" s="148"/>
      <c r="CC49" s="149"/>
      <c r="CD49" s="148"/>
      <c r="CE49" s="150"/>
      <c r="CF49" s="151"/>
      <c r="CG49" s="146"/>
      <c r="CH49" s="146"/>
      <c r="CI49" s="146"/>
      <c r="CJ49" s="147"/>
      <c r="CK49" s="148"/>
      <c r="CL49" s="149"/>
      <c r="CM49" s="148"/>
      <c r="CN49" s="150"/>
      <c r="CO49" s="151"/>
      <c r="CP49" s="146"/>
      <c r="CQ49" s="146"/>
      <c r="CR49" s="146"/>
      <c r="CS49" s="147"/>
      <c r="CT49" s="148"/>
      <c r="CU49" s="149"/>
      <c r="CV49" s="148"/>
      <c r="CW49" s="150"/>
      <c r="CX49" s="151"/>
      <c r="CY49" s="146"/>
      <c r="CZ49" s="146"/>
      <c r="DA49" s="146"/>
      <c r="DB49" s="147"/>
      <c r="DC49" s="148"/>
      <c r="DD49" s="149"/>
      <c r="DE49" s="148"/>
      <c r="DF49" s="150"/>
      <c r="DG49" s="151"/>
      <c r="DH49" s="146"/>
      <c r="DI49" s="146"/>
      <c r="DJ49" s="146"/>
      <c r="DK49" s="147"/>
      <c r="DL49" s="148"/>
      <c r="DM49" s="149"/>
      <c r="DN49" s="148"/>
      <c r="DO49" s="150"/>
      <c r="DP49" s="151"/>
      <c r="DQ49" s="146"/>
      <c r="DR49" s="146"/>
      <c r="DS49" s="146"/>
      <c r="DT49" s="147"/>
      <c r="DU49" s="148"/>
      <c r="DV49" s="149"/>
      <c r="DW49" s="148"/>
      <c r="DX49" s="150"/>
      <c r="DY49" s="151"/>
      <c r="DZ49" s="146"/>
      <c r="EA49" s="146"/>
      <c r="EB49" s="146"/>
      <c r="EC49" s="147"/>
      <c r="ED49" s="148"/>
      <c r="EE49" s="149"/>
      <c r="EF49" s="148"/>
      <c r="EG49" s="150"/>
      <c r="EH49" s="151"/>
      <c r="EI49" s="146"/>
      <c r="EJ49" s="146"/>
      <c r="EK49" s="146"/>
      <c r="EL49" s="147"/>
      <c r="EM49" s="148"/>
      <c r="EN49" s="149"/>
      <c r="EO49" s="148"/>
      <c r="EP49" s="150"/>
      <c r="EQ49" s="151"/>
      <c r="ER49" s="146"/>
      <c r="ES49" s="146"/>
      <c r="ET49" s="146"/>
      <c r="EU49" s="147"/>
      <c r="EV49" s="148"/>
      <c r="EW49" s="149"/>
      <c r="EX49" s="148"/>
      <c r="EY49" s="150"/>
      <c r="EZ49" s="151"/>
      <c r="FA49" s="146"/>
      <c r="FB49" s="146"/>
      <c r="FC49" s="146"/>
      <c r="FD49" s="147"/>
      <c r="FE49" s="148"/>
      <c r="FF49" s="149"/>
      <c r="FG49" s="148"/>
      <c r="FH49" s="150"/>
      <c r="FI49" s="151"/>
      <c r="FJ49" s="146"/>
      <c r="FK49" s="146"/>
      <c r="FL49" s="146"/>
      <c r="FM49" s="147"/>
      <c r="FN49" s="148"/>
      <c r="FO49" s="149"/>
      <c r="FP49" s="148"/>
      <c r="FQ49" s="150"/>
      <c r="FR49" s="151"/>
      <c r="FS49" s="146"/>
      <c r="FT49" s="146"/>
      <c r="FU49" s="146"/>
      <c r="FV49" s="147"/>
      <c r="FW49" s="148"/>
      <c r="FX49" s="149"/>
      <c r="FY49" s="148"/>
      <c r="FZ49" s="150"/>
      <c r="GA49" s="151"/>
      <c r="GB49" s="146"/>
      <c r="GC49" s="146"/>
      <c r="GD49" s="146"/>
      <c r="GE49" s="147"/>
      <c r="GF49" s="148"/>
      <c r="GG49" s="149"/>
      <c r="GH49" s="148"/>
      <c r="GI49" s="150"/>
      <c r="GJ49" s="151"/>
      <c r="GK49" s="146"/>
      <c r="GL49" s="146"/>
      <c r="GM49" s="146"/>
      <c r="GN49" s="147"/>
      <c r="GO49" s="148"/>
      <c r="GP49" s="149"/>
      <c r="GQ49" s="148"/>
      <c r="GR49" s="150"/>
      <c r="GS49" s="151"/>
      <c r="GT49" s="152"/>
      <c r="GU49" s="98"/>
      <c r="GV49" s="130"/>
      <c r="GW49" s="74"/>
      <c r="GX49" s="132"/>
      <c r="GY49" s="85"/>
      <c r="GZ49" s="86"/>
    </row>
    <row r="50" spans="1:208" x14ac:dyDescent="0.25">
      <c r="A50"/>
      <c r="D50" s="35"/>
      <c r="E50" s="36"/>
      <c r="F50" s="37"/>
      <c r="G50" s="38"/>
      <c r="H50" s="39"/>
      <c r="I50" s="40"/>
      <c r="J50" s="76"/>
      <c r="K50" s="39">
        <f t="shared" si="6"/>
        <v>0</v>
      </c>
      <c r="L50" s="70"/>
      <c r="M50" s="71"/>
      <c r="N50" s="119"/>
      <c r="O50" s="72"/>
      <c r="P50" s="113">
        <f t="shared" si="4"/>
        <v>0</v>
      </c>
      <c r="Q50" s="117"/>
      <c r="R50" s="117"/>
      <c r="S50" s="117"/>
      <c r="T50" s="39">
        <f t="shared" si="5"/>
        <v>0</v>
      </c>
      <c r="U50" s="375"/>
      <c r="V50" s="144"/>
      <c r="W50" s="377"/>
      <c r="X50" s="146"/>
      <c r="Y50" s="147"/>
      <c r="Z50" s="148"/>
      <c r="AA50" s="149"/>
      <c r="AB50" s="148"/>
      <c r="AC50" s="150"/>
      <c r="AD50" s="151"/>
      <c r="AE50" s="146"/>
      <c r="AF50" s="146"/>
      <c r="AG50" s="146"/>
      <c r="AH50" s="147"/>
      <c r="AI50" s="148"/>
      <c r="AJ50" s="149"/>
      <c r="AK50" s="148"/>
      <c r="AL50" s="150"/>
      <c r="AM50" s="151"/>
      <c r="AN50" s="146"/>
      <c r="AO50" s="146"/>
      <c r="AP50" s="146"/>
      <c r="AQ50" s="147"/>
      <c r="AR50" s="148"/>
      <c r="AS50" s="149"/>
      <c r="AT50" s="148"/>
      <c r="AU50" s="150"/>
      <c r="AV50" s="151"/>
      <c r="AW50" s="146"/>
      <c r="AX50" s="146"/>
      <c r="AY50" s="146"/>
      <c r="AZ50" s="147"/>
      <c r="BA50" s="148"/>
      <c r="BB50" s="149"/>
      <c r="BC50" s="148"/>
      <c r="BD50" s="150"/>
      <c r="BE50" s="151"/>
      <c r="BF50" s="146"/>
      <c r="BG50" s="146"/>
      <c r="BH50" s="146"/>
      <c r="BI50" s="147"/>
      <c r="BJ50" s="148"/>
      <c r="BK50" s="149"/>
      <c r="BL50" s="148"/>
      <c r="BM50" s="150"/>
      <c r="BN50" s="151"/>
      <c r="BO50" s="146"/>
      <c r="BP50" s="146"/>
      <c r="BQ50" s="146"/>
      <c r="BR50" s="147"/>
      <c r="BS50" s="148"/>
      <c r="BT50" s="149"/>
      <c r="BU50" s="148"/>
      <c r="BV50" s="150"/>
      <c r="BW50" s="151"/>
      <c r="BX50" s="146"/>
      <c r="BY50" s="146"/>
      <c r="BZ50" s="146"/>
      <c r="CA50" s="147"/>
      <c r="CB50" s="148"/>
      <c r="CC50" s="149"/>
      <c r="CD50" s="148"/>
      <c r="CE50" s="150"/>
      <c r="CF50" s="151"/>
      <c r="CG50" s="146"/>
      <c r="CH50" s="146"/>
      <c r="CI50" s="146"/>
      <c r="CJ50" s="147"/>
      <c r="CK50" s="148"/>
      <c r="CL50" s="149"/>
      <c r="CM50" s="148"/>
      <c r="CN50" s="150"/>
      <c r="CO50" s="151"/>
      <c r="CP50" s="146"/>
      <c r="CQ50" s="146"/>
      <c r="CR50" s="146"/>
      <c r="CS50" s="147"/>
      <c r="CT50" s="148"/>
      <c r="CU50" s="149"/>
      <c r="CV50" s="148"/>
      <c r="CW50" s="150"/>
      <c r="CX50" s="151"/>
      <c r="CY50" s="146"/>
      <c r="CZ50" s="146"/>
      <c r="DA50" s="146"/>
      <c r="DB50" s="147"/>
      <c r="DC50" s="148"/>
      <c r="DD50" s="149"/>
      <c r="DE50" s="148"/>
      <c r="DF50" s="150"/>
      <c r="DG50" s="151"/>
      <c r="DH50" s="146"/>
      <c r="DI50" s="146"/>
      <c r="DJ50" s="146"/>
      <c r="DK50" s="147"/>
      <c r="DL50" s="148"/>
      <c r="DM50" s="149"/>
      <c r="DN50" s="148"/>
      <c r="DO50" s="150"/>
      <c r="DP50" s="151"/>
      <c r="DQ50" s="146"/>
      <c r="DR50" s="146"/>
      <c r="DS50" s="146"/>
      <c r="DT50" s="147"/>
      <c r="DU50" s="148"/>
      <c r="DV50" s="149"/>
      <c r="DW50" s="148"/>
      <c r="DX50" s="150"/>
      <c r="DY50" s="151"/>
      <c r="DZ50" s="146"/>
      <c r="EA50" s="146"/>
      <c r="EB50" s="146"/>
      <c r="EC50" s="147"/>
      <c r="ED50" s="148"/>
      <c r="EE50" s="149"/>
      <c r="EF50" s="148"/>
      <c r="EG50" s="150"/>
      <c r="EH50" s="151"/>
      <c r="EI50" s="146"/>
      <c r="EJ50" s="146"/>
      <c r="EK50" s="146"/>
      <c r="EL50" s="147"/>
      <c r="EM50" s="148"/>
      <c r="EN50" s="149"/>
      <c r="EO50" s="148"/>
      <c r="EP50" s="150"/>
      <c r="EQ50" s="151"/>
      <c r="ER50" s="146"/>
      <c r="ES50" s="146"/>
      <c r="ET50" s="146"/>
      <c r="EU50" s="147"/>
      <c r="EV50" s="148"/>
      <c r="EW50" s="149"/>
      <c r="EX50" s="148"/>
      <c r="EY50" s="150"/>
      <c r="EZ50" s="151"/>
      <c r="FA50" s="146"/>
      <c r="FB50" s="146"/>
      <c r="FC50" s="146"/>
      <c r="FD50" s="147"/>
      <c r="FE50" s="148"/>
      <c r="FF50" s="149"/>
      <c r="FG50" s="148"/>
      <c r="FH50" s="150"/>
      <c r="FI50" s="151"/>
      <c r="FJ50" s="146"/>
      <c r="FK50" s="146"/>
      <c r="FL50" s="146"/>
      <c r="FM50" s="147"/>
      <c r="FN50" s="148"/>
      <c r="FO50" s="149"/>
      <c r="FP50" s="148"/>
      <c r="FQ50" s="150"/>
      <c r="FR50" s="151"/>
      <c r="FS50" s="146"/>
      <c r="FT50" s="146"/>
      <c r="FU50" s="146"/>
      <c r="FV50" s="147"/>
      <c r="FW50" s="148"/>
      <c r="FX50" s="149"/>
      <c r="FY50" s="148"/>
      <c r="FZ50" s="150"/>
      <c r="GA50" s="151"/>
      <c r="GB50" s="146"/>
      <c r="GC50" s="146"/>
      <c r="GD50" s="146"/>
      <c r="GE50" s="147"/>
      <c r="GF50" s="148"/>
      <c r="GG50" s="149"/>
      <c r="GH50" s="148"/>
      <c r="GI50" s="150"/>
      <c r="GJ50" s="151"/>
      <c r="GK50" s="146"/>
      <c r="GL50" s="146"/>
      <c r="GM50" s="146"/>
      <c r="GN50" s="147"/>
      <c r="GO50" s="148"/>
      <c r="GP50" s="149"/>
      <c r="GQ50" s="148"/>
      <c r="GR50" s="150"/>
      <c r="GS50" s="151"/>
      <c r="GT50" s="378"/>
      <c r="GU50" s="98"/>
      <c r="GV50" s="130"/>
      <c r="GW50" s="74"/>
      <c r="GX50" s="74"/>
      <c r="GY50" s="85"/>
      <c r="GZ50" s="86"/>
    </row>
    <row r="51" spans="1:208" x14ac:dyDescent="0.25">
      <c r="A51"/>
      <c r="D51" s="35"/>
      <c r="E51" s="36"/>
      <c r="F51" s="37"/>
      <c r="G51" s="38"/>
      <c r="H51" s="39"/>
      <c r="I51" s="40"/>
      <c r="J51" s="76"/>
      <c r="K51" s="39">
        <f t="shared" si="6"/>
        <v>0</v>
      </c>
      <c r="L51" s="70"/>
      <c r="M51" s="71"/>
      <c r="N51" s="119"/>
      <c r="O51" s="72"/>
      <c r="P51" s="113">
        <f t="shared" si="4"/>
        <v>0</v>
      </c>
      <c r="Q51" s="117"/>
      <c r="R51" s="117"/>
      <c r="S51" s="117"/>
      <c r="T51" s="39">
        <f t="shared" si="5"/>
        <v>0</v>
      </c>
      <c r="U51" s="375"/>
      <c r="V51" s="144"/>
      <c r="W51" s="377"/>
      <c r="X51" s="146"/>
      <c r="Y51" s="147"/>
      <c r="Z51" s="148"/>
      <c r="AA51" s="149"/>
      <c r="AB51" s="148"/>
      <c r="AC51" s="150"/>
      <c r="AD51" s="151"/>
      <c r="AE51" s="146"/>
      <c r="AF51" s="146"/>
      <c r="AG51" s="146"/>
      <c r="AH51" s="147"/>
      <c r="AI51" s="148"/>
      <c r="AJ51" s="149"/>
      <c r="AK51" s="148"/>
      <c r="AL51" s="150"/>
      <c r="AM51" s="151"/>
      <c r="AN51" s="146"/>
      <c r="AO51" s="146"/>
      <c r="AP51" s="146"/>
      <c r="AQ51" s="147"/>
      <c r="AR51" s="148"/>
      <c r="AS51" s="149"/>
      <c r="AT51" s="148"/>
      <c r="AU51" s="150"/>
      <c r="AV51" s="151"/>
      <c r="AW51" s="146"/>
      <c r="AX51" s="146"/>
      <c r="AY51" s="146"/>
      <c r="AZ51" s="147"/>
      <c r="BA51" s="148"/>
      <c r="BB51" s="149"/>
      <c r="BC51" s="148"/>
      <c r="BD51" s="150"/>
      <c r="BE51" s="151"/>
      <c r="BF51" s="146"/>
      <c r="BG51" s="146"/>
      <c r="BH51" s="146"/>
      <c r="BI51" s="147"/>
      <c r="BJ51" s="148"/>
      <c r="BK51" s="149"/>
      <c r="BL51" s="148"/>
      <c r="BM51" s="150"/>
      <c r="BN51" s="151"/>
      <c r="BO51" s="146"/>
      <c r="BP51" s="146"/>
      <c r="BQ51" s="146"/>
      <c r="BR51" s="147"/>
      <c r="BS51" s="148"/>
      <c r="BT51" s="149"/>
      <c r="BU51" s="148"/>
      <c r="BV51" s="150"/>
      <c r="BW51" s="151"/>
      <c r="BX51" s="146"/>
      <c r="BY51" s="146"/>
      <c r="BZ51" s="146"/>
      <c r="CA51" s="147"/>
      <c r="CB51" s="148"/>
      <c r="CC51" s="149"/>
      <c r="CD51" s="148"/>
      <c r="CE51" s="150"/>
      <c r="CF51" s="151"/>
      <c r="CG51" s="146"/>
      <c r="CH51" s="146"/>
      <c r="CI51" s="146"/>
      <c r="CJ51" s="147"/>
      <c r="CK51" s="148"/>
      <c r="CL51" s="149"/>
      <c r="CM51" s="148"/>
      <c r="CN51" s="150"/>
      <c r="CO51" s="151"/>
      <c r="CP51" s="146"/>
      <c r="CQ51" s="146"/>
      <c r="CR51" s="146"/>
      <c r="CS51" s="147"/>
      <c r="CT51" s="148"/>
      <c r="CU51" s="149"/>
      <c r="CV51" s="148"/>
      <c r="CW51" s="150"/>
      <c r="CX51" s="151"/>
      <c r="CY51" s="146"/>
      <c r="CZ51" s="146"/>
      <c r="DA51" s="146"/>
      <c r="DB51" s="147"/>
      <c r="DC51" s="148"/>
      <c r="DD51" s="149"/>
      <c r="DE51" s="148"/>
      <c r="DF51" s="150"/>
      <c r="DG51" s="151"/>
      <c r="DH51" s="146"/>
      <c r="DI51" s="146"/>
      <c r="DJ51" s="146"/>
      <c r="DK51" s="147"/>
      <c r="DL51" s="148"/>
      <c r="DM51" s="149"/>
      <c r="DN51" s="148"/>
      <c r="DO51" s="150"/>
      <c r="DP51" s="151"/>
      <c r="DQ51" s="146"/>
      <c r="DR51" s="146"/>
      <c r="DS51" s="146"/>
      <c r="DT51" s="147"/>
      <c r="DU51" s="148"/>
      <c r="DV51" s="149"/>
      <c r="DW51" s="148"/>
      <c r="DX51" s="150"/>
      <c r="DY51" s="151"/>
      <c r="DZ51" s="146"/>
      <c r="EA51" s="146"/>
      <c r="EB51" s="146"/>
      <c r="EC51" s="147"/>
      <c r="ED51" s="148"/>
      <c r="EE51" s="149"/>
      <c r="EF51" s="148"/>
      <c r="EG51" s="150"/>
      <c r="EH51" s="151"/>
      <c r="EI51" s="146"/>
      <c r="EJ51" s="146"/>
      <c r="EK51" s="146"/>
      <c r="EL51" s="147"/>
      <c r="EM51" s="148"/>
      <c r="EN51" s="149"/>
      <c r="EO51" s="148"/>
      <c r="EP51" s="150"/>
      <c r="EQ51" s="151"/>
      <c r="ER51" s="146"/>
      <c r="ES51" s="146"/>
      <c r="ET51" s="146"/>
      <c r="EU51" s="147"/>
      <c r="EV51" s="148"/>
      <c r="EW51" s="149"/>
      <c r="EX51" s="148"/>
      <c r="EY51" s="150"/>
      <c r="EZ51" s="151"/>
      <c r="FA51" s="146"/>
      <c r="FB51" s="146"/>
      <c r="FC51" s="146"/>
      <c r="FD51" s="147"/>
      <c r="FE51" s="148"/>
      <c r="FF51" s="149"/>
      <c r="FG51" s="148"/>
      <c r="FH51" s="150"/>
      <c r="FI51" s="151"/>
      <c r="FJ51" s="146"/>
      <c r="FK51" s="146"/>
      <c r="FL51" s="146"/>
      <c r="FM51" s="147"/>
      <c r="FN51" s="148"/>
      <c r="FO51" s="149"/>
      <c r="FP51" s="148"/>
      <c r="FQ51" s="150"/>
      <c r="FR51" s="151"/>
      <c r="FS51" s="146"/>
      <c r="FT51" s="146"/>
      <c r="FU51" s="146"/>
      <c r="FV51" s="147"/>
      <c r="FW51" s="148"/>
      <c r="FX51" s="149"/>
      <c r="FY51" s="148"/>
      <c r="FZ51" s="150"/>
      <c r="GA51" s="151"/>
      <c r="GB51" s="146"/>
      <c r="GC51" s="146"/>
      <c r="GD51" s="146"/>
      <c r="GE51" s="147"/>
      <c r="GF51" s="148"/>
      <c r="GG51" s="149"/>
      <c r="GH51" s="148"/>
      <c r="GI51" s="150"/>
      <c r="GJ51" s="151"/>
      <c r="GK51" s="146"/>
      <c r="GL51" s="146"/>
      <c r="GM51" s="146"/>
      <c r="GN51" s="147"/>
      <c r="GO51" s="148"/>
      <c r="GP51" s="149"/>
      <c r="GQ51" s="148"/>
      <c r="GR51" s="150"/>
      <c r="GS51" s="151"/>
      <c r="GT51" s="378"/>
      <c r="GU51" s="98"/>
      <c r="GV51" s="133"/>
      <c r="GW51" s="134"/>
      <c r="GX51" s="134"/>
      <c r="GY51" s="85"/>
      <c r="GZ51" s="86"/>
    </row>
    <row r="52" spans="1:208" x14ac:dyDescent="0.25">
      <c r="A52"/>
      <c r="D52" s="35"/>
      <c r="E52" s="36"/>
      <c r="F52" s="37"/>
      <c r="G52" s="38"/>
      <c r="H52" s="39"/>
      <c r="I52" s="40"/>
      <c r="J52" s="68"/>
      <c r="K52" s="39">
        <f t="shared" si="6"/>
        <v>0</v>
      </c>
      <c r="L52" s="70"/>
      <c r="M52" s="71"/>
      <c r="N52" s="119"/>
      <c r="O52" s="72"/>
      <c r="P52" s="113">
        <f t="shared" si="4"/>
        <v>0</v>
      </c>
      <c r="Q52" s="117"/>
      <c r="R52" s="117"/>
      <c r="S52" s="117"/>
      <c r="T52" s="39">
        <f t="shared" si="5"/>
        <v>0</v>
      </c>
      <c r="U52" s="115"/>
      <c r="V52" s="112"/>
      <c r="W52" s="118"/>
      <c r="X52" s="17"/>
      <c r="Y52" s="20"/>
      <c r="Z52" s="92"/>
      <c r="AA52" s="93"/>
      <c r="AB52" s="92"/>
      <c r="AC52" s="94"/>
      <c r="AD52" s="95"/>
      <c r="AE52" s="17"/>
      <c r="AF52" s="17"/>
      <c r="AG52" s="17"/>
      <c r="AH52" s="20"/>
      <c r="AI52" s="92"/>
      <c r="AJ52" s="93"/>
      <c r="AK52" s="92"/>
      <c r="AL52" s="94"/>
      <c r="AM52" s="95"/>
      <c r="AN52" s="17"/>
      <c r="AO52" s="17"/>
      <c r="AP52" s="17"/>
      <c r="AQ52" s="20"/>
      <c r="AR52" s="92"/>
      <c r="AS52" s="93"/>
      <c r="AT52" s="92"/>
      <c r="AU52" s="94"/>
      <c r="AV52" s="95"/>
      <c r="AW52" s="17"/>
      <c r="AX52" s="17"/>
      <c r="AY52" s="17"/>
      <c r="AZ52" s="20"/>
      <c r="BA52" s="92"/>
      <c r="BB52" s="93"/>
      <c r="BC52" s="92"/>
      <c r="BD52" s="94"/>
      <c r="BE52" s="95"/>
      <c r="BF52" s="17"/>
      <c r="BG52" s="17"/>
      <c r="BH52" s="17"/>
      <c r="BI52" s="20"/>
      <c r="BJ52" s="92"/>
      <c r="BK52" s="93"/>
      <c r="BL52" s="92"/>
      <c r="BM52" s="94"/>
      <c r="BN52" s="95"/>
      <c r="BO52" s="17"/>
      <c r="BP52" s="17"/>
      <c r="BQ52" s="17"/>
      <c r="BR52" s="20"/>
      <c r="BS52" s="92"/>
      <c r="BT52" s="93"/>
      <c r="BU52" s="92"/>
      <c r="BV52" s="94"/>
      <c r="BW52" s="95"/>
      <c r="BX52" s="17"/>
      <c r="BY52" s="17"/>
      <c r="BZ52" s="17"/>
      <c r="CA52" s="20"/>
      <c r="CB52" s="92"/>
      <c r="CC52" s="93"/>
      <c r="CD52" s="92"/>
      <c r="CE52" s="94"/>
      <c r="CF52" s="95"/>
      <c r="CG52" s="17"/>
      <c r="CH52" s="17"/>
      <c r="CI52" s="17"/>
      <c r="CJ52" s="20"/>
      <c r="CK52" s="92"/>
      <c r="CL52" s="93"/>
      <c r="CM52" s="92"/>
      <c r="CN52" s="94"/>
      <c r="CO52" s="95"/>
      <c r="CP52" s="17"/>
      <c r="CQ52" s="17"/>
      <c r="CR52" s="17"/>
      <c r="CS52" s="20"/>
      <c r="CT52" s="92"/>
      <c r="CU52" s="93"/>
      <c r="CV52" s="92"/>
      <c r="CW52" s="94"/>
      <c r="CX52" s="95"/>
      <c r="CY52" s="17"/>
      <c r="CZ52" s="17"/>
      <c r="DA52" s="17"/>
      <c r="DB52" s="20"/>
      <c r="DC52" s="92"/>
      <c r="DD52" s="93"/>
      <c r="DE52" s="92"/>
      <c r="DF52" s="94"/>
      <c r="DG52" s="95"/>
      <c r="DH52" s="17"/>
      <c r="DI52" s="17"/>
      <c r="DJ52" s="17"/>
      <c r="DK52" s="20"/>
      <c r="DL52" s="92"/>
      <c r="DM52" s="93"/>
      <c r="DN52" s="92"/>
      <c r="DO52" s="94"/>
      <c r="DP52" s="95"/>
      <c r="DQ52" s="17"/>
      <c r="DR52" s="17"/>
      <c r="DS52" s="17"/>
      <c r="DT52" s="20"/>
      <c r="DU52" s="92"/>
      <c r="DV52" s="93"/>
      <c r="DW52" s="92"/>
      <c r="DX52" s="94"/>
      <c r="DY52" s="95"/>
      <c r="DZ52" s="17"/>
      <c r="EA52" s="17"/>
      <c r="EB52" s="17"/>
      <c r="EC52" s="20"/>
      <c r="ED52" s="92"/>
      <c r="EE52" s="93"/>
      <c r="EF52" s="92"/>
      <c r="EG52" s="94"/>
      <c r="EH52" s="95"/>
      <c r="EI52" s="17"/>
      <c r="EJ52" s="17"/>
      <c r="EK52" s="17"/>
      <c r="EL52" s="20"/>
      <c r="EM52" s="92"/>
      <c r="EN52" s="93"/>
      <c r="EO52" s="92"/>
      <c r="EP52" s="94"/>
      <c r="EQ52" s="95"/>
      <c r="ER52" s="17"/>
      <c r="ES52" s="17"/>
      <c r="ET52" s="17"/>
      <c r="EU52" s="20"/>
      <c r="EV52" s="92"/>
      <c r="EW52" s="93"/>
      <c r="EX52" s="92"/>
      <c r="EY52" s="94"/>
      <c r="EZ52" s="95"/>
      <c r="FA52" s="17"/>
      <c r="FB52" s="17"/>
      <c r="FC52" s="17"/>
      <c r="FD52" s="20"/>
      <c r="FE52" s="92"/>
      <c r="FF52" s="93"/>
      <c r="FG52" s="92"/>
      <c r="FH52" s="94"/>
      <c r="FI52" s="95"/>
      <c r="FJ52" s="17"/>
      <c r="FK52" s="17"/>
      <c r="FL52" s="17"/>
      <c r="FM52" s="20"/>
      <c r="FN52" s="92"/>
      <c r="FO52" s="93"/>
      <c r="FP52" s="92"/>
      <c r="FQ52" s="94"/>
      <c r="FR52" s="95"/>
      <c r="FS52" s="17"/>
      <c r="FT52" s="17"/>
      <c r="FU52" s="17"/>
      <c r="FV52" s="20"/>
      <c r="FW52" s="92"/>
      <c r="FX52" s="93"/>
      <c r="FY52" s="92"/>
      <c r="FZ52" s="94"/>
      <c r="GA52" s="95"/>
      <c r="GB52" s="17"/>
      <c r="GC52" s="17"/>
      <c r="GD52" s="17"/>
      <c r="GE52" s="20"/>
      <c r="GF52" s="92"/>
      <c r="GG52" s="93"/>
      <c r="GH52" s="92"/>
      <c r="GI52" s="94"/>
      <c r="GJ52" s="95"/>
      <c r="GK52" s="17"/>
      <c r="GL52" s="17"/>
      <c r="GM52" s="17"/>
      <c r="GN52" s="20"/>
      <c r="GO52" s="92"/>
      <c r="GP52" s="93"/>
      <c r="GQ52" s="92"/>
      <c r="GR52" s="94"/>
      <c r="GS52" s="95"/>
      <c r="GT52" s="122"/>
      <c r="GU52" s="98"/>
      <c r="GV52" s="133"/>
      <c r="GW52" s="134"/>
      <c r="GX52" s="134"/>
      <c r="GY52" s="85"/>
      <c r="GZ52" s="86"/>
    </row>
    <row r="53" spans="1:208" x14ac:dyDescent="0.25">
      <c r="A53"/>
      <c r="D53" s="35"/>
      <c r="E53" s="36"/>
      <c r="F53" s="37"/>
      <c r="G53" s="38"/>
      <c r="H53" s="39"/>
      <c r="I53" s="40"/>
      <c r="J53" s="68"/>
      <c r="K53" s="39">
        <f t="shared" si="6"/>
        <v>0</v>
      </c>
      <c r="L53" s="70"/>
      <c r="M53" s="71"/>
      <c r="N53" s="56"/>
      <c r="O53" s="72"/>
      <c r="P53" s="113">
        <f t="shared" si="4"/>
        <v>0</v>
      </c>
      <c r="Q53" s="117"/>
      <c r="R53" s="117"/>
      <c r="S53" s="117"/>
      <c r="T53" s="39">
        <f t="shared" ref="T53" si="7">Q53*O53</f>
        <v>0</v>
      </c>
      <c r="U53" s="115"/>
      <c r="V53" s="112"/>
      <c r="W53" s="118"/>
      <c r="X53" s="17"/>
      <c r="Y53" s="20"/>
      <c r="Z53" s="92"/>
      <c r="AA53" s="93"/>
      <c r="AB53" s="92"/>
      <c r="AC53" s="94"/>
      <c r="AD53" s="95"/>
      <c r="AE53" s="17"/>
      <c r="AF53" s="17"/>
      <c r="AG53" s="17"/>
      <c r="AH53" s="20"/>
      <c r="AI53" s="92"/>
      <c r="AJ53" s="93"/>
      <c r="AK53" s="92"/>
      <c r="AL53" s="94"/>
      <c r="AM53" s="95"/>
      <c r="AN53" s="17"/>
      <c r="AO53" s="17"/>
      <c r="AP53" s="17"/>
      <c r="AQ53" s="20"/>
      <c r="AR53" s="92"/>
      <c r="AS53" s="93"/>
      <c r="AT53" s="92"/>
      <c r="AU53" s="94"/>
      <c r="AV53" s="95"/>
      <c r="AW53" s="17"/>
      <c r="AX53" s="17"/>
      <c r="AY53" s="17"/>
      <c r="AZ53" s="20"/>
      <c r="BA53" s="92"/>
      <c r="BB53" s="93"/>
      <c r="BC53" s="92"/>
      <c r="BD53" s="94"/>
      <c r="BE53" s="95"/>
      <c r="BF53" s="17"/>
      <c r="BG53" s="17"/>
      <c r="BH53" s="17"/>
      <c r="BI53" s="20"/>
      <c r="BJ53" s="92"/>
      <c r="BK53" s="93"/>
      <c r="BL53" s="92"/>
      <c r="BM53" s="94"/>
      <c r="BN53" s="95"/>
      <c r="BO53" s="17"/>
      <c r="BP53" s="17"/>
      <c r="BQ53" s="17"/>
      <c r="BR53" s="20"/>
      <c r="BS53" s="92"/>
      <c r="BT53" s="93"/>
      <c r="BU53" s="92"/>
      <c r="BV53" s="94"/>
      <c r="BW53" s="95"/>
      <c r="BX53" s="17"/>
      <c r="BY53" s="17"/>
      <c r="BZ53" s="17"/>
      <c r="CA53" s="20"/>
      <c r="CB53" s="92"/>
      <c r="CC53" s="93"/>
      <c r="CD53" s="92"/>
      <c r="CE53" s="94"/>
      <c r="CF53" s="95"/>
      <c r="CG53" s="17"/>
      <c r="CH53" s="17"/>
      <c r="CI53" s="17"/>
      <c r="CJ53" s="20"/>
      <c r="CK53" s="92"/>
      <c r="CL53" s="93"/>
      <c r="CM53" s="92"/>
      <c r="CN53" s="94"/>
      <c r="CO53" s="95"/>
      <c r="CP53" s="17"/>
      <c r="CQ53" s="17"/>
      <c r="CR53" s="17"/>
      <c r="CS53" s="20"/>
      <c r="CT53" s="92"/>
      <c r="CU53" s="93"/>
      <c r="CV53" s="92"/>
      <c r="CW53" s="94"/>
      <c r="CX53" s="95"/>
      <c r="CY53" s="17"/>
      <c r="CZ53" s="17"/>
      <c r="DA53" s="17"/>
      <c r="DB53" s="20"/>
      <c r="DC53" s="92"/>
      <c r="DD53" s="93"/>
      <c r="DE53" s="92"/>
      <c r="DF53" s="94"/>
      <c r="DG53" s="95"/>
      <c r="DH53" s="17"/>
      <c r="DI53" s="17"/>
      <c r="DJ53" s="17"/>
      <c r="DK53" s="20"/>
      <c r="DL53" s="92"/>
      <c r="DM53" s="93"/>
      <c r="DN53" s="92"/>
      <c r="DO53" s="94"/>
      <c r="DP53" s="95"/>
      <c r="DQ53" s="17"/>
      <c r="DR53" s="17"/>
      <c r="DS53" s="17"/>
      <c r="DT53" s="20"/>
      <c r="DU53" s="92"/>
      <c r="DV53" s="93"/>
      <c r="DW53" s="92"/>
      <c r="DX53" s="94"/>
      <c r="DY53" s="95"/>
      <c r="DZ53" s="17"/>
      <c r="EA53" s="17"/>
      <c r="EB53" s="17"/>
      <c r="EC53" s="20"/>
      <c r="ED53" s="92"/>
      <c r="EE53" s="93"/>
      <c r="EF53" s="92"/>
      <c r="EG53" s="94"/>
      <c r="EH53" s="95"/>
      <c r="EI53" s="17"/>
      <c r="EJ53" s="17"/>
      <c r="EK53" s="17"/>
      <c r="EL53" s="20"/>
      <c r="EM53" s="92"/>
      <c r="EN53" s="93"/>
      <c r="EO53" s="92"/>
      <c r="EP53" s="94"/>
      <c r="EQ53" s="95"/>
      <c r="ER53" s="17"/>
      <c r="ES53" s="17"/>
      <c r="ET53" s="17"/>
      <c r="EU53" s="20"/>
      <c r="EV53" s="92"/>
      <c r="EW53" s="93"/>
      <c r="EX53" s="92"/>
      <c r="EY53" s="94"/>
      <c r="EZ53" s="95"/>
      <c r="FA53" s="17"/>
      <c r="FB53" s="17"/>
      <c r="FC53" s="17"/>
      <c r="FD53" s="20"/>
      <c r="FE53" s="92"/>
      <c r="FF53" s="93"/>
      <c r="FG53" s="92"/>
      <c r="FH53" s="94"/>
      <c r="FI53" s="95"/>
      <c r="FJ53" s="17"/>
      <c r="FK53" s="17"/>
      <c r="FL53" s="17"/>
      <c r="FM53" s="20"/>
      <c r="FN53" s="92"/>
      <c r="FO53" s="93"/>
      <c r="FP53" s="92"/>
      <c r="FQ53" s="94"/>
      <c r="FR53" s="95"/>
      <c r="FS53" s="17"/>
      <c r="FT53" s="17"/>
      <c r="FU53" s="17"/>
      <c r="FV53" s="20"/>
      <c r="FW53" s="92"/>
      <c r="FX53" s="93"/>
      <c r="FY53" s="92"/>
      <c r="FZ53" s="94"/>
      <c r="GA53" s="95"/>
      <c r="GB53" s="17"/>
      <c r="GC53" s="17"/>
      <c r="GD53" s="17"/>
      <c r="GE53" s="20"/>
      <c r="GF53" s="92"/>
      <c r="GG53" s="93"/>
      <c r="GH53" s="92"/>
      <c r="GI53" s="94"/>
      <c r="GJ53" s="95"/>
      <c r="GK53" s="17"/>
      <c r="GL53" s="17"/>
      <c r="GM53" s="17"/>
      <c r="GN53" s="20"/>
      <c r="GO53" s="92"/>
      <c r="GP53" s="93"/>
      <c r="GQ53" s="92"/>
      <c r="GR53" s="94"/>
      <c r="GS53" s="95"/>
      <c r="GT53" s="122"/>
      <c r="GU53" s="98"/>
      <c r="GV53" s="135"/>
      <c r="GW53" s="134"/>
      <c r="GX53" s="136"/>
      <c r="GY53" s="85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39">
        <f t="shared" si="6"/>
        <v>0</v>
      </c>
      <c r="L54" s="70"/>
      <c r="M54" s="71"/>
      <c r="N54" s="56"/>
      <c r="O54" s="72"/>
      <c r="P54" s="113">
        <f t="shared" si="4"/>
        <v>0</v>
      </c>
      <c r="Q54" s="64"/>
      <c r="R54" s="117"/>
      <c r="S54" s="117"/>
      <c r="T54" s="39">
        <f>Q54*O54</f>
        <v>0</v>
      </c>
      <c r="U54" s="115"/>
      <c r="V54" s="83"/>
      <c r="W54" s="118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137"/>
      <c r="GU54" s="98"/>
      <c r="GV54" s="129"/>
      <c r="GW54" s="74"/>
      <c r="GX54" s="74"/>
      <c r="GY54" s="85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39">
        <f t="shared" si="6"/>
        <v>0</v>
      </c>
      <c r="L55" s="70"/>
      <c r="M55" s="71"/>
      <c r="N55" s="56"/>
      <c r="O55" s="72"/>
      <c r="P55" s="113">
        <f t="shared" si="0"/>
        <v>0</v>
      </c>
      <c r="Q55" s="117"/>
      <c r="R55" s="117"/>
      <c r="S55" s="117"/>
      <c r="T55" s="39">
        <f>Q55*O55</f>
        <v>0</v>
      </c>
      <c r="U55" s="115"/>
      <c r="V55" s="112"/>
      <c r="W55" s="118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128"/>
      <c r="GU55" s="98"/>
      <c r="GV55" s="129"/>
      <c r="GW55" s="74"/>
      <c r="GX55" s="74"/>
      <c r="GY55" s="85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68"/>
      <c r="K56" s="39">
        <f t="shared" si="6"/>
        <v>0</v>
      </c>
      <c r="L56" s="70"/>
      <c r="M56" s="71"/>
      <c r="N56" s="56"/>
      <c r="O56" s="72"/>
      <c r="P56" s="113">
        <f t="shared" si="0"/>
        <v>0</v>
      </c>
      <c r="Q56" s="117"/>
      <c r="R56" s="117"/>
      <c r="S56" s="117"/>
      <c r="T56" s="39">
        <f>Q56*O56</f>
        <v>0</v>
      </c>
      <c r="U56" s="115"/>
      <c r="V56" s="112"/>
      <c r="W56" s="118"/>
      <c r="X56" s="17"/>
      <c r="Y56" s="20"/>
      <c r="Z56" s="92"/>
      <c r="AA56" s="93"/>
      <c r="AB56" s="92"/>
      <c r="AC56" s="94"/>
      <c r="AD56" s="95"/>
      <c r="AE56" s="17"/>
      <c r="AF56" s="17"/>
      <c r="AG56" s="17"/>
      <c r="AH56" s="20"/>
      <c r="AI56" s="92"/>
      <c r="AJ56" s="93"/>
      <c r="AK56" s="92"/>
      <c r="AL56" s="94"/>
      <c r="AM56" s="95"/>
      <c r="AN56" s="17"/>
      <c r="AO56" s="17"/>
      <c r="AP56" s="17"/>
      <c r="AQ56" s="20"/>
      <c r="AR56" s="92"/>
      <c r="AS56" s="93"/>
      <c r="AT56" s="92"/>
      <c r="AU56" s="94"/>
      <c r="AV56" s="95"/>
      <c r="AW56" s="17"/>
      <c r="AX56" s="17"/>
      <c r="AY56" s="17"/>
      <c r="AZ56" s="20"/>
      <c r="BA56" s="92"/>
      <c r="BB56" s="93"/>
      <c r="BC56" s="92"/>
      <c r="BD56" s="94"/>
      <c r="BE56" s="95"/>
      <c r="BF56" s="17"/>
      <c r="BG56" s="17"/>
      <c r="BH56" s="17"/>
      <c r="BI56" s="20"/>
      <c r="BJ56" s="92"/>
      <c r="BK56" s="93"/>
      <c r="BL56" s="92"/>
      <c r="BM56" s="94"/>
      <c r="BN56" s="95"/>
      <c r="BO56" s="17"/>
      <c r="BP56" s="17"/>
      <c r="BQ56" s="17"/>
      <c r="BR56" s="20"/>
      <c r="BS56" s="92"/>
      <c r="BT56" s="93"/>
      <c r="BU56" s="92"/>
      <c r="BV56" s="94"/>
      <c r="BW56" s="95"/>
      <c r="BX56" s="17"/>
      <c r="BY56" s="17"/>
      <c r="BZ56" s="17"/>
      <c r="CA56" s="20"/>
      <c r="CB56" s="92"/>
      <c r="CC56" s="93"/>
      <c r="CD56" s="92"/>
      <c r="CE56" s="94"/>
      <c r="CF56" s="95"/>
      <c r="CG56" s="17"/>
      <c r="CH56" s="17"/>
      <c r="CI56" s="17"/>
      <c r="CJ56" s="20"/>
      <c r="CK56" s="92"/>
      <c r="CL56" s="93"/>
      <c r="CM56" s="92"/>
      <c r="CN56" s="94"/>
      <c r="CO56" s="95"/>
      <c r="CP56" s="17"/>
      <c r="CQ56" s="17"/>
      <c r="CR56" s="17"/>
      <c r="CS56" s="20"/>
      <c r="CT56" s="92"/>
      <c r="CU56" s="93"/>
      <c r="CV56" s="92"/>
      <c r="CW56" s="94"/>
      <c r="CX56" s="95"/>
      <c r="CY56" s="17"/>
      <c r="CZ56" s="17"/>
      <c r="DA56" s="17"/>
      <c r="DB56" s="20"/>
      <c r="DC56" s="92"/>
      <c r="DD56" s="93"/>
      <c r="DE56" s="92"/>
      <c r="DF56" s="94"/>
      <c r="DG56" s="95"/>
      <c r="DH56" s="17"/>
      <c r="DI56" s="17"/>
      <c r="DJ56" s="17"/>
      <c r="DK56" s="20"/>
      <c r="DL56" s="92"/>
      <c r="DM56" s="93"/>
      <c r="DN56" s="92"/>
      <c r="DO56" s="94"/>
      <c r="DP56" s="95"/>
      <c r="DQ56" s="17"/>
      <c r="DR56" s="17"/>
      <c r="DS56" s="17"/>
      <c r="DT56" s="20"/>
      <c r="DU56" s="92"/>
      <c r="DV56" s="93"/>
      <c r="DW56" s="92"/>
      <c r="DX56" s="94"/>
      <c r="DY56" s="95"/>
      <c r="DZ56" s="17"/>
      <c r="EA56" s="17"/>
      <c r="EB56" s="17"/>
      <c r="EC56" s="20"/>
      <c r="ED56" s="92"/>
      <c r="EE56" s="93"/>
      <c r="EF56" s="92"/>
      <c r="EG56" s="94"/>
      <c r="EH56" s="95"/>
      <c r="EI56" s="17"/>
      <c r="EJ56" s="17"/>
      <c r="EK56" s="17"/>
      <c r="EL56" s="20"/>
      <c r="EM56" s="92"/>
      <c r="EN56" s="93"/>
      <c r="EO56" s="92"/>
      <c r="EP56" s="94"/>
      <c r="EQ56" s="95"/>
      <c r="ER56" s="17"/>
      <c r="ES56" s="17"/>
      <c r="ET56" s="17"/>
      <c r="EU56" s="20"/>
      <c r="EV56" s="92"/>
      <c r="EW56" s="93"/>
      <c r="EX56" s="92"/>
      <c r="EY56" s="94"/>
      <c r="EZ56" s="95"/>
      <c r="FA56" s="17"/>
      <c r="FB56" s="17"/>
      <c r="FC56" s="17"/>
      <c r="FD56" s="20"/>
      <c r="FE56" s="92"/>
      <c r="FF56" s="93"/>
      <c r="FG56" s="92"/>
      <c r="FH56" s="94"/>
      <c r="FI56" s="95"/>
      <c r="FJ56" s="17"/>
      <c r="FK56" s="17"/>
      <c r="FL56" s="17"/>
      <c r="FM56" s="20"/>
      <c r="FN56" s="92"/>
      <c r="FO56" s="93"/>
      <c r="FP56" s="92"/>
      <c r="FQ56" s="94"/>
      <c r="FR56" s="95"/>
      <c r="FS56" s="17"/>
      <c r="FT56" s="17"/>
      <c r="FU56" s="17"/>
      <c r="FV56" s="20"/>
      <c r="FW56" s="92"/>
      <c r="FX56" s="93"/>
      <c r="FY56" s="92"/>
      <c r="FZ56" s="94"/>
      <c r="GA56" s="95"/>
      <c r="GB56" s="17"/>
      <c r="GC56" s="17"/>
      <c r="GD56" s="17"/>
      <c r="GE56" s="20"/>
      <c r="GF56" s="92"/>
      <c r="GG56" s="93"/>
      <c r="GH56" s="92"/>
      <c r="GI56" s="94"/>
      <c r="GJ56" s="95"/>
      <c r="GK56" s="17"/>
      <c r="GL56" s="17"/>
      <c r="GM56" s="17"/>
      <c r="GN56" s="20"/>
      <c r="GO56" s="92"/>
      <c r="GP56" s="93"/>
      <c r="GQ56" s="92"/>
      <c r="GR56" s="94"/>
      <c r="GS56" s="95"/>
      <c r="GT56" s="97"/>
      <c r="GU56" s="98"/>
      <c r="GV56" s="130"/>
      <c r="GW56" s="74"/>
      <c r="GX56" s="74"/>
      <c r="GY56" s="85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39">
        <f t="shared" si="6"/>
        <v>0</v>
      </c>
      <c r="L57" s="70"/>
      <c r="M57" s="71"/>
      <c r="N57" s="56"/>
      <c r="O57" s="72"/>
      <c r="P57" s="113">
        <f t="shared" si="0"/>
        <v>0</v>
      </c>
      <c r="Q57" s="117"/>
      <c r="R57" s="117"/>
      <c r="S57" s="117"/>
      <c r="T57" s="39">
        <f>Q57*O57</f>
        <v>0</v>
      </c>
      <c r="U57" s="138"/>
      <c r="V57" s="139"/>
      <c r="W57" s="121"/>
      <c r="X57" s="17"/>
      <c r="Y57" s="20"/>
      <c r="Z57" s="92"/>
      <c r="AA57" s="93"/>
      <c r="AB57" s="92"/>
      <c r="AC57" s="94"/>
      <c r="AD57" s="95"/>
      <c r="AE57" s="17"/>
      <c r="AF57" s="17"/>
      <c r="AG57" s="17"/>
      <c r="AH57" s="20"/>
      <c r="AI57" s="92"/>
      <c r="AJ57" s="93"/>
      <c r="AK57" s="92"/>
      <c r="AL57" s="94"/>
      <c r="AM57" s="95"/>
      <c r="AN57" s="17"/>
      <c r="AO57" s="17"/>
      <c r="AP57" s="17"/>
      <c r="AQ57" s="20"/>
      <c r="AR57" s="92"/>
      <c r="AS57" s="93"/>
      <c r="AT57" s="92"/>
      <c r="AU57" s="94"/>
      <c r="AV57" s="95"/>
      <c r="AW57" s="17"/>
      <c r="AX57" s="17"/>
      <c r="AY57" s="17"/>
      <c r="AZ57" s="20"/>
      <c r="BA57" s="92"/>
      <c r="BB57" s="93"/>
      <c r="BC57" s="92"/>
      <c r="BD57" s="94"/>
      <c r="BE57" s="95"/>
      <c r="BF57" s="17"/>
      <c r="BG57" s="17"/>
      <c r="BH57" s="17"/>
      <c r="BI57" s="20"/>
      <c r="BJ57" s="92"/>
      <c r="BK57" s="93"/>
      <c r="BL57" s="92"/>
      <c r="BM57" s="94"/>
      <c r="BN57" s="95"/>
      <c r="BO57" s="17"/>
      <c r="BP57" s="17"/>
      <c r="BQ57" s="17"/>
      <c r="BR57" s="20"/>
      <c r="BS57" s="92"/>
      <c r="BT57" s="93"/>
      <c r="BU57" s="92"/>
      <c r="BV57" s="94"/>
      <c r="BW57" s="95"/>
      <c r="BX57" s="17"/>
      <c r="BY57" s="17"/>
      <c r="BZ57" s="17"/>
      <c r="CA57" s="20"/>
      <c r="CB57" s="92"/>
      <c r="CC57" s="93"/>
      <c r="CD57" s="92"/>
      <c r="CE57" s="94"/>
      <c r="CF57" s="95"/>
      <c r="CG57" s="17"/>
      <c r="CH57" s="17"/>
      <c r="CI57" s="17"/>
      <c r="CJ57" s="20"/>
      <c r="CK57" s="92"/>
      <c r="CL57" s="93"/>
      <c r="CM57" s="92"/>
      <c r="CN57" s="94"/>
      <c r="CO57" s="95"/>
      <c r="CP57" s="17"/>
      <c r="CQ57" s="17"/>
      <c r="CR57" s="17"/>
      <c r="CS57" s="20"/>
      <c r="CT57" s="92"/>
      <c r="CU57" s="93"/>
      <c r="CV57" s="92"/>
      <c r="CW57" s="94"/>
      <c r="CX57" s="95"/>
      <c r="CY57" s="17"/>
      <c r="CZ57" s="17"/>
      <c r="DA57" s="17"/>
      <c r="DB57" s="20"/>
      <c r="DC57" s="92"/>
      <c r="DD57" s="93"/>
      <c r="DE57" s="92"/>
      <c r="DF57" s="94"/>
      <c r="DG57" s="95"/>
      <c r="DH57" s="17"/>
      <c r="DI57" s="17"/>
      <c r="DJ57" s="17"/>
      <c r="DK57" s="20"/>
      <c r="DL57" s="92"/>
      <c r="DM57" s="93"/>
      <c r="DN57" s="92"/>
      <c r="DO57" s="94"/>
      <c r="DP57" s="95"/>
      <c r="DQ57" s="17"/>
      <c r="DR57" s="17"/>
      <c r="DS57" s="17"/>
      <c r="DT57" s="20"/>
      <c r="DU57" s="92"/>
      <c r="DV57" s="93"/>
      <c r="DW57" s="92"/>
      <c r="DX57" s="94"/>
      <c r="DY57" s="95"/>
      <c r="DZ57" s="17"/>
      <c r="EA57" s="17"/>
      <c r="EB57" s="17"/>
      <c r="EC57" s="20"/>
      <c r="ED57" s="92"/>
      <c r="EE57" s="93"/>
      <c r="EF57" s="92"/>
      <c r="EG57" s="94"/>
      <c r="EH57" s="95"/>
      <c r="EI57" s="17"/>
      <c r="EJ57" s="17"/>
      <c r="EK57" s="17"/>
      <c r="EL57" s="20"/>
      <c r="EM57" s="92"/>
      <c r="EN57" s="93"/>
      <c r="EO57" s="92"/>
      <c r="EP57" s="94"/>
      <c r="EQ57" s="95"/>
      <c r="ER57" s="17"/>
      <c r="ES57" s="17"/>
      <c r="ET57" s="17"/>
      <c r="EU57" s="20"/>
      <c r="EV57" s="92"/>
      <c r="EW57" s="93"/>
      <c r="EX57" s="92"/>
      <c r="EY57" s="94"/>
      <c r="EZ57" s="95"/>
      <c r="FA57" s="17"/>
      <c r="FB57" s="17"/>
      <c r="FC57" s="17"/>
      <c r="FD57" s="20"/>
      <c r="FE57" s="92"/>
      <c r="FF57" s="93"/>
      <c r="FG57" s="92"/>
      <c r="FH57" s="94"/>
      <c r="FI57" s="95"/>
      <c r="FJ57" s="17"/>
      <c r="FK57" s="17"/>
      <c r="FL57" s="17"/>
      <c r="FM57" s="20"/>
      <c r="FN57" s="92"/>
      <c r="FO57" s="93"/>
      <c r="FP57" s="92"/>
      <c r="FQ57" s="94"/>
      <c r="FR57" s="95"/>
      <c r="FS57" s="17"/>
      <c r="FT57" s="17"/>
      <c r="FU57" s="17"/>
      <c r="FV57" s="20"/>
      <c r="FW57" s="92"/>
      <c r="FX57" s="93"/>
      <c r="FY57" s="92"/>
      <c r="FZ57" s="94"/>
      <c r="GA57" s="95"/>
      <c r="GB57" s="17"/>
      <c r="GC57" s="17"/>
      <c r="GD57" s="17"/>
      <c r="GE57" s="20"/>
      <c r="GF57" s="92"/>
      <c r="GG57" s="93"/>
      <c r="GH57" s="92"/>
      <c r="GI57" s="94"/>
      <c r="GJ57" s="95"/>
      <c r="GK57" s="17"/>
      <c r="GL57" s="17"/>
      <c r="GM57" s="17"/>
      <c r="GN57" s="20"/>
      <c r="GO57" s="92"/>
      <c r="GP57" s="93"/>
      <c r="GQ57" s="92"/>
      <c r="GR57" s="94"/>
      <c r="GS57" s="95"/>
      <c r="GT57" s="97"/>
      <c r="GU57" s="98"/>
      <c r="GV57" s="130"/>
      <c r="GW57" s="74"/>
      <c r="GX57" s="74"/>
      <c r="GY57" s="85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68"/>
      <c r="K58" s="39">
        <f t="shared" si="6"/>
        <v>0</v>
      </c>
      <c r="L58" s="70"/>
      <c r="M58" s="71"/>
      <c r="N58" s="56"/>
      <c r="O58" s="72"/>
      <c r="P58" s="113">
        <f t="shared" si="0"/>
        <v>0</v>
      </c>
      <c r="Q58" s="117"/>
      <c r="R58" s="117"/>
      <c r="S58" s="140"/>
      <c r="T58" s="39">
        <f t="shared" si="1"/>
        <v>0</v>
      </c>
      <c r="U58" s="138"/>
      <c r="V58" s="112"/>
      <c r="W58" s="121"/>
      <c r="X58" s="17"/>
      <c r="Y58" s="20"/>
      <c r="Z58" s="92"/>
      <c r="AA58" s="93"/>
      <c r="AB58" s="92"/>
      <c r="AC58" s="94"/>
      <c r="AD58" s="95"/>
      <c r="AE58" s="17"/>
      <c r="AF58" s="17"/>
      <c r="AG58" s="17"/>
      <c r="AH58" s="20"/>
      <c r="AI58" s="92"/>
      <c r="AJ58" s="93"/>
      <c r="AK58" s="92"/>
      <c r="AL58" s="94"/>
      <c r="AM58" s="95"/>
      <c r="AN58" s="17"/>
      <c r="AO58" s="17"/>
      <c r="AP58" s="17"/>
      <c r="AQ58" s="20"/>
      <c r="AR58" s="92"/>
      <c r="AS58" s="93"/>
      <c r="AT58" s="92"/>
      <c r="AU58" s="94"/>
      <c r="AV58" s="95"/>
      <c r="AW58" s="17"/>
      <c r="AX58" s="17"/>
      <c r="AY58" s="17"/>
      <c r="AZ58" s="20"/>
      <c r="BA58" s="92"/>
      <c r="BB58" s="93"/>
      <c r="BC58" s="92"/>
      <c r="BD58" s="94"/>
      <c r="BE58" s="95"/>
      <c r="BF58" s="17"/>
      <c r="BG58" s="17"/>
      <c r="BH58" s="17"/>
      <c r="BI58" s="20"/>
      <c r="BJ58" s="92"/>
      <c r="BK58" s="93"/>
      <c r="BL58" s="92"/>
      <c r="BM58" s="94"/>
      <c r="BN58" s="95"/>
      <c r="BO58" s="17"/>
      <c r="BP58" s="17"/>
      <c r="BQ58" s="17"/>
      <c r="BR58" s="20"/>
      <c r="BS58" s="92"/>
      <c r="BT58" s="93"/>
      <c r="BU58" s="92"/>
      <c r="BV58" s="94"/>
      <c r="BW58" s="95"/>
      <c r="BX58" s="17"/>
      <c r="BY58" s="17"/>
      <c r="BZ58" s="17"/>
      <c r="CA58" s="20"/>
      <c r="CB58" s="92"/>
      <c r="CC58" s="93"/>
      <c r="CD58" s="92"/>
      <c r="CE58" s="94"/>
      <c r="CF58" s="95"/>
      <c r="CG58" s="17"/>
      <c r="CH58" s="17"/>
      <c r="CI58" s="17"/>
      <c r="CJ58" s="20"/>
      <c r="CK58" s="92"/>
      <c r="CL58" s="93"/>
      <c r="CM58" s="92"/>
      <c r="CN58" s="94"/>
      <c r="CO58" s="95"/>
      <c r="CP58" s="17"/>
      <c r="CQ58" s="17"/>
      <c r="CR58" s="17"/>
      <c r="CS58" s="20"/>
      <c r="CT58" s="92"/>
      <c r="CU58" s="93"/>
      <c r="CV58" s="92"/>
      <c r="CW58" s="94"/>
      <c r="CX58" s="95"/>
      <c r="CY58" s="17"/>
      <c r="CZ58" s="17"/>
      <c r="DA58" s="17"/>
      <c r="DB58" s="20"/>
      <c r="DC58" s="92"/>
      <c r="DD58" s="93"/>
      <c r="DE58" s="92"/>
      <c r="DF58" s="94"/>
      <c r="DG58" s="95"/>
      <c r="DH58" s="17"/>
      <c r="DI58" s="17"/>
      <c r="DJ58" s="17"/>
      <c r="DK58" s="20"/>
      <c r="DL58" s="92"/>
      <c r="DM58" s="93"/>
      <c r="DN58" s="92"/>
      <c r="DO58" s="94"/>
      <c r="DP58" s="95"/>
      <c r="DQ58" s="17"/>
      <c r="DR58" s="17"/>
      <c r="DS58" s="17"/>
      <c r="DT58" s="20"/>
      <c r="DU58" s="92"/>
      <c r="DV58" s="93"/>
      <c r="DW58" s="92"/>
      <c r="DX58" s="94"/>
      <c r="DY58" s="95"/>
      <c r="DZ58" s="17"/>
      <c r="EA58" s="17"/>
      <c r="EB58" s="17"/>
      <c r="EC58" s="20"/>
      <c r="ED58" s="92"/>
      <c r="EE58" s="93"/>
      <c r="EF58" s="92"/>
      <c r="EG58" s="94"/>
      <c r="EH58" s="95"/>
      <c r="EI58" s="17"/>
      <c r="EJ58" s="17"/>
      <c r="EK58" s="17"/>
      <c r="EL58" s="20"/>
      <c r="EM58" s="92"/>
      <c r="EN58" s="93"/>
      <c r="EO58" s="92"/>
      <c r="EP58" s="94"/>
      <c r="EQ58" s="95"/>
      <c r="ER58" s="17"/>
      <c r="ES58" s="17"/>
      <c r="ET58" s="17"/>
      <c r="EU58" s="20"/>
      <c r="EV58" s="92"/>
      <c r="EW58" s="93"/>
      <c r="EX58" s="92"/>
      <c r="EY58" s="94"/>
      <c r="EZ58" s="95"/>
      <c r="FA58" s="17"/>
      <c r="FB58" s="17"/>
      <c r="FC58" s="17"/>
      <c r="FD58" s="20"/>
      <c r="FE58" s="92"/>
      <c r="FF58" s="93"/>
      <c r="FG58" s="92"/>
      <c r="FH58" s="94"/>
      <c r="FI58" s="95"/>
      <c r="FJ58" s="17"/>
      <c r="FK58" s="17"/>
      <c r="FL58" s="17"/>
      <c r="FM58" s="20"/>
      <c r="FN58" s="92"/>
      <c r="FO58" s="93"/>
      <c r="FP58" s="92"/>
      <c r="FQ58" s="94"/>
      <c r="FR58" s="95"/>
      <c r="FS58" s="17"/>
      <c r="FT58" s="17"/>
      <c r="FU58" s="17"/>
      <c r="FV58" s="20"/>
      <c r="FW58" s="92"/>
      <c r="FX58" s="93"/>
      <c r="FY58" s="92"/>
      <c r="FZ58" s="94"/>
      <c r="GA58" s="95"/>
      <c r="GB58" s="17"/>
      <c r="GC58" s="17"/>
      <c r="GD58" s="17"/>
      <c r="GE58" s="20"/>
      <c r="GF58" s="92"/>
      <c r="GG58" s="93"/>
      <c r="GH58" s="92"/>
      <c r="GI58" s="94"/>
      <c r="GJ58" s="95"/>
      <c r="GK58" s="17"/>
      <c r="GL58" s="17"/>
      <c r="GM58" s="17"/>
      <c r="GN58" s="20"/>
      <c r="GO58" s="92"/>
      <c r="GP58" s="93"/>
      <c r="GQ58" s="92"/>
      <c r="GR58" s="94"/>
      <c r="GS58" s="95"/>
      <c r="GT58" s="97"/>
      <c r="GU58" s="98"/>
      <c r="GV58" s="130"/>
      <c r="GW58" s="74"/>
      <c r="GX58" s="74"/>
      <c r="GY58" s="85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39">
        <f t="shared" si="6"/>
        <v>0</v>
      </c>
      <c r="L59" s="70"/>
      <c r="M59" s="71"/>
      <c r="N59" s="56"/>
      <c r="O59" s="72"/>
      <c r="P59" s="113">
        <f t="shared" si="0"/>
        <v>0</v>
      </c>
      <c r="Q59" s="117"/>
      <c r="R59" s="117"/>
      <c r="S59" s="117"/>
      <c r="T59" s="39">
        <f t="shared" si="1"/>
        <v>0</v>
      </c>
      <c r="U59" s="138"/>
      <c r="V59" s="112"/>
      <c r="W59" s="121"/>
      <c r="X59" s="17"/>
      <c r="Y59" s="20"/>
      <c r="Z59" s="92"/>
      <c r="AA59" s="93"/>
      <c r="AB59" s="92"/>
      <c r="AC59" s="94"/>
      <c r="AD59" s="95"/>
      <c r="AE59" s="17"/>
      <c r="AF59" s="17"/>
      <c r="AG59" s="17"/>
      <c r="AH59" s="20"/>
      <c r="AI59" s="92"/>
      <c r="AJ59" s="93"/>
      <c r="AK59" s="92"/>
      <c r="AL59" s="94"/>
      <c r="AM59" s="95"/>
      <c r="AN59" s="17"/>
      <c r="AO59" s="17"/>
      <c r="AP59" s="17"/>
      <c r="AQ59" s="20"/>
      <c r="AR59" s="92"/>
      <c r="AS59" s="93"/>
      <c r="AT59" s="92"/>
      <c r="AU59" s="94"/>
      <c r="AV59" s="95"/>
      <c r="AW59" s="17"/>
      <c r="AX59" s="17"/>
      <c r="AY59" s="17"/>
      <c r="AZ59" s="20"/>
      <c r="BA59" s="92"/>
      <c r="BB59" s="93"/>
      <c r="BC59" s="92"/>
      <c r="BD59" s="94"/>
      <c r="BE59" s="95"/>
      <c r="BF59" s="17"/>
      <c r="BG59" s="17"/>
      <c r="BH59" s="17"/>
      <c r="BI59" s="20"/>
      <c r="BJ59" s="92"/>
      <c r="BK59" s="93"/>
      <c r="BL59" s="92"/>
      <c r="BM59" s="94"/>
      <c r="BN59" s="95"/>
      <c r="BO59" s="17"/>
      <c r="BP59" s="17"/>
      <c r="BQ59" s="17"/>
      <c r="BR59" s="20"/>
      <c r="BS59" s="92"/>
      <c r="BT59" s="93"/>
      <c r="BU59" s="92"/>
      <c r="BV59" s="94"/>
      <c r="BW59" s="95"/>
      <c r="BX59" s="17"/>
      <c r="BY59" s="17"/>
      <c r="BZ59" s="17"/>
      <c r="CA59" s="20"/>
      <c r="CB59" s="92"/>
      <c r="CC59" s="93"/>
      <c r="CD59" s="92"/>
      <c r="CE59" s="94"/>
      <c r="CF59" s="95"/>
      <c r="CG59" s="17"/>
      <c r="CH59" s="17"/>
      <c r="CI59" s="17"/>
      <c r="CJ59" s="20"/>
      <c r="CK59" s="92"/>
      <c r="CL59" s="93"/>
      <c r="CM59" s="92"/>
      <c r="CN59" s="94"/>
      <c r="CO59" s="95"/>
      <c r="CP59" s="17"/>
      <c r="CQ59" s="17"/>
      <c r="CR59" s="17"/>
      <c r="CS59" s="20"/>
      <c r="CT59" s="92"/>
      <c r="CU59" s="93"/>
      <c r="CV59" s="92"/>
      <c r="CW59" s="94"/>
      <c r="CX59" s="95"/>
      <c r="CY59" s="17"/>
      <c r="CZ59" s="17"/>
      <c r="DA59" s="17"/>
      <c r="DB59" s="20"/>
      <c r="DC59" s="92"/>
      <c r="DD59" s="93"/>
      <c r="DE59" s="92"/>
      <c r="DF59" s="94"/>
      <c r="DG59" s="95"/>
      <c r="DH59" s="17"/>
      <c r="DI59" s="17"/>
      <c r="DJ59" s="17"/>
      <c r="DK59" s="20"/>
      <c r="DL59" s="92"/>
      <c r="DM59" s="93"/>
      <c r="DN59" s="92"/>
      <c r="DO59" s="94"/>
      <c r="DP59" s="95"/>
      <c r="DQ59" s="17"/>
      <c r="DR59" s="17"/>
      <c r="DS59" s="17"/>
      <c r="DT59" s="20"/>
      <c r="DU59" s="92"/>
      <c r="DV59" s="93"/>
      <c r="DW59" s="92"/>
      <c r="DX59" s="94"/>
      <c r="DY59" s="95"/>
      <c r="DZ59" s="17"/>
      <c r="EA59" s="17"/>
      <c r="EB59" s="17"/>
      <c r="EC59" s="20"/>
      <c r="ED59" s="92"/>
      <c r="EE59" s="93"/>
      <c r="EF59" s="92"/>
      <c r="EG59" s="94"/>
      <c r="EH59" s="95"/>
      <c r="EI59" s="17"/>
      <c r="EJ59" s="17"/>
      <c r="EK59" s="17"/>
      <c r="EL59" s="20"/>
      <c r="EM59" s="92"/>
      <c r="EN59" s="93"/>
      <c r="EO59" s="92"/>
      <c r="EP59" s="94"/>
      <c r="EQ59" s="95"/>
      <c r="ER59" s="17"/>
      <c r="ES59" s="17"/>
      <c r="ET59" s="17"/>
      <c r="EU59" s="20"/>
      <c r="EV59" s="92"/>
      <c r="EW59" s="93"/>
      <c r="EX59" s="92"/>
      <c r="EY59" s="94"/>
      <c r="EZ59" s="95"/>
      <c r="FA59" s="17"/>
      <c r="FB59" s="17"/>
      <c r="FC59" s="17"/>
      <c r="FD59" s="20"/>
      <c r="FE59" s="92"/>
      <c r="FF59" s="93"/>
      <c r="FG59" s="92"/>
      <c r="FH59" s="94"/>
      <c r="FI59" s="95"/>
      <c r="FJ59" s="17"/>
      <c r="FK59" s="17"/>
      <c r="FL59" s="17"/>
      <c r="FM59" s="20"/>
      <c r="FN59" s="92"/>
      <c r="FO59" s="93"/>
      <c r="FP59" s="92"/>
      <c r="FQ59" s="94"/>
      <c r="FR59" s="95"/>
      <c r="FS59" s="17"/>
      <c r="FT59" s="17"/>
      <c r="FU59" s="17"/>
      <c r="FV59" s="20"/>
      <c r="FW59" s="92"/>
      <c r="FX59" s="93"/>
      <c r="FY59" s="92"/>
      <c r="FZ59" s="94"/>
      <c r="GA59" s="95"/>
      <c r="GB59" s="17"/>
      <c r="GC59" s="17"/>
      <c r="GD59" s="17"/>
      <c r="GE59" s="20"/>
      <c r="GF59" s="92"/>
      <c r="GG59" s="93"/>
      <c r="GH59" s="92"/>
      <c r="GI59" s="94"/>
      <c r="GJ59" s="95"/>
      <c r="GK59" s="17"/>
      <c r="GL59" s="17"/>
      <c r="GM59" s="17"/>
      <c r="GN59" s="20"/>
      <c r="GO59" s="92"/>
      <c r="GP59" s="93"/>
      <c r="GQ59" s="92"/>
      <c r="GR59" s="94"/>
      <c r="GS59" s="95"/>
      <c r="GT59" s="97"/>
      <c r="GU59" s="98"/>
      <c r="GV59" s="130"/>
      <c r="GW59" s="141"/>
      <c r="GX59" s="141"/>
      <c r="GY59" s="85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39">
        <f t="shared" si="6"/>
        <v>0</v>
      </c>
      <c r="L60" s="70"/>
      <c r="M60" s="71"/>
      <c r="N60" s="56"/>
      <c r="O60" s="72"/>
      <c r="P60" s="113">
        <f t="shared" si="0"/>
        <v>0</v>
      </c>
      <c r="Q60" s="117"/>
      <c r="R60" s="117"/>
      <c r="S60" s="117"/>
      <c r="T60" s="39">
        <f t="shared" si="1"/>
        <v>0</v>
      </c>
      <c r="U60" s="138"/>
      <c r="V60" s="112"/>
      <c r="W60" s="121"/>
      <c r="X60" s="17"/>
      <c r="Y60" s="20"/>
      <c r="Z60" s="92"/>
      <c r="AA60" s="93"/>
      <c r="AB60" s="92"/>
      <c r="AC60" s="94"/>
      <c r="AD60" s="95"/>
      <c r="AE60" s="17"/>
      <c r="AF60" s="17"/>
      <c r="AG60" s="17"/>
      <c r="AH60" s="20"/>
      <c r="AI60" s="92"/>
      <c r="AJ60" s="93"/>
      <c r="AK60" s="92"/>
      <c r="AL60" s="94"/>
      <c r="AM60" s="95"/>
      <c r="AN60" s="17"/>
      <c r="AO60" s="17"/>
      <c r="AP60" s="17"/>
      <c r="AQ60" s="20"/>
      <c r="AR60" s="92"/>
      <c r="AS60" s="93"/>
      <c r="AT60" s="92"/>
      <c r="AU60" s="94"/>
      <c r="AV60" s="95"/>
      <c r="AW60" s="17"/>
      <c r="AX60" s="17"/>
      <c r="AY60" s="17"/>
      <c r="AZ60" s="20"/>
      <c r="BA60" s="92"/>
      <c r="BB60" s="93"/>
      <c r="BC60" s="92"/>
      <c r="BD60" s="94"/>
      <c r="BE60" s="95"/>
      <c r="BF60" s="17"/>
      <c r="BG60" s="17"/>
      <c r="BH60" s="17"/>
      <c r="BI60" s="20"/>
      <c r="BJ60" s="92"/>
      <c r="BK60" s="93"/>
      <c r="BL60" s="92"/>
      <c r="BM60" s="94"/>
      <c r="BN60" s="95"/>
      <c r="BO60" s="17"/>
      <c r="BP60" s="17"/>
      <c r="BQ60" s="17"/>
      <c r="BR60" s="20"/>
      <c r="BS60" s="92"/>
      <c r="BT60" s="93"/>
      <c r="BU60" s="92"/>
      <c r="BV60" s="94"/>
      <c r="BW60" s="95"/>
      <c r="BX60" s="17"/>
      <c r="BY60" s="17"/>
      <c r="BZ60" s="17"/>
      <c r="CA60" s="20"/>
      <c r="CB60" s="92"/>
      <c r="CC60" s="93"/>
      <c r="CD60" s="92"/>
      <c r="CE60" s="94"/>
      <c r="CF60" s="95"/>
      <c r="CG60" s="17"/>
      <c r="CH60" s="17"/>
      <c r="CI60" s="17"/>
      <c r="CJ60" s="20"/>
      <c r="CK60" s="92"/>
      <c r="CL60" s="93"/>
      <c r="CM60" s="92"/>
      <c r="CN60" s="94"/>
      <c r="CO60" s="95"/>
      <c r="CP60" s="17"/>
      <c r="CQ60" s="17"/>
      <c r="CR60" s="17"/>
      <c r="CS60" s="20"/>
      <c r="CT60" s="92"/>
      <c r="CU60" s="93"/>
      <c r="CV60" s="92"/>
      <c r="CW60" s="94"/>
      <c r="CX60" s="95"/>
      <c r="CY60" s="17"/>
      <c r="CZ60" s="17"/>
      <c r="DA60" s="17"/>
      <c r="DB60" s="20"/>
      <c r="DC60" s="92"/>
      <c r="DD60" s="93"/>
      <c r="DE60" s="92"/>
      <c r="DF60" s="94"/>
      <c r="DG60" s="95"/>
      <c r="DH60" s="17"/>
      <c r="DI60" s="17"/>
      <c r="DJ60" s="17"/>
      <c r="DK60" s="20"/>
      <c r="DL60" s="92"/>
      <c r="DM60" s="93"/>
      <c r="DN60" s="92"/>
      <c r="DO60" s="94"/>
      <c r="DP60" s="95"/>
      <c r="DQ60" s="17"/>
      <c r="DR60" s="17"/>
      <c r="DS60" s="17"/>
      <c r="DT60" s="20"/>
      <c r="DU60" s="92"/>
      <c r="DV60" s="93"/>
      <c r="DW60" s="92"/>
      <c r="DX60" s="94"/>
      <c r="DY60" s="95"/>
      <c r="DZ60" s="17"/>
      <c r="EA60" s="17"/>
      <c r="EB60" s="17"/>
      <c r="EC60" s="20"/>
      <c r="ED60" s="92"/>
      <c r="EE60" s="93"/>
      <c r="EF60" s="92"/>
      <c r="EG60" s="94"/>
      <c r="EH60" s="95"/>
      <c r="EI60" s="17"/>
      <c r="EJ60" s="17"/>
      <c r="EK60" s="17"/>
      <c r="EL60" s="20"/>
      <c r="EM60" s="92"/>
      <c r="EN60" s="93"/>
      <c r="EO60" s="92"/>
      <c r="EP60" s="94"/>
      <c r="EQ60" s="95"/>
      <c r="ER60" s="17"/>
      <c r="ES60" s="17"/>
      <c r="ET60" s="17"/>
      <c r="EU60" s="20"/>
      <c r="EV60" s="92"/>
      <c r="EW60" s="93"/>
      <c r="EX60" s="92"/>
      <c r="EY60" s="94"/>
      <c r="EZ60" s="95"/>
      <c r="FA60" s="17"/>
      <c r="FB60" s="17"/>
      <c r="FC60" s="17"/>
      <c r="FD60" s="20"/>
      <c r="FE60" s="92"/>
      <c r="FF60" s="93"/>
      <c r="FG60" s="92"/>
      <c r="FH60" s="94"/>
      <c r="FI60" s="95"/>
      <c r="FJ60" s="17"/>
      <c r="FK60" s="17"/>
      <c r="FL60" s="17"/>
      <c r="FM60" s="20"/>
      <c r="FN60" s="92"/>
      <c r="FO60" s="93"/>
      <c r="FP60" s="92"/>
      <c r="FQ60" s="94"/>
      <c r="FR60" s="95"/>
      <c r="FS60" s="17"/>
      <c r="FT60" s="17"/>
      <c r="FU60" s="17"/>
      <c r="FV60" s="20"/>
      <c r="FW60" s="92"/>
      <c r="FX60" s="93"/>
      <c r="FY60" s="92"/>
      <c r="FZ60" s="94"/>
      <c r="GA60" s="95"/>
      <c r="GB60" s="17"/>
      <c r="GC60" s="17"/>
      <c r="GD60" s="17"/>
      <c r="GE60" s="20"/>
      <c r="GF60" s="92"/>
      <c r="GG60" s="93"/>
      <c r="GH60" s="92"/>
      <c r="GI60" s="94"/>
      <c r="GJ60" s="95"/>
      <c r="GK60" s="17"/>
      <c r="GL60" s="17"/>
      <c r="GM60" s="17"/>
      <c r="GN60" s="20"/>
      <c r="GO60" s="92"/>
      <c r="GP60" s="93"/>
      <c r="GQ60" s="92"/>
      <c r="GR60" s="94"/>
      <c r="GS60" s="95"/>
      <c r="GT60" s="97"/>
      <c r="GU60" s="98"/>
      <c r="GV60" s="130"/>
      <c r="GW60" s="141"/>
      <c r="GX60" s="141"/>
      <c r="GY60" s="85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76"/>
      <c r="K61" s="39">
        <f t="shared" si="6"/>
        <v>0</v>
      </c>
      <c r="L61" s="70"/>
      <c r="M61" s="71"/>
      <c r="N61" s="142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43"/>
      <c r="V61" s="144"/>
      <c r="W61" s="145"/>
      <c r="X61" s="146"/>
      <c r="Y61" s="147"/>
      <c r="Z61" s="148"/>
      <c r="AA61" s="149"/>
      <c r="AB61" s="148"/>
      <c r="AC61" s="150"/>
      <c r="AD61" s="151"/>
      <c r="AE61" s="146"/>
      <c r="AF61" s="146"/>
      <c r="AG61" s="146"/>
      <c r="AH61" s="147"/>
      <c r="AI61" s="148"/>
      <c r="AJ61" s="149"/>
      <c r="AK61" s="148"/>
      <c r="AL61" s="150"/>
      <c r="AM61" s="151"/>
      <c r="AN61" s="146"/>
      <c r="AO61" s="146"/>
      <c r="AP61" s="146"/>
      <c r="AQ61" s="147"/>
      <c r="AR61" s="148"/>
      <c r="AS61" s="149"/>
      <c r="AT61" s="148"/>
      <c r="AU61" s="150"/>
      <c r="AV61" s="151"/>
      <c r="AW61" s="146"/>
      <c r="AX61" s="146"/>
      <c r="AY61" s="146"/>
      <c r="AZ61" s="147"/>
      <c r="BA61" s="148"/>
      <c r="BB61" s="149"/>
      <c r="BC61" s="148"/>
      <c r="BD61" s="150"/>
      <c r="BE61" s="151"/>
      <c r="BF61" s="146"/>
      <c r="BG61" s="146"/>
      <c r="BH61" s="146"/>
      <c r="BI61" s="147"/>
      <c r="BJ61" s="148"/>
      <c r="BK61" s="149"/>
      <c r="BL61" s="148"/>
      <c r="BM61" s="150"/>
      <c r="BN61" s="151"/>
      <c r="BO61" s="146"/>
      <c r="BP61" s="146"/>
      <c r="BQ61" s="146"/>
      <c r="BR61" s="147"/>
      <c r="BS61" s="148"/>
      <c r="BT61" s="149"/>
      <c r="BU61" s="148"/>
      <c r="BV61" s="150"/>
      <c r="BW61" s="151"/>
      <c r="BX61" s="146"/>
      <c r="BY61" s="146"/>
      <c r="BZ61" s="146"/>
      <c r="CA61" s="147"/>
      <c r="CB61" s="148"/>
      <c r="CC61" s="149"/>
      <c r="CD61" s="148"/>
      <c r="CE61" s="150"/>
      <c r="CF61" s="151"/>
      <c r="CG61" s="146"/>
      <c r="CH61" s="146"/>
      <c r="CI61" s="146"/>
      <c r="CJ61" s="147"/>
      <c r="CK61" s="148"/>
      <c r="CL61" s="149"/>
      <c r="CM61" s="148"/>
      <c r="CN61" s="150"/>
      <c r="CO61" s="151"/>
      <c r="CP61" s="146"/>
      <c r="CQ61" s="146"/>
      <c r="CR61" s="146"/>
      <c r="CS61" s="147"/>
      <c r="CT61" s="148"/>
      <c r="CU61" s="149"/>
      <c r="CV61" s="148"/>
      <c r="CW61" s="150"/>
      <c r="CX61" s="151"/>
      <c r="CY61" s="146"/>
      <c r="CZ61" s="146"/>
      <c r="DA61" s="146"/>
      <c r="DB61" s="147"/>
      <c r="DC61" s="148"/>
      <c r="DD61" s="149"/>
      <c r="DE61" s="148"/>
      <c r="DF61" s="150"/>
      <c r="DG61" s="151"/>
      <c r="DH61" s="146"/>
      <c r="DI61" s="146"/>
      <c r="DJ61" s="146"/>
      <c r="DK61" s="147"/>
      <c r="DL61" s="148"/>
      <c r="DM61" s="149"/>
      <c r="DN61" s="148"/>
      <c r="DO61" s="150"/>
      <c r="DP61" s="151"/>
      <c r="DQ61" s="146"/>
      <c r="DR61" s="146"/>
      <c r="DS61" s="146"/>
      <c r="DT61" s="147"/>
      <c r="DU61" s="148"/>
      <c r="DV61" s="149"/>
      <c r="DW61" s="148"/>
      <c r="DX61" s="150"/>
      <c r="DY61" s="151"/>
      <c r="DZ61" s="146"/>
      <c r="EA61" s="146"/>
      <c r="EB61" s="146"/>
      <c r="EC61" s="147"/>
      <c r="ED61" s="148"/>
      <c r="EE61" s="149"/>
      <c r="EF61" s="148"/>
      <c r="EG61" s="150"/>
      <c r="EH61" s="151"/>
      <c r="EI61" s="146"/>
      <c r="EJ61" s="146"/>
      <c r="EK61" s="146"/>
      <c r="EL61" s="147"/>
      <c r="EM61" s="148"/>
      <c r="EN61" s="149"/>
      <c r="EO61" s="148"/>
      <c r="EP61" s="150"/>
      <c r="EQ61" s="151"/>
      <c r="ER61" s="146"/>
      <c r="ES61" s="146"/>
      <c r="ET61" s="146"/>
      <c r="EU61" s="147"/>
      <c r="EV61" s="148"/>
      <c r="EW61" s="149"/>
      <c r="EX61" s="148"/>
      <c r="EY61" s="150"/>
      <c r="EZ61" s="151"/>
      <c r="FA61" s="146"/>
      <c r="FB61" s="146"/>
      <c r="FC61" s="146"/>
      <c r="FD61" s="147"/>
      <c r="FE61" s="148"/>
      <c r="FF61" s="149"/>
      <c r="FG61" s="148"/>
      <c r="FH61" s="150"/>
      <c r="FI61" s="151"/>
      <c r="FJ61" s="146"/>
      <c r="FK61" s="146"/>
      <c r="FL61" s="146"/>
      <c r="FM61" s="147"/>
      <c r="FN61" s="148"/>
      <c r="FO61" s="149"/>
      <c r="FP61" s="148"/>
      <c r="FQ61" s="150"/>
      <c r="FR61" s="151"/>
      <c r="FS61" s="146"/>
      <c r="FT61" s="146"/>
      <c r="FU61" s="146"/>
      <c r="FV61" s="147"/>
      <c r="FW61" s="148"/>
      <c r="FX61" s="149"/>
      <c r="FY61" s="148"/>
      <c r="FZ61" s="150"/>
      <c r="GA61" s="151"/>
      <c r="GB61" s="146"/>
      <c r="GC61" s="146"/>
      <c r="GD61" s="146"/>
      <c r="GE61" s="147"/>
      <c r="GF61" s="148"/>
      <c r="GG61" s="149"/>
      <c r="GH61" s="148"/>
      <c r="GI61" s="150"/>
      <c r="GJ61" s="151"/>
      <c r="GK61" s="146"/>
      <c r="GL61" s="146"/>
      <c r="GM61" s="146"/>
      <c r="GN61" s="147"/>
      <c r="GO61" s="148"/>
      <c r="GP61" s="149"/>
      <c r="GQ61" s="148"/>
      <c r="GR61" s="150"/>
      <c r="GS61" s="151"/>
      <c r="GT61" s="152"/>
      <c r="GU61" s="131"/>
      <c r="GV61" s="153"/>
      <c r="GW61" s="141"/>
      <c r="GX61" s="141"/>
      <c r="GY61" s="85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39">
        <f t="shared" si="6"/>
        <v>0</v>
      </c>
      <c r="L62" s="70"/>
      <c r="M62" s="71"/>
      <c r="N62" s="142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43"/>
      <c r="V62" s="154"/>
      <c r="W62" s="155"/>
      <c r="X62" s="146"/>
      <c r="Y62" s="147"/>
      <c r="Z62" s="148"/>
      <c r="AA62" s="149"/>
      <c r="AB62" s="148"/>
      <c r="AC62" s="150"/>
      <c r="AD62" s="151"/>
      <c r="AE62" s="146"/>
      <c r="AF62" s="146"/>
      <c r="AG62" s="146"/>
      <c r="AH62" s="147"/>
      <c r="AI62" s="148"/>
      <c r="AJ62" s="149"/>
      <c r="AK62" s="148"/>
      <c r="AL62" s="150"/>
      <c r="AM62" s="151"/>
      <c r="AN62" s="146"/>
      <c r="AO62" s="146"/>
      <c r="AP62" s="146"/>
      <c r="AQ62" s="147"/>
      <c r="AR62" s="148"/>
      <c r="AS62" s="149"/>
      <c r="AT62" s="148"/>
      <c r="AU62" s="150"/>
      <c r="AV62" s="151"/>
      <c r="AW62" s="146"/>
      <c r="AX62" s="146"/>
      <c r="AY62" s="146"/>
      <c r="AZ62" s="147"/>
      <c r="BA62" s="148"/>
      <c r="BB62" s="149"/>
      <c r="BC62" s="148"/>
      <c r="BD62" s="150"/>
      <c r="BE62" s="151"/>
      <c r="BF62" s="146"/>
      <c r="BG62" s="146"/>
      <c r="BH62" s="146"/>
      <c r="BI62" s="147"/>
      <c r="BJ62" s="148"/>
      <c r="BK62" s="149"/>
      <c r="BL62" s="148"/>
      <c r="BM62" s="150"/>
      <c r="BN62" s="151"/>
      <c r="BO62" s="146"/>
      <c r="BP62" s="146"/>
      <c r="BQ62" s="146"/>
      <c r="BR62" s="147"/>
      <c r="BS62" s="148"/>
      <c r="BT62" s="149"/>
      <c r="BU62" s="148"/>
      <c r="BV62" s="150"/>
      <c r="BW62" s="151"/>
      <c r="BX62" s="146"/>
      <c r="BY62" s="146"/>
      <c r="BZ62" s="146"/>
      <c r="CA62" s="147"/>
      <c r="CB62" s="148"/>
      <c r="CC62" s="149"/>
      <c r="CD62" s="148"/>
      <c r="CE62" s="150"/>
      <c r="CF62" s="151"/>
      <c r="CG62" s="146"/>
      <c r="CH62" s="146"/>
      <c r="CI62" s="146"/>
      <c r="CJ62" s="147"/>
      <c r="CK62" s="148"/>
      <c r="CL62" s="149"/>
      <c r="CM62" s="148"/>
      <c r="CN62" s="150"/>
      <c r="CO62" s="151"/>
      <c r="CP62" s="146"/>
      <c r="CQ62" s="146"/>
      <c r="CR62" s="146"/>
      <c r="CS62" s="147"/>
      <c r="CT62" s="148"/>
      <c r="CU62" s="149"/>
      <c r="CV62" s="148"/>
      <c r="CW62" s="150"/>
      <c r="CX62" s="151"/>
      <c r="CY62" s="146"/>
      <c r="CZ62" s="146"/>
      <c r="DA62" s="146"/>
      <c r="DB62" s="147"/>
      <c r="DC62" s="148"/>
      <c r="DD62" s="149"/>
      <c r="DE62" s="148"/>
      <c r="DF62" s="150"/>
      <c r="DG62" s="151"/>
      <c r="DH62" s="146"/>
      <c r="DI62" s="146"/>
      <c r="DJ62" s="146"/>
      <c r="DK62" s="147"/>
      <c r="DL62" s="148"/>
      <c r="DM62" s="149"/>
      <c r="DN62" s="148"/>
      <c r="DO62" s="150"/>
      <c r="DP62" s="151"/>
      <c r="DQ62" s="146"/>
      <c r="DR62" s="146"/>
      <c r="DS62" s="146"/>
      <c r="DT62" s="147"/>
      <c r="DU62" s="148"/>
      <c r="DV62" s="149"/>
      <c r="DW62" s="148"/>
      <c r="DX62" s="150"/>
      <c r="DY62" s="151"/>
      <c r="DZ62" s="146"/>
      <c r="EA62" s="146"/>
      <c r="EB62" s="146"/>
      <c r="EC62" s="147"/>
      <c r="ED62" s="148"/>
      <c r="EE62" s="149"/>
      <c r="EF62" s="148"/>
      <c r="EG62" s="150"/>
      <c r="EH62" s="151"/>
      <c r="EI62" s="146"/>
      <c r="EJ62" s="146"/>
      <c r="EK62" s="146"/>
      <c r="EL62" s="147"/>
      <c r="EM62" s="148"/>
      <c r="EN62" s="149"/>
      <c r="EO62" s="148"/>
      <c r="EP62" s="150"/>
      <c r="EQ62" s="151"/>
      <c r="ER62" s="146"/>
      <c r="ES62" s="146"/>
      <c r="ET62" s="146"/>
      <c r="EU62" s="147"/>
      <c r="EV62" s="148"/>
      <c r="EW62" s="149"/>
      <c r="EX62" s="148"/>
      <c r="EY62" s="150"/>
      <c r="EZ62" s="151"/>
      <c r="FA62" s="146"/>
      <c r="FB62" s="146"/>
      <c r="FC62" s="146"/>
      <c r="FD62" s="147"/>
      <c r="FE62" s="148"/>
      <c r="FF62" s="149"/>
      <c r="FG62" s="148"/>
      <c r="FH62" s="150"/>
      <c r="FI62" s="151"/>
      <c r="FJ62" s="146"/>
      <c r="FK62" s="146"/>
      <c r="FL62" s="146"/>
      <c r="FM62" s="147"/>
      <c r="FN62" s="148"/>
      <c r="FO62" s="149"/>
      <c r="FP62" s="148"/>
      <c r="FQ62" s="150"/>
      <c r="FR62" s="151"/>
      <c r="FS62" s="146"/>
      <c r="FT62" s="146"/>
      <c r="FU62" s="146"/>
      <c r="FV62" s="147"/>
      <c r="FW62" s="148"/>
      <c r="FX62" s="149"/>
      <c r="FY62" s="148"/>
      <c r="FZ62" s="150"/>
      <c r="GA62" s="151"/>
      <c r="GB62" s="146"/>
      <c r="GC62" s="146"/>
      <c r="GD62" s="146"/>
      <c r="GE62" s="147"/>
      <c r="GF62" s="148"/>
      <c r="GG62" s="149"/>
      <c r="GH62" s="148"/>
      <c r="GI62" s="150"/>
      <c r="GJ62" s="151"/>
      <c r="GK62" s="146"/>
      <c r="GL62" s="146"/>
      <c r="GM62" s="146"/>
      <c r="GN62" s="147"/>
      <c r="GO62" s="148"/>
      <c r="GP62" s="149"/>
      <c r="GQ62" s="148"/>
      <c r="GR62" s="150"/>
      <c r="GS62" s="151"/>
      <c r="GT62" s="154"/>
      <c r="GU62" s="156"/>
      <c r="GV62" s="153"/>
      <c r="GW62" s="141"/>
      <c r="GX62" s="141"/>
      <c r="GY62" s="85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68"/>
      <c r="K63" s="39">
        <f t="shared" si="6"/>
        <v>0</v>
      </c>
      <c r="L63" s="70"/>
      <c r="M63" s="71"/>
      <c r="N63" s="142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43"/>
      <c r="V63" s="154"/>
      <c r="W63" s="157"/>
      <c r="X63" s="146"/>
      <c r="Y63" s="147"/>
      <c r="Z63" s="148"/>
      <c r="AA63" s="149"/>
      <c r="AB63" s="148"/>
      <c r="AC63" s="150"/>
      <c r="AD63" s="151"/>
      <c r="AE63" s="146"/>
      <c r="AF63" s="146"/>
      <c r="AG63" s="146"/>
      <c r="AH63" s="147"/>
      <c r="AI63" s="148"/>
      <c r="AJ63" s="149"/>
      <c r="AK63" s="148"/>
      <c r="AL63" s="150"/>
      <c r="AM63" s="151"/>
      <c r="AN63" s="146"/>
      <c r="AO63" s="146"/>
      <c r="AP63" s="146"/>
      <c r="AQ63" s="147"/>
      <c r="AR63" s="148"/>
      <c r="AS63" s="149"/>
      <c r="AT63" s="148"/>
      <c r="AU63" s="150"/>
      <c r="AV63" s="151"/>
      <c r="AW63" s="146"/>
      <c r="AX63" s="146"/>
      <c r="AY63" s="146"/>
      <c r="AZ63" s="147"/>
      <c r="BA63" s="148"/>
      <c r="BB63" s="149"/>
      <c r="BC63" s="148"/>
      <c r="BD63" s="150"/>
      <c r="BE63" s="151"/>
      <c r="BF63" s="146"/>
      <c r="BG63" s="146"/>
      <c r="BH63" s="146"/>
      <c r="BI63" s="147"/>
      <c r="BJ63" s="148"/>
      <c r="BK63" s="149"/>
      <c r="BL63" s="148"/>
      <c r="BM63" s="150"/>
      <c r="BN63" s="151"/>
      <c r="BO63" s="146"/>
      <c r="BP63" s="146"/>
      <c r="BQ63" s="146"/>
      <c r="BR63" s="147"/>
      <c r="BS63" s="148"/>
      <c r="BT63" s="149"/>
      <c r="BU63" s="148"/>
      <c r="BV63" s="150"/>
      <c r="BW63" s="151"/>
      <c r="BX63" s="146"/>
      <c r="BY63" s="146"/>
      <c r="BZ63" s="146"/>
      <c r="CA63" s="147"/>
      <c r="CB63" s="148"/>
      <c r="CC63" s="149"/>
      <c r="CD63" s="148"/>
      <c r="CE63" s="150"/>
      <c r="CF63" s="151"/>
      <c r="CG63" s="146"/>
      <c r="CH63" s="146"/>
      <c r="CI63" s="146"/>
      <c r="CJ63" s="147"/>
      <c r="CK63" s="148"/>
      <c r="CL63" s="149"/>
      <c r="CM63" s="148"/>
      <c r="CN63" s="150"/>
      <c r="CO63" s="151"/>
      <c r="CP63" s="146"/>
      <c r="CQ63" s="146"/>
      <c r="CR63" s="146"/>
      <c r="CS63" s="147"/>
      <c r="CT63" s="148"/>
      <c r="CU63" s="149"/>
      <c r="CV63" s="148"/>
      <c r="CW63" s="150"/>
      <c r="CX63" s="151"/>
      <c r="CY63" s="146"/>
      <c r="CZ63" s="146"/>
      <c r="DA63" s="146"/>
      <c r="DB63" s="147"/>
      <c r="DC63" s="148"/>
      <c r="DD63" s="149"/>
      <c r="DE63" s="148"/>
      <c r="DF63" s="150"/>
      <c r="DG63" s="151"/>
      <c r="DH63" s="146"/>
      <c r="DI63" s="146"/>
      <c r="DJ63" s="146"/>
      <c r="DK63" s="147"/>
      <c r="DL63" s="148"/>
      <c r="DM63" s="149"/>
      <c r="DN63" s="148"/>
      <c r="DO63" s="150"/>
      <c r="DP63" s="151"/>
      <c r="DQ63" s="146"/>
      <c r="DR63" s="146"/>
      <c r="DS63" s="146"/>
      <c r="DT63" s="147"/>
      <c r="DU63" s="148"/>
      <c r="DV63" s="149"/>
      <c r="DW63" s="148"/>
      <c r="DX63" s="150"/>
      <c r="DY63" s="151"/>
      <c r="DZ63" s="146"/>
      <c r="EA63" s="146"/>
      <c r="EB63" s="146"/>
      <c r="EC63" s="147"/>
      <c r="ED63" s="148"/>
      <c r="EE63" s="149"/>
      <c r="EF63" s="148"/>
      <c r="EG63" s="150"/>
      <c r="EH63" s="151"/>
      <c r="EI63" s="146"/>
      <c r="EJ63" s="146"/>
      <c r="EK63" s="146"/>
      <c r="EL63" s="147"/>
      <c r="EM63" s="148"/>
      <c r="EN63" s="149"/>
      <c r="EO63" s="148"/>
      <c r="EP63" s="150"/>
      <c r="EQ63" s="151"/>
      <c r="ER63" s="146"/>
      <c r="ES63" s="146"/>
      <c r="ET63" s="146"/>
      <c r="EU63" s="147"/>
      <c r="EV63" s="148"/>
      <c r="EW63" s="149"/>
      <c r="EX63" s="148"/>
      <c r="EY63" s="150"/>
      <c r="EZ63" s="151"/>
      <c r="FA63" s="146"/>
      <c r="FB63" s="146"/>
      <c r="FC63" s="146"/>
      <c r="FD63" s="147"/>
      <c r="FE63" s="148"/>
      <c r="FF63" s="149"/>
      <c r="FG63" s="148"/>
      <c r="FH63" s="150"/>
      <c r="FI63" s="151"/>
      <c r="FJ63" s="146"/>
      <c r="FK63" s="146"/>
      <c r="FL63" s="146"/>
      <c r="FM63" s="147"/>
      <c r="FN63" s="148"/>
      <c r="FO63" s="149"/>
      <c r="FP63" s="148"/>
      <c r="FQ63" s="150"/>
      <c r="FR63" s="151"/>
      <c r="FS63" s="146"/>
      <c r="FT63" s="146"/>
      <c r="FU63" s="146"/>
      <c r="FV63" s="147"/>
      <c r="FW63" s="148"/>
      <c r="FX63" s="149"/>
      <c r="FY63" s="148"/>
      <c r="FZ63" s="150"/>
      <c r="GA63" s="151"/>
      <c r="GB63" s="146"/>
      <c r="GC63" s="146"/>
      <c r="GD63" s="146"/>
      <c r="GE63" s="147"/>
      <c r="GF63" s="148"/>
      <c r="GG63" s="149"/>
      <c r="GH63" s="148"/>
      <c r="GI63" s="150"/>
      <c r="GJ63" s="151"/>
      <c r="GK63" s="146"/>
      <c r="GL63" s="146"/>
      <c r="GM63" s="146"/>
      <c r="GN63" s="147"/>
      <c r="GO63" s="148"/>
      <c r="GP63" s="149"/>
      <c r="GQ63" s="148"/>
      <c r="GR63" s="150"/>
      <c r="GS63" s="151"/>
      <c r="GT63" s="154"/>
      <c r="GU63" s="156"/>
      <c r="GV63" s="153"/>
      <c r="GW63" s="141"/>
      <c r="GX63" s="141"/>
      <c r="GY63" s="85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39">
        <f t="shared" si="6"/>
        <v>0</v>
      </c>
      <c r="L64" s="70"/>
      <c r="M64" s="71"/>
      <c r="N64" s="142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43"/>
      <c r="V64" s="154"/>
      <c r="W64" s="155"/>
      <c r="X64" s="146"/>
      <c r="Y64" s="147"/>
      <c r="Z64" s="148"/>
      <c r="AA64" s="149"/>
      <c r="AB64" s="148"/>
      <c r="AC64" s="150"/>
      <c r="AD64" s="151"/>
      <c r="AE64" s="146"/>
      <c r="AF64" s="146"/>
      <c r="AG64" s="146"/>
      <c r="AH64" s="147"/>
      <c r="AI64" s="148"/>
      <c r="AJ64" s="149"/>
      <c r="AK64" s="148"/>
      <c r="AL64" s="150"/>
      <c r="AM64" s="151"/>
      <c r="AN64" s="146"/>
      <c r="AO64" s="146"/>
      <c r="AP64" s="146"/>
      <c r="AQ64" s="147"/>
      <c r="AR64" s="148"/>
      <c r="AS64" s="149"/>
      <c r="AT64" s="148"/>
      <c r="AU64" s="150"/>
      <c r="AV64" s="151"/>
      <c r="AW64" s="146"/>
      <c r="AX64" s="146"/>
      <c r="AY64" s="146"/>
      <c r="AZ64" s="147"/>
      <c r="BA64" s="148"/>
      <c r="BB64" s="149"/>
      <c r="BC64" s="148"/>
      <c r="BD64" s="150"/>
      <c r="BE64" s="151"/>
      <c r="BF64" s="146"/>
      <c r="BG64" s="146"/>
      <c r="BH64" s="146"/>
      <c r="BI64" s="147"/>
      <c r="BJ64" s="148"/>
      <c r="BK64" s="149"/>
      <c r="BL64" s="148"/>
      <c r="BM64" s="150"/>
      <c r="BN64" s="151"/>
      <c r="BO64" s="146"/>
      <c r="BP64" s="146"/>
      <c r="BQ64" s="146"/>
      <c r="BR64" s="147"/>
      <c r="BS64" s="148"/>
      <c r="BT64" s="149"/>
      <c r="BU64" s="148"/>
      <c r="BV64" s="150"/>
      <c r="BW64" s="151"/>
      <c r="BX64" s="146"/>
      <c r="BY64" s="146"/>
      <c r="BZ64" s="146"/>
      <c r="CA64" s="147"/>
      <c r="CB64" s="148"/>
      <c r="CC64" s="149"/>
      <c r="CD64" s="148"/>
      <c r="CE64" s="150"/>
      <c r="CF64" s="151"/>
      <c r="CG64" s="146"/>
      <c r="CH64" s="146"/>
      <c r="CI64" s="146"/>
      <c r="CJ64" s="147"/>
      <c r="CK64" s="148"/>
      <c r="CL64" s="149"/>
      <c r="CM64" s="148"/>
      <c r="CN64" s="150"/>
      <c r="CO64" s="151"/>
      <c r="CP64" s="146"/>
      <c r="CQ64" s="146"/>
      <c r="CR64" s="146"/>
      <c r="CS64" s="147"/>
      <c r="CT64" s="148"/>
      <c r="CU64" s="149"/>
      <c r="CV64" s="148"/>
      <c r="CW64" s="150"/>
      <c r="CX64" s="151"/>
      <c r="CY64" s="146"/>
      <c r="CZ64" s="146"/>
      <c r="DA64" s="146"/>
      <c r="DB64" s="147"/>
      <c r="DC64" s="148"/>
      <c r="DD64" s="149"/>
      <c r="DE64" s="148"/>
      <c r="DF64" s="150"/>
      <c r="DG64" s="151"/>
      <c r="DH64" s="146"/>
      <c r="DI64" s="146"/>
      <c r="DJ64" s="146"/>
      <c r="DK64" s="147"/>
      <c r="DL64" s="148"/>
      <c r="DM64" s="149"/>
      <c r="DN64" s="148"/>
      <c r="DO64" s="150"/>
      <c r="DP64" s="151"/>
      <c r="DQ64" s="146"/>
      <c r="DR64" s="146"/>
      <c r="DS64" s="146"/>
      <c r="DT64" s="147"/>
      <c r="DU64" s="148"/>
      <c r="DV64" s="149"/>
      <c r="DW64" s="148"/>
      <c r="DX64" s="150"/>
      <c r="DY64" s="151"/>
      <c r="DZ64" s="146"/>
      <c r="EA64" s="146"/>
      <c r="EB64" s="146"/>
      <c r="EC64" s="147"/>
      <c r="ED64" s="148"/>
      <c r="EE64" s="149"/>
      <c r="EF64" s="148"/>
      <c r="EG64" s="150"/>
      <c r="EH64" s="151"/>
      <c r="EI64" s="146"/>
      <c r="EJ64" s="146"/>
      <c r="EK64" s="146"/>
      <c r="EL64" s="147"/>
      <c r="EM64" s="148"/>
      <c r="EN64" s="149"/>
      <c r="EO64" s="148"/>
      <c r="EP64" s="150"/>
      <c r="EQ64" s="151"/>
      <c r="ER64" s="146"/>
      <c r="ES64" s="146"/>
      <c r="ET64" s="146"/>
      <c r="EU64" s="147"/>
      <c r="EV64" s="148"/>
      <c r="EW64" s="149"/>
      <c r="EX64" s="148"/>
      <c r="EY64" s="150"/>
      <c r="EZ64" s="151"/>
      <c r="FA64" s="146"/>
      <c r="FB64" s="146"/>
      <c r="FC64" s="146"/>
      <c r="FD64" s="147"/>
      <c r="FE64" s="148"/>
      <c r="FF64" s="149"/>
      <c r="FG64" s="148"/>
      <c r="FH64" s="150"/>
      <c r="FI64" s="151"/>
      <c r="FJ64" s="146"/>
      <c r="FK64" s="146"/>
      <c r="FL64" s="146"/>
      <c r="FM64" s="147"/>
      <c r="FN64" s="148"/>
      <c r="FO64" s="149"/>
      <c r="FP64" s="148"/>
      <c r="FQ64" s="150"/>
      <c r="FR64" s="151"/>
      <c r="FS64" s="146"/>
      <c r="FT64" s="146"/>
      <c r="FU64" s="146"/>
      <c r="FV64" s="147"/>
      <c r="FW64" s="148"/>
      <c r="FX64" s="149"/>
      <c r="FY64" s="148"/>
      <c r="FZ64" s="150"/>
      <c r="GA64" s="151"/>
      <c r="GB64" s="146"/>
      <c r="GC64" s="146"/>
      <c r="GD64" s="146"/>
      <c r="GE64" s="147"/>
      <c r="GF64" s="148"/>
      <c r="GG64" s="149"/>
      <c r="GH64" s="148"/>
      <c r="GI64" s="150"/>
      <c r="GJ64" s="151"/>
      <c r="GK64" s="146"/>
      <c r="GL64" s="146"/>
      <c r="GM64" s="146"/>
      <c r="GN64" s="147"/>
      <c r="GO64" s="148"/>
      <c r="GP64" s="149"/>
      <c r="GQ64" s="148"/>
      <c r="GR64" s="150"/>
      <c r="GS64" s="151"/>
      <c r="GT64" s="154"/>
      <c r="GU64" s="156"/>
      <c r="GV64" s="153"/>
      <c r="GW64" s="141"/>
      <c r="GX64" s="141"/>
      <c r="GY64" s="85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39">
        <f t="shared" si="6"/>
        <v>0</v>
      </c>
      <c r="L65" s="70"/>
      <c r="M65" s="71"/>
      <c r="N65" s="142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43"/>
      <c r="V65" s="154"/>
      <c r="W65" s="155"/>
      <c r="X65" s="158"/>
      <c r="Y65" s="159"/>
      <c r="Z65" s="160"/>
      <c r="AA65" s="161"/>
      <c r="AB65" s="160"/>
      <c r="AC65" s="162"/>
      <c r="AD65" s="163"/>
      <c r="AE65" s="158"/>
      <c r="AF65" s="158"/>
      <c r="AG65" s="158"/>
      <c r="AH65" s="159"/>
      <c r="AI65" s="160"/>
      <c r="AJ65" s="161"/>
      <c r="AK65" s="160"/>
      <c r="AL65" s="162"/>
      <c r="AM65" s="163"/>
      <c r="AN65" s="158"/>
      <c r="AO65" s="158"/>
      <c r="AP65" s="158"/>
      <c r="AQ65" s="159"/>
      <c r="AR65" s="160"/>
      <c r="AS65" s="161"/>
      <c r="AT65" s="160"/>
      <c r="AU65" s="162"/>
      <c r="AV65" s="163"/>
      <c r="AW65" s="158"/>
      <c r="AX65" s="158"/>
      <c r="AY65" s="158"/>
      <c r="AZ65" s="159"/>
      <c r="BA65" s="160"/>
      <c r="BB65" s="161"/>
      <c r="BC65" s="160"/>
      <c r="BD65" s="162"/>
      <c r="BE65" s="163"/>
      <c r="BF65" s="158"/>
      <c r="BG65" s="158"/>
      <c r="BH65" s="158"/>
      <c r="BI65" s="159"/>
      <c r="BJ65" s="160"/>
      <c r="BK65" s="161"/>
      <c r="BL65" s="160"/>
      <c r="BM65" s="162"/>
      <c r="BN65" s="163"/>
      <c r="BO65" s="158"/>
      <c r="BP65" s="158"/>
      <c r="BQ65" s="158"/>
      <c r="BR65" s="159"/>
      <c r="BS65" s="160"/>
      <c r="BT65" s="161"/>
      <c r="BU65" s="160"/>
      <c r="BV65" s="162"/>
      <c r="BW65" s="163"/>
      <c r="BX65" s="158"/>
      <c r="BY65" s="158"/>
      <c r="BZ65" s="158"/>
      <c r="CA65" s="159"/>
      <c r="CB65" s="160"/>
      <c r="CC65" s="161"/>
      <c r="CD65" s="160"/>
      <c r="CE65" s="162"/>
      <c r="CF65" s="163"/>
      <c r="CG65" s="158"/>
      <c r="CH65" s="158"/>
      <c r="CI65" s="158"/>
      <c r="CJ65" s="159"/>
      <c r="CK65" s="160"/>
      <c r="CL65" s="161"/>
      <c r="CM65" s="160"/>
      <c r="CN65" s="162"/>
      <c r="CO65" s="163"/>
      <c r="CP65" s="158"/>
      <c r="CQ65" s="158"/>
      <c r="CR65" s="158"/>
      <c r="CS65" s="159"/>
      <c r="CT65" s="160"/>
      <c r="CU65" s="161"/>
      <c r="CV65" s="160"/>
      <c r="CW65" s="162"/>
      <c r="CX65" s="163"/>
      <c r="CY65" s="158"/>
      <c r="CZ65" s="158"/>
      <c r="DA65" s="158"/>
      <c r="DB65" s="159"/>
      <c r="DC65" s="160"/>
      <c r="DD65" s="161"/>
      <c r="DE65" s="160"/>
      <c r="DF65" s="162"/>
      <c r="DG65" s="163"/>
      <c r="DH65" s="158"/>
      <c r="DI65" s="158"/>
      <c r="DJ65" s="158"/>
      <c r="DK65" s="159"/>
      <c r="DL65" s="160"/>
      <c r="DM65" s="161"/>
      <c r="DN65" s="160"/>
      <c r="DO65" s="162"/>
      <c r="DP65" s="163"/>
      <c r="DQ65" s="158"/>
      <c r="DR65" s="158"/>
      <c r="DS65" s="158"/>
      <c r="DT65" s="159"/>
      <c r="DU65" s="160"/>
      <c r="DV65" s="161"/>
      <c r="DW65" s="160"/>
      <c r="DX65" s="162"/>
      <c r="DY65" s="163"/>
      <c r="DZ65" s="158"/>
      <c r="EA65" s="158"/>
      <c r="EB65" s="158"/>
      <c r="EC65" s="159"/>
      <c r="ED65" s="160"/>
      <c r="EE65" s="161"/>
      <c r="EF65" s="160"/>
      <c r="EG65" s="162"/>
      <c r="EH65" s="163"/>
      <c r="EI65" s="158"/>
      <c r="EJ65" s="158"/>
      <c r="EK65" s="158"/>
      <c r="EL65" s="159"/>
      <c r="EM65" s="160"/>
      <c r="EN65" s="161"/>
      <c r="EO65" s="160"/>
      <c r="EP65" s="162"/>
      <c r="EQ65" s="163"/>
      <c r="ER65" s="158"/>
      <c r="ES65" s="158"/>
      <c r="ET65" s="158"/>
      <c r="EU65" s="159"/>
      <c r="EV65" s="160"/>
      <c r="EW65" s="161"/>
      <c r="EX65" s="160"/>
      <c r="EY65" s="162"/>
      <c r="EZ65" s="163"/>
      <c r="FA65" s="158"/>
      <c r="FB65" s="158"/>
      <c r="FC65" s="158"/>
      <c r="FD65" s="159"/>
      <c r="FE65" s="160"/>
      <c r="FF65" s="161"/>
      <c r="FG65" s="160"/>
      <c r="FH65" s="162"/>
      <c r="FI65" s="163"/>
      <c r="FJ65" s="158"/>
      <c r="FK65" s="158"/>
      <c r="FL65" s="158"/>
      <c r="FM65" s="159"/>
      <c r="FN65" s="160"/>
      <c r="FO65" s="161"/>
      <c r="FP65" s="160"/>
      <c r="FQ65" s="162"/>
      <c r="FR65" s="163"/>
      <c r="FS65" s="158"/>
      <c r="FT65" s="158"/>
      <c r="FU65" s="158"/>
      <c r="FV65" s="159"/>
      <c r="FW65" s="160"/>
      <c r="FX65" s="161"/>
      <c r="FY65" s="160"/>
      <c r="FZ65" s="162"/>
      <c r="GA65" s="163"/>
      <c r="GB65" s="158"/>
      <c r="GC65" s="158"/>
      <c r="GD65" s="158"/>
      <c r="GE65" s="159"/>
      <c r="GF65" s="160"/>
      <c r="GG65" s="161"/>
      <c r="GH65" s="160"/>
      <c r="GI65" s="162"/>
      <c r="GJ65" s="163"/>
      <c r="GK65" s="158"/>
      <c r="GL65" s="158"/>
      <c r="GM65" s="158"/>
      <c r="GN65" s="159"/>
      <c r="GO65" s="160"/>
      <c r="GP65" s="161"/>
      <c r="GQ65" s="160"/>
      <c r="GR65" s="162"/>
      <c r="GS65" s="163"/>
      <c r="GT65" s="154"/>
      <c r="GU65" s="156"/>
      <c r="GV65" s="153"/>
      <c r="GW65" s="141"/>
      <c r="GX65" s="141"/>
      <c r="GY65" s="85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39">
        <f t="shared" si="6"/>
        <v>0</v>
      </c>
      <c r="L66" s="70"/>
      <c r="M66" s="71"/>
      <c r="N66" s="164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43"/>
      <c r="V66" s="154"/>
      <c r="W66" s="165"/>
      <c r="X66" s="158"/>
      <c r="Y66" s="159"/>
      <c r="Z66" s="160"/>
      <c r="AA66" s="161"/>
      <c r="AB66" s="160"/>
      <c r="AC66" s="162"/>
      <c r="AD66" s="163"/>
      <c r="AE66" s="158"/>
      <c r="AF66" s="158"/>
      <c r="AG66" s="158"/>
      <c r="AH66" s="159"/>
      <c r="AI66" s="160"/>
      <c r="AJ66" s="161"/>
      <c r="AK66" s="160"/>
      <c r="AL66" s="162"/>
      <c r="AM66" s="163"/>
      <c r="AN66" s="158"/>
      <c r="AO66" s="158"/>
      <c r="AP66" s="158"/>
      <c r="AQ66" s="159"/>
      <c r="AR66" s="160"/>
      <c r="AS66" s="161"/>
      <c r="AT66" s="160"/>
      <c r="AU66" s="162"/>
      <c r="AV66" s="163"/>
      <c r="AW66" s="158"/>
      <c r="AX66" s="158"/>
      <c r="AY66" s="158"/>
      <c r="AZ66" s="159"/>
      <c r="BA66" s="160"/>
      <c r="BB66" s="161"/>
      <c r="BC66" s="160"/>
      <c r="BD66" s="162"/>
      <c r="BE66" s="163"/>
      <c r="BF66" s="158"/>
      <c r="BG66" s="158"/>
      <c r="BH66" s="158"/>
      <c r="BI66" s="159"/>
      <c r="BJ66" s="160"/>
      <c r="BK66" s="161"/>
      <c r="BL66" s="160"/>
      <c r="BM66" s="162"/>
      <c r="BN66" s="163"/>
      <c r="BO66" s="158"/>
      <c r="BP66" s="158"/>
      <c r="BQ66" s="158"/>
      <c r="BR66" s="159"/>
      <c r="BS66" s="160"/>
      <c r="BT66" s="161"/>
      <c r="BU66" s="160"/>
      <c r="BV66" s="162"/>
      <c r="BW66" s="163"/>
      <c r="BX66" s="158"/>
      <c r="BY66" s="158"/>
      <c r="BZ66" s="158"/>
      <c r="CA66" s="159"/>
      <c r="CB66" s="160"/>
      <c r="CC66" s="161"/>
      <c r="CD66" s="160"/>
      <c r="CE66" s="162"/>
      <c r="CF66" s="163"/>
      <c r="CG66" s="158"/>
      <c r="CH66" s="158"/>
      <c r="CI66" s="158"/>
      <c r="CJ66" s="159"/>
      <c r="CK66" s="160"/>
      <c r="CL66" s="161"/>
      <c r="CM66" s="160"/>
      <c r="CN66" s="162"/>
      <c r="CO66" s="163"/>
      <c r="CP66" s="158"/>
      <c r="CQ66" s="158"/>
      <c r="CR66" s="158"/>
      <c r="CS66" s="159"/>
      <c r="CT66" s="160"/>
      <c r="CU66" s="161"/>
      <c r="CV66" s="160"/>
      <c r="CW66" s="162"/>
      <c r="CX66" s="163"/>
      <c r="CY66" s="158"/>
      <c r="CZ66" s="158"/>
      <c r="DA66" s="158"/>
      <c r="DB66" s="159"/>
      <c r="DC66" s="160"/>
      <c r="DD66" s="161"/>
      <c r="DE66" s="160"/>
      <c r="DF66" s="162"/>
      <c r="DG66" s="163"/>
      <c r="DH66" s="158"/>
      <c r="DI66" s="158"/>
      <c r="DJ66" s="158"/>
      <c r="DK66" s="159"/>
      <c r="DL66" s="160"/>
      <c r="DM66" s="161"/>
      <c r="DN66" s="160"/>
      <c r="DO66" s="162"/>
      <c r="DP66" s="163"/>
      <c r="DQ66" s="158"/>
      <c r="DR66" s="158"/>
      <c r="DS66" s="158"/>
      <c r="DT66" s="159"/>
      <c r="DU66" s="160"/>
      <c r="DV66" s="161"/>
      <c r="DW66" s="160"/>
      <c r="DX66" s="162"/>
      <c r="DY66" s="163"/>
      <c r="DZ66" s="158"/>
      <c r="EA66" s="158"/>
      <c r="EB66" s="158"/>
      <c r="EC66" s="159"/>
      <c r="ED66" s="160"/>
      <c r="EE66" s="161"/>
      <c r="EF66" s="160"/>
      <c r="EG66" s="162"/>
      <c r="EH66" s="163"/>
      <c r="EI66" s="158"/>
      <c r="EJ66" s="158"/>
      <c r="EK66" s="158"/>
      <c r="EL66" s="159"/>
      <c r="EM66" s="160"/>
      <c r="EN66" s="161"/>
      <c r="EO66" s="160"/>
      <c r="EP66" s="162"/>
      <c r="EQ66" s="163"/>
      <c r="ER66" s="158"/>
      <c r="ES66" s="158"/>
      <c r="ET66" s="158"/>
      <c r="EU66" s="159"/>
      <c r="EV66" s="160"/>
      <c r="EW66" s="161"/>
      <c r="EX66" s="160"/>
      <c r="EY66" s="162"/>
      <c r="EZ66" s="163"/>
      <c r="FA66" s="158"/>
      <c r="FB66" s="158"/>
      <c r="FC66" s="158"/>
      <c r="FD66" s="159"/>
      <c r="FE66" s="160"/>
      <c r="FF66" s="161"/>
      <c r="FG66" s="160"/>
      <c r="FH66" s="162"/>
      <c r="FI66" s="163"/>
      <c r="FJ66" s="158"/>
      <c r="FK66" s="158"/>
      <c r="FL66" s="158"/>
      <c r="FM66" s="159"/>
      <c r="FN66" s="160"/>
      <c r="FO66" s="161"/>
      <c r="FP66" s="160"/>
      <c r="FQ66" s="162"/>
      <c r="FR66" s="163"/>
      <c r="FS66" s="158"/>
      <c r="FT66" s="158"/>
      <c r="FU66" s="158"/>
      <c r="FV66" s="159"/>
      <c r="FW66" s="160"/>
      <c r="FX66" s="161"/>
      <c r="FY66" s="160"/>
      <c r="FZ66" s="162"/>
      <c r="GA66" s="163"/>
      <c r="GB66" s="158"/>
      <c r="GC66" s="158"/>
      <c r="GD66" s="158"/>
      <c r="GE66" s="159"/>
      <c r="GF66" s="160"/>
      <c r="GG66" s="161"/>
      <c r="GH66" s="160"/>
      <c r="GI66" s="162"/>
      <c r="GJ66" s="163"/>
      <c r="GK66" s="158"/>
      <c r="GL66" s="158"/>
      <c r="GM66" s="158"/>
      <c r="GN66" s="159"/>
      <c r="GO66" s="160"/>
      <c r="GP66" s="161"/>
      <c r="GQ66" s="160"/>
      <c r="GR66" s="162"/>
      <c r="GS66" s="163"/>
      <c r="GT66" s="154"/>
      <c r="GU66" s="156"/>
      <c r="GV66" s="153"/>
      <c r="GW66" s="66"/>
      <c r="GX66" s="66"/>
      <c r="GY66" s="85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39">
        <f t="shared" si="6"/>
        <v>0</v>
      </c>
      <c r="L67" s="70"/>
      <c r="M67" s="71"/>
      <c r="N67" s="56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38"/>
      <c r="V67" s="166"/>
      <c r="W67" s="86"/>
      <c r="X67" s="68"/>
      <c r="Y67" s="167"/>
      <c r="Z67" s="168"/>
      <c r="AA67" s="169"/>
      <c r="AB67" s="168"/>
      <c r="AC67" s="170"/>
      <c r="AD67" s="171"/>
      <c r="AE67" s="68"/>
      <c r="AF67" s="68"/>
      <c r="AG67" s="68"/>
      <c r="AH67" s="167"/>
      <c r="AI67" s="168"/>
      <c r="AJ67" s="169"/>
      <c r="AK67" s="168"/>
      <c r="AL67" s="170"/>
      <c r="AM67" s="171"/>
      <c r="AN67" s="68"/>
      <c r="AO67" s="68"/>
      <c r="AP67" s="68"/>
      <c r="AQ67" s="167"/>
      <c r="AR67" s="168"/>
      <c r="AS67" s="169"/>
      <c r="AT67" s="168"/>
      <c r="AU67" s="170"/>
      <c r="AV67" s="171"/>
      <c r="AW67" s="68"/>
      <c r="AX67" s="68"/>
      <c r="AY67" s="68"/>
      <c r="AZ67" s="167"/>
      <c r="BA67" s="168"/>
      <c r="BB67" s="169"/>
      <c r="BC67" s="168"/>
      <c r="BD67" s="170"/>
      <c r="BE67" s="171"/>
      <c r="BF67" s="68"/>
      <c r="BG67" s="68"/>
      <c r="BH67" s="68"/>
      <c r="BI67" s="167"/>
      <c r="BJ67" s="168"/>
      <c r="BK67" s="169"/>
      <c r="BL67" s="168"/>
      <c r="BM67" s="170"/>
      <c r="BN67" s="171"/>
      <c r="BO67" s="68"/>
      <c r="BP67" s="68"/>
      <c r="BQ67" s="68"/>
      <c r="BR67" s="167"/>
      <c r="BS67" s="168"/>
      <c r="BT67" s="169"/>
      <c r="BU67" s="168"/>
      <c r="BV67" s="170"/>
      <c r="BW67" s="171"/>
      <c r="BX67" s="68"/>
      <c r="BY67" s="68"/>
      <c r="BZ67" s="68"/>
      <c r="CA67" s="167"/>
      <c r="CB67" s="168"/>
      <c r="CC67" s="169"/>
      <c r="CD67" s="168"/>
      <c r="CE67" s="170"/>
      <c r="CF67" s="171"/>
      <c r="CG67" s="68"/>
      <c r="CH67" s="68"/>
      <c r="CI67" s="68"/>
      <c r="CJ67" s="167"/>
      <c r="CK67" s="168"/>
      <c r="CL67" s="169"/>
      <c r="CM67" s="168"/>
      <c r="CN67" s="170"/>
      <c r="CO67" s="171"/>
      <c r="CP67" s="68"/>
      <c r="CQ67" s="68"/>
      <c r="CR67" s="68"/>
      <c r="CS67" s="167"/>
      <c r="CT67" s="168"/>
      <c r="CU67" s="169"/>
      <c r="CV67" s="168"/>
      <c r="CW67" s="170"/>
      <c r="CX67" s="171"/>
      <c r="CY67" s="68"/>
      <c r="CZ67" s="68"/>
      <c r="DA67" s="68"/>
      <c r="DB67" s="167"/>
      <c r="DC67" s="168"/>
      <c r="DD67" s="169"/>
      <c r="DE67" s="168"/>
      <c r="DF67" s="170"/>
      <c r="DG67" s="171"/>
      <c r="DH67" s="68"/>
      <c r="DI67" s="68"/>
      <c r="DJ67" s="68"/>
      <c r="DK67" s="167"/>
      <c r="DL67" s="168"/>
      <c r="DM67" s="169"/>
      <c r="DN67" s="168"/>
      <c r="DO67" s="170"/>
      <c r="DP67" s="171"/>
      <c r="DQ67" s="68"/>
      <c r="DR67" s="68"/>
      <c r="DS67" s="68"/>
      <c r="DT67" s="167"/>
      <c r="DU67" s="168"/>
      <c r="DV67" s="169"/>
      <c r="DW67" s="168"/>
      <c r="DX67" s="170"/>
      <c r="DY67" s="171"/>
      <c r="DZ67" s="68"/>
      <c r="EA67" s="68"/>
      <c r="EB67" s="68"/>
      <c r="EC67" s="167"/>
      <c r="ED67" s="168"/>
      <c r="EE67" s="169"/>
      <c r="EF67" s="168"/>
      <c r="EG67" s="170"/>
      <c r="EH67" s="171"/>
      <c r="EI67" s="68"/>
      <c r="EJ67" s="68"/>
      <c r="EK67" s="68"/>
      <c r="EL67" s="167"/>
      <c r="EM67" s="168"/>
      <c r="EN67" s="169"/>
      <c r="EO67" s="168"/>
      <c r="EP67" s="170"/>
      <c r="EQ67" s="171"/>
      <c r="ER67" s="68"/>
      <c r="ES67" s="68"/>
      <c r="ET67" s="68"/>
      <c r="EU67" s="167"/>
      <c r="EV67" s="168"/>
      <c r="EW67" s="169"/>
      <c r="EX67" s="168"/>
      <c r="EY67" s="170"/>
      <c r="EZ67" s="171"/>
      <c r="FA67" s="68"/>
      <c r="FB67" s="68"/>
      <c r="FC67" s="68"/>
      <c r="FD67" s="167"/>
      <c r="FE67" s="168"/>
      <c r="FF67" s="169"/>
      <c r="FG67" s="168"/>
      <c r="FH67" s="170"/>
      <c r="FI67" s="171"/>
      <c r="FJ67" s="68"/>
      <c r="FK67" s="68"/>
      <c r="FL67" s="68"/>
      <c r="FM67" s="167"/>
      <c r="FN67" s="168"/>
      <c r="FO67" s="169"/>
      <c r="FP67" s="168"/>
      <c r="FQ67" s="170"/>
      <c r="FR67" s="171"/>
      <c r="FS67" s="68"/>
      <c r="FT67" s="68"/>
      <c r="FU67" s="68"/>
      <c r="FV67" s="167"/>
      <c r="FW67" s="168"/>
      <c r="FX67" s="169"/>
      <c r="FY67" s="168"/>
      <c r="FZ67" s="170"/>
      <c r="GA67" s="171"/>
      <c r="GB67" s="68"/>
      <c r="GC67" s="68"/>
      <c r="GD67" s="68"/>
      <c r="GE67" s="167"/>
      <c r="GF67" s="168"/>
      <c r="GG67" s="169"/>
      <c r="GH67" s="168"/>
      <c r="GI67" s="170"/>
      <c r="GJ67" s="171"/>
      <c r="GK67" s="68"/>
      <c r="GL67" s="68"/>
      <c r="GM67" s="68"/>
      <c r="GN67" s="167"/>
      <c r="GO67" s="168"/>
      <c r="GP67" s="169"/>
      <c r="GQ67" s="168"/>
      <c r="GR67" s="170"/>
      <c r="GS67" s="171"/>
      <c r="GT67" s="166"/>
      <c r="GU67" s="64"/>
      <c r="GV67" s="65"/>
      <c r="GW67" s="66"/>
      <c r="GX67" s="66"/>
      <c r="GY67" s="85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39">
        <f t="shared" si="6"/>
        <v>0</v>
      </c>
      <c r="L68" s="70"/>
      <c r="M68" s="71"/>
      <c r="N68" s="56"/>
      <c r="O68" s="72"/>
      <c r="P68" s="113">
        <f t="shared" si="0"/>
        <v>0</v>
      </c>
      <c r="Q68" s="117"/>
      <c r="R68" s="117"/>
      <c r="S68" s="117"/>
      <c r="T68" s="39">
        <f t="shared" si="1"/>
        <v>0</v>
      </c>
      <c r="U68" s="138"/>
      <c r="V68" s="166"/>
      <c r="W68" s="86"/>
      <c r="X68" s="68"/>
      <c r="Y68" s="167"/>
      <c r="Z68" s="168"/>
      <c r="AA68" s="169"/>
      <c r="AB68" s="168"/>
      <c r="AC68" s="170"/>
      <c r="AD68" s="171"/>
      <c r="AE68" s="68"/>
      <c r="AF68" s="68"/>
      <c r="AG68" s="68"/>
      <c r="AH68" s="167"/>
      <c r="AI68" s="168"/>
      <c r="AJ68" s="169"/>
      <c r="AK68" s="168"/>
      <c r="AL68" s="170"/>
      <c r="AM68" s="171"/>
      <c r="AN68" s="68"/>
      <c r="AO68" s="68"/>
      <c r="AP68" s="68"/>
      <c r="AQ68" s="167"/>
      <c r="AR68" s="168"/>
      <c r="AS68" s="169"/>
      <c r="AT68" s="168"/>
      <c r="AU68" s="170"/>
      <c r="AV68" s="171"/>
      <c r="AW68" s="68"/>
      <c r="AX68" s="68"/>
      <c r="AY68" s="68"/>
      <c r="AZ68" s="167"/>
      <c r="BA68" s="168"/>
      <c r="BB68" s="169"/>
      <c r="BC68" s="168"/>
      <c r="BD68" s="170"/>
      <c r="BE68" s="171"/>
      <c r="BF68" s="68"/>
      <c r="BG68" s="68"/>
      <c r="BH68" s="68"/>
      <c r="BI68" s="167"/>
      <c r="BJ68" s="168"/>
      <c r="BK68" s="169"/>
      <c r="BL68" s="168"/>
      <c r="BM68" s="170"/>
      <c r="BN68" s="171"/>
      <c r="BO68" s="68"/>
      <c r="BP68" s="68"/>
      <c r="BQ68" s="68"/>
      <c r="BR68" s="167"/>
      <c r="BS68" s="168"/>
      <c r="BT68" s="169"/>
      <c r="BU68" s="168"/>
      <c r="BV68" s="170"/>
      <c r="BW68" s="171"/>
      <c r="BX68" s="68"/>
      <c r="BY68" s="68"/>
      <c r="BZ68" s="68"/>
      <c r="CA68" s="167"/>
      <c r="CB68" s="168"/>
      <c r="CC68" s="169"/>
      <c r="CD68" s="168"/>
      <c r="CE68" s="170"/>
      <c r="CF68" s="171"/>
      <c r="CG68" s="68"/>
      <c r="CH68" s="68"/>
      <c r="CI68" s="68"/>
      <c r="CJ68" s="167"/>
      <c r="CK68" s="168"/>
      <c r="CL68" s="169"/>
      <c r="CM68" s="168"/>
      <c r="CN68" s="170"/>
      <c r="CO68" s="171"/>
      <c r="CP68" s="68"/>
      <c r="CQ68" s="68"/>
      <c r="CR68" s="68"/>
      <c r="CS68" s="167"/>
      <c r="CT68" s="168"/>
      <c r="CU68" s="169"/>
      <c r="CV68" s="168"/>
      <c r="CW68" s="170"/>
      <c r="CX68" s="171"/>
      <c r="CY68" s="68"/>
      <c r="CZ68" s="68"/>
      <c r="DA68" s="68"/>
      <c r="DB68" s="167"/>
      <c r="DC68" s="168"/>
      <c r="DD68" s="169"/>
      <c r="DE68" s="168"/>
      <c r="DF68" s="170"/>
      <c r="DG68" s="171"/>
      <c r="DH68" s="68"/>
      <c r="DI68" s="68"/>
      <c r="DJ68" s="68"/>
      <c r="DK68" s="167"/>
      <c r="DL68" s="168"/>
      <c r="DM68" s="169"/>
      <c r="DN68" s="168"/>
      <c r="DO68" s="170"/>
      <c r="DP68" s="171"/>
      <c r="DQ68" s="68"/>
      <c r="DR68" s="68"/>
      <c r="DS68" s="68"/>
      <c r="DT68" s="167"/>
      <c r="DU68" s="168"/>
      <c r="DV68" s="169"/>
      <c r="DW68" s="168"/>
      <c r="DX68" s="170"/>
      <c r="DY68" s="171"/>
      <c r="DZ68" s="68"/>
      <c r="EA68" s="68"/>
      <c r="EB68" s="68"/>
      <c r="EC68" s="167"/>
      <c r="ED68" s="168"/>
      <c r="EE68" s="169"/>
      <c r="EF68" s="168"/>
      <c r="EG68" s="170"/>
      <c r="EH68" s="171"/>
      <c r="EI68" s="68"/>
      <c r="EJ68" s="68"/>
      <c r="EK68" s="68"/>
      <c r="EL68" s="167"/>
      <c r="EM68" s="168"/>
      <c r="EN68" s="169"/>
      <c r="EO68" s="168"/>
      <c r="EP68" s="170"/>
      <c r="EQ68" s="171"/>
      <c r="ER68" s="68"/>
      <c r="ES68" s="68"/>
      <c r="ET68" s="68"/>
      <c r="EU68" s="167"/>
      <c r="EV68" s="168"/>
      <c r="EW68" s="169"/>
      <c r="EX68" s="168"/>
      <c r="EY68" s="170"/>
      <c r="EZ68" s="171"/>
      <c r="FA68" s="68"/>
      <c r="FB68" s="68"/>
      <c r="FC68" s="68"/>
      <c r="FD68" s="167"/>
      <c r="FE68" s="168"/>
      <c r="FF68" s="169"/>
      <c r="FG68" s="168"/>
      <c r="FH68" s="170"/>
      <c r="FI68" s="171"/>
      <c r="FJ68" s="68"/>
      <c r="FK68" s="68"/>
      <c r="FL68" s="68"/>
      <c r="FM68" s="167"/>
      <c r="FN68" s="168"/>
      <c r="FO68" s="169"/>
      <c r="FP68" s="168"/>
      <c r="FQ68" s="170"/>
      <c r="FR68" s="171"/>
      <c r="FS68" s="68"/>
      <c r="FT68" s="68"/>
      <c r="FU68" s="68"/>
      <c r="FV68" s="167"/>
      <c r="FW68" s="168"/>
      <c r="FX68" s="169"/>
      <c r="FY68" s="168"/>
      <c r="FZ68" s="170"/>
      <c r="GA68" s="171"/>
      <c r="GB68" s="68"/>
      <c r="GC68" s="68"/>
      <c r="GD68" s="68"/>
      <c r="GE68" s="167"/>
      <c r="GF68" s="168"/>
      <c r="GG68" s="169"/>
      <c r="GH68" s="168"/>
      <c r="GI68" s="170"/>
      <c r="GJ68" s="171"/>
      <c r="GK68" s="68"/>
      <c r="GL68" s="68"/>
      <c r="GM68" s="68"/>
      <c r="GN68" s="167"/>
      <c r="GO68" s="168"/>
      <c r="GP68" s="169"/>
      <c r="GQ68" s="168"/>
      <c r="GR68" s="170"/>
      <c r="GS68" s="171"/>
      <c r="GT68" s="166"/>
      <c r="GU68" s="64"/>
      <c r="GV68" s="65"/>
      <c r="GW68" s="66"/>
      <c r="GX68" s="66"/>
      <c r="GY68" s="85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39">
        <f t="shared" si="6"/>
        <v>0</v>
      </c>
      <c r="L69" s="70"/>
      <c r="M69" s="71"/>
      <c r="N69" s="56"/>
      <c r="O69" s="72"/>
      <c r="P69" s="113">
        <f t="shared" si="0"/>
        <v>0</v>
      </c>
      <c r="Q69" s="117"/>
      <c r="R69" s="117"/>
      <c r="S69" s="117"/>
      <c r="T69" s="39">
        <f t="shared" si="1"/>
        <v>0</v>
      </c>
      <c r="U69" s="138"/>
      <c r="V69" s="166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71"/>
      <c r="GU69" s="64"/>
      <c r="GV69" s="65"/>
      <c r="GW69" s="66"/>
      <c r="GX69" s="66"/>
      <c r="GY69" s="85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68"/>
      <c r="K70" s="39">
        <f>H70*F70</f>
        <v>0</v>
      </c>
      <c r="L70" s="70"/>
      <c r="M70" s="71"/>
      <c r="N70" s="56"/>
      <c r="O70" s="72"/>
      <c r="P70" s="113">
        <f t="shared" si="0"/>
        <v>0</v>
      </c>
      <c r="Q70" s="117"/>
      <c r="R70" s="117"/>
      <c r="S70" s="117"/>
      <c r="T70" s="39">
        <f t="shared" si="1"/>
        <v>0</v>
      </c>
      <c r="U70" s="138"/>
      <c r="V70" s="166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71"/>
      <c r="GU70" s="64"/>
      <c r="GV70" s="65"/>
      <c r="GW70" s="66"/>
      <c r="GX70" s="66"/>
      <c r="GY70" s="85"/>
      <c r="GZ70" s="86"/>
    </row>
    <row r="71" spans="1:208" x14ac:dyDescent="0.25">
      <c r="A71"/>
      <c r="D71" s="35"/>
      <c r="E71" s="36"/>
      <c r="F71" s="37"/>
      <c r="G71" s="38"/>
      <c r="H71" s="39"/>
      <c r="I71" s="40"/>
      <c r="J71" s="68"/>
      <c r="K71" s="39">
        <f>H71*F71</f>
        <v>0</v>
      </c>
      <c r="L71" s="70"/>
      <c r="M71" s="71"/>
      <c r="N71" s="56"/>
      <c r="O71" s="72"/>
      <c r="P71" s="113">
        <f t="shared" si="0"/>
        <v>0</v>
      </c>
      <c r="Q71" s="117"/>
      <c r="R71" s="117"/>
      <c r="S71" s="117"/>
      <c r="T71" s="39">
        <f t="shared" si="1"/>
        <v>0</v>
      </c>
      <c r="U71" s="138"/>
      <c r="V71" s="166"/>
      <c r="W71" s="86"/>
      <c r="X71" s="68"/>
      <c r="Y71" s="167"/>
      <c r="Z71" s="168"/>
      <c r="AA71" s="169"/>
      <c r="AB71" s="168"/>
      <c r="AC71" s="170"/>
      <c r="AD71" s="171"/>
      <c r="AE71" s="68"/>
      <c r="AF71" s="68"/>
      <c r="AG71" s="68"/>
      <c r="AH71" s="167"/>
      <c r="AI71" s="168"/>
      <c r="AJ71" s="169"/>
      <c r="AK71" s="168"/>
      <c r="AL71" s="170"/>
      <c r="AM71" s="171"/>
      <c r="AN71" s="68"/>
      <c r="AO71" s="68"/>
      <c r="AP71" s="68"/>
      <c r="AQ71" s="167"/>
      <c r="AR71" s="168"/>
      <c r="AS71" s="169"/>
      <c r="AT71" s="168"/>
      <c r="AU71" s="170"/>
      <c r="AV71" s="171"/>
      <c r="AW71" s="68"/>
      <c r="AX71" s="68"/>
      <c r="AY71" s="68"/>
      <c r="AZ71" s="167"/>
      <c r="BA71" s="168"/>
      <c r="BB71" s="169"/>
      <c r="BC71" s="168"/>
      <c r="BD71" s="170"/>
      <c r="BE71" s="171"/>
      <c r="BF71" s="68"/>
      <c r="BG71" s="68"/>
      <c r="BH71" s="68"/>
      <c r="BI71" s="167"/>
      <c r="BJ71" s="168"/>
      <c r="BK71" s="169"/>
      <c r="BL71" s="168"/>
      <c r="BM71" s="170"/>
      <c r="BN71" s="171"/>
      <c r="BO71" s="68"/>
      <c r="BP71" s="68"/>
      <c r="BQ71" s="68"/>
      <c r="BR71" s="167"/>
      <c r="BS71" s="168"/>
      <c r="BT71" s="169"/>
      <c r="BU71" s="168"/>
      <c r="BV71" s="170"/>
      <c r="BW71" s="171"/>
      <c r="BX71" s="68"/>
      <c r="BY71" s="68"/>
      <c r="BZ71" s="68"/>
      <c r="CA71" s="167"/>
      <c r="CB71" s="168"/>
      <c r="CC71" s="169"/>
      <c r="CD71" s="168"/>
      <c r="CE71" s="170"/>
      <c r="CF71" s="171"/>
      <c r="CG71" s="68"/>
      <c r="CH71" s="68"/>
      <c r="CI71" s="68"/>
      <c r="CJ71" s="167"/>
      <c r="CK71" s="168"/>
      <c r="CL71" s="169"/>
      <c r="CM71" s="168"/>
      <c r="CN71" s="170"/>
      <c r="CO71" s="171"/>
      <c r="CP71" s="68"/>
      <c r="CQ71" s="68"/>
      <c r="CR71" s="68"/>
      <c r="CS71" s="167"/>
      <c r="CT71" s="168"/>
      <c r="CU71" s="169"/>
      <c r="CV71" s="168"/>
      <c r="CW71" s="170"/>
      <c r="CX71" s="171"/>
      <c r="CY71" s="68"/>
      <c r="CZ71" s="68"/>
      <c r="DA71" s="68"/>
      <c r="DB71" s="167"/>
      <c r="DC71" s="168"/>
      <c r="DD71" s="169"/>
      <c r="DE71" s="168"/>
      <c r="DF71" s="170"/>
      <c r="DG71" s="171"/>
      <c r="DH71" s="68"/>
      <c r="DI71" s="68"/>
      <c r="DJ71" s="68"/>
      <c r="DK71" s="167"/>
      <c r="DL71" s="168"/>
      <c r="DM71" s="169"/>
      <c r="DN71" s="168"/>
      <c r="DO71" s="170"/>
      <c r="DP71" s="171"/>
      <c r="DQ71" s="68"/>
      <c r="DR71" s="68"/>
      <c r="DS71" s="68"/>
      <c r="DT71" s="167"/>
      <c r="DU71" s="168"/>
      <c r="DV71" s="169"/>
      <c r="DW71" s="168"/>
      <c r="DX71" s="170"/>
      <c r="DY71" s="171"/>
      <c r="DZ71" s="68"/>
      <c r="EA71" s="68"/>
      <c r="EB71" s="68"/>
      <c r="EC71" s="167"/>
      <c r="ED71" s="168"/>
      <c r="EE71" s="169"/>
      <c r="EF71" s="168"/>
      <c r="EG71" s="170"/>
      <c r="EH71" s="171"/>
      <c r="EI71" s="68"/>
      <c r="EJ71" s="68"/>
      <c r="EK71" s="68"/>
      <c r="EL71" s="167"/>
      <c r="EM71" s="168"/>
      <c r="EN71" s="169"/>
      <c r="EO71" s="168"/>
      <c r="EP71" s="170"/>
      <c r="EQ71" s="171"/>
      <c r="ER71" s="68"/>
      <c r="ES71" s="68"/>
      <c r="ET71" s="68"/>
      <c r="EU71" s="167"/>
      <c r="EV71" s="168"/>
      <c r="EW71" s="169"/>
      <c r="EX71" s="168"/>
      <c r="EY71" s="170"/>
      <c r="EZ71" s="171"/>
      <c r="FA71" s="68"/>
      <c r="FB71" s="68"/>
      <c r="FC71" s="68"/>
      <c r="FD71" s="167"/>
      <c r="FE71" s="168"/>
      <c r="FF71" s="169"/>
      <c r="FG71" s="168"/>
      <c r="FH71" s="170"/>
      <c r="FI71" s="171"/>
      <c r="FJ71" s="68"/>
      <c r="FK71" s="68"/>
      <c r="FL71" s="68"/>
      <c r="FM71" s="167"/>
      <c r="FN71" s="168"/>
      <c r="FO71" s="169"/>
      <c r="FP71" s="168"/>
      <c r="FQ71" s="170"/>
      <c r="FR71" s="171"/>
      <c r="FS71" s="68"/>
      <c r="FT71" s="68"/>
      <c r="FU71" s="68"/>
      <c r="FV71" s="167"/>
      <c r="FW71" s="168"/>
      <c r="FX71" s="169"/>
      <c r="FY71" s="168"/>
      <c r="FZ71" s="170"/>
      <c r="GA71" s="171"/>
      <c r="GB71" s="68"/>
      <c r="GC71" s="68"/>
      <c r="GD71" s="68"/>
      <c r="GE71" s="167"/>
      <c r="GF71" s="168"/>
      <c r="GG71" s="169"/>
      <c r="GH71" s="168"/>
      <c r="GI71" s="170"/>
      <c r="GJ71" s="171"/>
      <c r="GK71" s="68"/>
      <c r="GL71" s="68"/>
      <c r="GM71" s="68"/>
      <c r="GN71" s="167"/>
      <c r="GO71" s="168"/>
      <c r="GP71" s="169"/>
      <c r="GQ71" s="168"/>
      <c r="GR71" s="170"/>
      <c r="GS71" s="171"/>
      <c r="GT71" s="171"/>
      <c r="GU71" s="64"/>
      <c r="GV71" s="65"/>
      <c r="GW71" s="66"/>
      <c r="GX71" s="66"/>
      <c r="GY71" s="85"/>
      <c r="GZ71" s="86"/>
    </row>
    <row r="72" spans="1:208" x14ac:dyDescent="0.25">
      <c r="A72"/>
      <c r="D72" s="35"/>
      <c r="E72" s="36"/>
      <c r="F72" s="37"/>
      <c r="G72" s="38"/>
      <c r="H72" s="39"/>
      <c r="I72" s="40"/>
      <c r="J72" s="68"/>
      <c r="K72" s="39">
        <f>H72*F72</f>
        <v>0</v>
      </c>
      <c r="L72" s="70"/>
      <c r="M72" s="71"/>
      <c r="N72" s="56"/>
      <c r="O72" s="72"/>
      <c r="P72" s="113">
        <f t="shared" si="0"/>
        <v>0</v>
      </c>
      <c r="Q72" s="117"/>
      <c r="R72" s="117"/>
      <c r="S72" s="117"/>
      <c r="T72" s="39">
        <f t="shared" si="1"/>
        <v>0</v>
      </c>
      <c r="U72" s="138"/>
      <c r="V72" s="166"/>
      <c r="W72" s="86"/>
      <c r="X72" s="68"/>
      <c r="Y72" s="167"/>
      <c r="Z72" s="168"/>
      <c r="AA72" s="169"/>
      <c r="AB72" s="168"/>
      <c r="AC72" s="170"/>
      <c r="AD72" s="171"/>
      <c r="AE72" s="68"/>
      <c r="AF72" s="68"/>
      <c r="AG72" s="68"/>
      <c r="AH72" s="167"/>
      <c r="AI72" s="168"/>
      <c r="AJ72" s="169"/>
      <c r="AK72" s="168"/>
      <c r="AL72" s="170"/>
      <c r="AM72" s="171"/>
      <c r="AN72" s="68"/>
      <c r="AO72" s="68"/>
      <c r="AP72" s="68"/>
      <c r="AQ72" s="167"/>
      <c r="AR72" s="168"/>
      <c r="AS72" s="169"/>
      <c r="AT72" s="168"/>
      <c r="AU72" s="170"/>
      <c r="AV72" s="171"/>
      <c r="AW72" s="68"/>
      <c r="AX72" s="68"/>
      <c r="AY72" s="68"/>
      <c r="AZ72" s="167"/>
      <c r="BA72" s="168"/>
      <c r="BB72" s="169"/>
      <c r="BC72" s="168"/>
      <c r="BD72" s="170"/>
      <c r="BE72" s="171"/>
      <c r="BF72" s="68"/>
      <c r="BG72" s="68"/>
      <c r="BH72" s="68"/>
      <c r="BI72" s="167"/>
      <c r="BJ72" s="168"/>
      <c r="BK72" s="169"/>
      <c r="BL72" s="168"/>
      <c r="BM72" s="170"/>
      <c r="BN72" s="171"/>
      <c r="BO72" s="68"/>
      <c r="BP72" s="68"/>
      <c r="BQ72" s="68"/>
      <c r="BR72" s="167"/>
      <c r="BS72" s="168"/>
      <c r="BT72" s="169"/>
      <c r="BU72" s="168"/>
      <c r="BV72" s="170"/>
      <c r="BW72" s="171"/>
      <c r="BX72" s="68"/>
      <c r="BY72" s="68"/>
      <c r="BZ72" s="68"/>
      <c r="CA72" s="167"/>
      <c r="CB72" s="168"/>
      <c r="CC72" s="169"/>
      <c r="CD72" s="168"/>
      <c r="CE72" s="170"/>
      <c r="CF72" s="171"/>
      <c r="CG72" s="68"/>
      <c r="CH72" s="68"/>
      <c r="CI72" s="68"/>
      <c r="CJ72" s="167"/>
      <c r="CK72" s="168"/>
      <c r="CL72" s="169"/>
      <c r="CM72" s="168"/>
      <c r="CN72" s="170"/>
      <c r="CO72" s="171"/>
      <c r="CP72" s="68"/>
      <c r="CQ72" s="68"/>
      <c r="CR72" s="68"/>
      <c r="CS72" s="167"/>
      <c r="CT72" s="168"/>
      <c r="CU72" s="169"/>
      <c r="CV72" s="168"/>
      <c r="CW72" s="170"/>
      <c r="CX72" s="171"/>
      <c r="CY72" s="68"/>
      <c r="CZ72" s="68"/>
      <c r="DA72" s="68"/>
      <c r="DB72" s="167"/>
      <c r="DC72" s="168"/>
      <c r="DD72" s="169"/>
      <c r="DE72" s="168"/>
      <c r="DF72" s="170"/>
      <c r="DG72" s="171"/>
      <c r="DH72" s="68"/>
      <c r="DI72" s="68"/>
      <c r="DJ72" s="68"/>
      <c r="DK72" s="167"/>
      <c r="DL72" s="168"/>
      <c r="DM72" s="169"/>
      <c r="DN72" s="168"/>
      <c r="DO72" s="170"/>
      <c r="DP72" s="171"/>
      <c r="DQ72" s="68"/>
      <c r="DR72" s="68"/>
      <c r="DS72" s="68"/>
      <c r="DT72" s="167"/>
      <c r="DU72" s="168"/>
      <c r="DV72" s="169"/>
      <c r="DW72" s="168"/>
      <c r="DX72" s="170"/>
      <c r="DY72" s="171"/>
      <c r="DZ72" s="68"/>
      <c r="EA72" s="68"/>
      <c r="EB72" s="68"/>
      <c r="EC72" s="167"/>
      <c r="ED72" s="168"/>
      <c r="EE72" s="169"/>
      <c r="EF72" s="168"/>
      <c r="EG72" s="170"/>
      <c r="EH72" s="171"/>
      <c r="EI72" s="68"/>
      <c r="EJ72" s="68"/>
      <c r="EK72" s="68"/>
      <c r="EL72" s="167"/>
      <c r="EM72" s="168"/>
      <c r="EN72" s="169"/>
      <c r="EO72" s="168"/>
      <c r="EP72" s="170"/>
      <c r="EQ72" s="171"/>
      <c r="ER72" s="68"/>
      <c r="ES72" s="68"/>
      <c r="ET72" s="68"/>
      <c r="EU72" s="167"/>
      <c r="EV72" s="168"/>
      <c r="EW72" s="169"/>
      <c r="EX72" s="168"/>
      <c r="EY72" s="170"/>
      <c r="EZ72" s="171"/>
      <c r="FA72" s="68"/>
      <c r="FB72" s="68"/>
      <c r="FC72" s="68"/>
      <c r="FD72" s="167"/>
      <c r="FE72" s="168"/>
      <c r="FF72" s="169"/>
      <c r="FG72" s="168"/>
      <c r="FH72" s="170"/>
      <c r="FI72" s="171"/>
      <c r="FJ72" s="68"/>
      <c r="FK72" s="68"/>
      <c r="FL72" s="68"/>
      <c r="FM72" s="167"/>
      <c r="FN72" s="168"/>
      <c r="FO72" s="169"/>
      <c r="FP72" s="168"/>
      <c r="FQ72" s="170"/>
      <c r="FR72" s="171"/>
      <c r="FS72" s="68"/>
      <c r="FT72" s="68"/>
      <c r="FU72" s="68"/>
      <c r="FV72" s="167"/>
      <c r="FW72" s="168"/>
      <c r="FX72" s="169"/>
      <c r="FY72" s="168"/>
      <c r="FZ72" s="170"/>
      <c r="GA72" s="171"/>
      <c r="GB72" s="68"/>
      <c r="GC72" s="68"/>
      <c r="GD72" s="68"/>
      <c r="GE72" s="167"/>
      <c r="GF72" s="168"/>
      <c r="GG72" s="169"/>
      <c r="GH72" s="168"/>
      <c r="GI72" s="170"/>
      <c r="GJ72" s="171"/>
      <c r="GK72" s="68"/>
      <c r="GL72" s="68"/>
      <c r="GM72" s="68"/>
      <c r="GN72" s="167"/>
      <c r="GO72" s="168"/>
      <c r="GP72" s="169"/>
      <c r="GQ72" s="168"/>
      <c r="GR72" s="170"/>
      <c r="GS72" s="171"/>
      <c r="GT72" s="171"/>
      <c r="GU72" s="64"/>
      <c r="GV72" s="65"/>
      <c r="GW72" s="66"/>
      <c r="GX72" s="66"/>
      <c r="GY72" s="85"/>
      <c r="GZ72" s="86"/>
    </row>
    <row r="73" spans="1:208" x14ac:dyDescent="0.25">
      <c r="A73"/>
      <c r="D73" s="35"/>
      <c r="E73" s="36"/>
      <c r="F73" s="37"/>
      <c r="G73" s="38"/>
      <c r="H73" s="39"/>
      <c r="I73" s="40"/>
      <c r="J73" s="68"/>
      <c r="K73" s="39">
        <f>H73*F73+J73+0</f>
        <v>0</v>
      </c>
      <c r="L73" s="70"/>
      <c r="M73" s="71"/>
      <c r="N73" s="56"/>
      <c r="O73" s="72"/>
      <c r="P73" s="113">
        <f t="shared" ref="P73:P75" si="8">O73-L73</f>
        <v>0</v>
      </c>
      <c r="Q73" s="117"/>
      <c r="R73" s="117"/>
      <c r="S73" s="117"/>
      <c r="T73" s="39">
        <f t="shared" si="1"/>
        <v>0</v>
      </c>
      <c r="U73" s="138"/>
      <c r="V73" s="172"/>
      <c r="W73" s="86"/>
      <c r="X73" s="68"/>
      <c r="Y73" s="167"/>
      <c r="Z73" s="168"/>
      <c r="AA73" s="169"/>
      <c r="AB73" s="168"/>
      <c r="AC73" s="170"/>
      <c r="AD73" s="171"/>
      <c r="AE73" s="68"/>
      <c r="AF73" s="68"/>
      <c r="AG73" s="68"/>
      <c r="AH73" s="167"/>
      <c r="AI73" s="168"/>
      <c r="AJ73" s="169"/>
      <c r="AK73" s="168"/>
      <c r="AL73" s="170"/>
      <c r="AM73" s="171"/>
      <c r="AN73" s="68"/>
      <c r="AO73" s="68"/>
      <c r="AP73" s="68"/>
      <c r="AQ73" s="167"/>
      <c r="AR73" s="168"/>
      <c r="AS73" s="169"/>
      <c r="AT73" s="168"/>
      <c r="AU73" s="170"/>
      <c r="AV73" s="171"/>
      <c r="AW73" s="68"/>
      <c r="AX73" s="68"/>
      <c r="AY73" s="68"/>
      <c r="AZ73" s="167"/>
      <c r="BA73" s="168"/>
      <c r="BB73" s="169"/>
      <c r="BC73" s="168"/>
      <c r="BD73" s="170"/>
      <c r="BE73" s="171"/>
      <c r="BF73" s="68"/>
      <c r="BG73" s="68"/>
      <c r="BH73" s="68"/>
      <c r="BI73" s="167"/>
      <c r="BJ73" s="168"/>
      <c r="BK73" s="169"/>
      <c r="BL73" s="168"/>
      <c r="BM73" s="170"/>
      <c r="BN73" s="171"/>
      <c r="BO73" s="68"/>
      <c r="BP73" s="68"/>
      <c r="BQ73" s="68"/>
      <c r="BR73" s="167"/>
      <c r="BS73" s="168"/>
      <c r="BT73" s="169"/>
      <c r="BU73" s="168"/>
      <c r="BV73" s="170"/>
      <c r="BW73" s="171"/>
      <c r="BX73" s="68"/>
      <c r="BY73" s="68"/>
      <c r="BZ73" s="68"/>
      <c r="CA73" s="167"/>
      <c r="CB73" s="168"/>
      <c r="CC73" s="169"/>
      <c r="CD73" s="168"/>
      <c r="CE73" s="170"/>
      <c r="CF73" s="171"/>
      <c r="CG73" s="68"/>
      <c r="CH73" s="68"/>
      <c r="CI73" s="68"/>
      <c r="CJ73" s="167"/>
      <c r="CK73" s="168"/>
      <c r="CL73" s="169"/>
      <c r="CM73" s="168"/>
      <c r="CN73" s="170"/>
      <c r="CO73" s="171"/>
      <c r="CP73" s="68"/>
      <c r="CQ73" s="68"/>
      <c r="CR73" s="68"/>
      <c r="CS73" s="167"/>
      <c r="CT73" s="168"/>
      <c r="CU73" s="169"/>
      <c r="CV73" s="168"/>
      <c r="CW73" s="170"/>
      <c r="CX73" s="171"/>
      <c r="CY73" s="68"/>
      <c r="CZ73" s="68"/>
      <c r="DA73" s="68"/>
      <c r="DB73" s="167"/>
      <c r="DC73" s="168"/>
      <c r="DD73" s="169"/>
      <c r="DE73" s="168"/>
      <c r="DF73" s="170"/>
      <c r="DG73" s="171"/>
      <c r="DH73" s="68"/>
      <c r="DI73" s="68"/>
      <c r="DJ73" s="68"/>
      <c r="DK73" s="167"/>
      <c r="DL73" s="168"/>
      <c r="DM73" s="169"/>
      <c r="DN73" s="168"/>
      <c r="DO73" s="170"/>
      <c r="DP73" s="171"/>
      <c r="DQ73" s="68"/>
      <c r="DR73" s="68"/>
      <c r="DS73" s="68"/>
      <c r="DT73" s="167"/>
      <c r="DU73" s="168"/>
      <c r="DV73" s="169"/>
      <c r="DW73" s="168"/>
      <c r="DX73" s="170"/>
      <c r="DY73" s="171"/>
      <c r="DZ73" s="68"/>
      <c r="EA73" s="68"/>
      <c r="EB73" s="68"/>
      <c r="EC73" s="167"/>
      <c r="ED73" s="168"/>
      <c r="EE73" s="169"/>
      <c r="EF73" s="168"/>
      <c r="EG73" s="170"/>
      <c r="EH73" s="171"/>
      <c r="EI73" s="68"/>
      <c r="EJ73" s="68"/>
      <c r="EK73" s="68"/>
      <c r="EL73" s="167"/>
      <c r="EM73" s="168"/>
      <c r="EN73" s="169"/>
      <c r="EO73" s="168"/>
      <c r="EP73" s="170"/>
      <c r="EQ73" s="171"/>
      <c r="ER73" s="68"/>
      <c r="ES73" s="68"/>
      <c r="ET73" s="68"/>
      <c r="EU73" s="167"/>
      <c r="EV73" s="168"/>
      <c r="EW73" s="169"/>
      <c r="EX73" s="168"/>
      <c r="EY73" s="170"/>
      <c r="EZ73" s="171"/>
      <c r="FA73" s="68"/>
      <c r="FB73" s="68"/>
      <c r="FC73" s="68"/>
      <c r="FD73" s="167"/>
      <c r="FE73" s="168"/>
      <c r="FF73" s="169"/>
      <c r="FG73" s="168"/>
      <c r="FH73" s="170"/>
      <c r="FI73" s="171"/>
      <c r="FJ73" s="68"/>
      <c r="FK73" s="68"/>
      <c r="FL73" s="68"/>
      <c r="FM73" s="167"/>
      <c r="FN73" s="168"/>
      <c r="FO73" s="169"/>
      <c r="FP73" s="168"/>
      <c r="FQ73" s="170"/>
      <c r="FR73" s="171"/>
      <c r="FS73" s="68"/>
      <c r="FT73" s="68"/>
      <c r="FU73" s="68"/>
      <c r="FV73" s="167"/>
      <c r="FW73" s="168"/>
      <c r="FX73" s="169"/>
      <c r="FY73" s="168"/>
      <c r="FZ73" s="170"/>
      <c r="GA73" s="171"/>
      <c r="GB73" s="68"/>
      <c r="GC73" s="68"/>
      <c r="GD73" s="68"/>
      <c r="GE73" s="167"/>
      <c r="GF73" s="168"/>
      <c r="GG73" s="169"/>
      <c r="GH73" s="168"/>
      <c r="GI73" s="170"/>
      <c r="GJ73" s="171"/>
      <c r="GK73" s="68"/>
      <c r="GL73" s="68"/>
      <c r="GM73" s="68"/>
      <c r="GN73" s="167"/>
      <c r="GO73" s="168"/>
      <c r="GP73" s="169"/>
      <c r="GQ73" s="168"/>
      <c r="GR73" s="170"/>
      <c r="GS73" s="171"/>
      <c r="GT73" s="171"/>
      <c r="GU73" s="64"/>
      <c r="GV73" s="65"/>
      <c r="GW73" s="66"/>
      <c r="GX73" s="66"/>
      <c r="GY73" s="85"/>
      <c r="GZ73" s="86"/>
    </row>
    <row r="74" spans="1:208" x14ac:dyDescent="0.25">
      <c r="A74"/>
      <c r="D74" s="35"/>
      <c r="E74" s="36"/>
      <c r="F74" s="37"/>
      <c r="G74" s="38"/>
      <c r="H74" s="39"/>
      <c r="I74" s="40"/>
      <c r="J74" s="68"/>
      <c r="K74" s="407"/>
      <c r="L74" s="70"/>
      <c r="M74" s="71"/>
      <c r="N74" s="173"/>
      <c r="O74" s="72"/>
      <c r="P74" s="113">
        <f t="shared" si="8"/>
        <v>0</v>
      </c>
      <c r="Q74" s="117"/>
      <c r="R74" s="117"/>
      <c r="S74" s="117"/>
      <c r="T74" s="39">
        <f t="shared" si="1"/>
        <v>0</v>
      </c>
      <c r="U74" s="138"/>
      <c r="V74" s="172"/>
      <c r="W74" s="86"/>
      <c r="X74" s="68"/>
      <c r="Y74" s="167"/>
      <c r="Z74" s="168"/>
      <c r="AA74" s="169"/>
      <c r="AB74" s="168"/>
      <c r="AC74" s="170"/>
      <c r="AD74" s="171"/>
      <c r="AE74" s="68"/>
      <c r="AF74" s="68"/>
      <c r="AG74" s="68"/>
      <c r="AH74" s="167"/>
      <c r="AI74" s="168"/>
      <c r="AJ74" s="169"/>
      <c r="AK74" s="168"/>
      <c r="AL74" s="170"/>
      <c r="AM74" s="171"/>
      <c r="AN74" s="68"/>
      <c r="AO74" s="68"/>
      <c r="AP74" s="68"/>
      <c r="AQ74" s="167"/>
      <c r="AR74" s="168"/>
      <c r="AS74" s="169"/>
      <c r="AT74" s="168"/>
      <c r="AU74" s="170"/>
      <c r="AV74" s="171"/>
      <c r="AW74" s="68"/>
      <c r="AX74" s="68"/>
      <c r="AY74" s="68"/>
      <c r="AZ74" s="167"/>
      <c r="BA74" s="168"/>
      <c r="BB74" s="169"/>
      <c r="BC74" s="168"/>
      <c r="BD74" s="170"/>
      <c r="BE74" s="171"/>
      <c r="BF74" s="68"/>
      <c r="BG74" s="68"/>
      <c r="BH74" s="68"/>
      <c r="BI74" s="167"/>
      <c r="BJ74" s="168"/>
      <c r="BK74" s="169"/>
      <c r="BL74" s="168"/>
      <c r="BM74" s="170"/>
      <c r="BN74" s="171"/>
      <c r="BO74" s="68"/>
      <c r="BP74" s="68"/>
      <c r="BQ74" s="68"/>
      <c r="BR74" s="167"/>
      <c r="BS74" s="168"/>
      <c r="BT74" s="169"/>
      <c r="BU74" s="168"/>
      <c r="BV74" s="170"/>
      <c r="BW74" s="171"/>
      <c r="BX74" s="68"/>
      <c r="BY74" s="68"/>
      <c r="BZ74" s="68"/>
      <c r="CA74" s="167"/>
      <c r="CB74" s="168"/>
      <c r="CC74" s="169"/>
      <c r="CD74" s="168"/>
      <c r="CE74" s="170"/>
      <c r="CF74" s="171"/>
      <c r="CG74" s="68"/>
      <c r="CH74" s="68"/>
      <c r="CI74" s="68"/>
      <c r="CJ74" s="167"/>
      <c r="CK74" s="168"/>
      <c r="CL74" s="169"/>
      <c r="CM74" s="168"/>
      <c r="CN74" s="170"/>
      <c r="CO74" s="171"/>
      <c r="CP74" s="68"/>
      <c r="CQ74" s="68"/>
      <c r="CR74" s="68"/>
      <c r="CS74" s="167"/>
      <c r="CT74" s="168"/>
      <c r="CU74" s="169"/>
      <c r="CV74" s="168"/>
      <c r="CW74" s="170"/>
      <c r="CX74" s="171"/>
      <c r="CY74" s="68"/>
      <c r="CZ74" s="68"/>
      <c r="DA74" s="68"/>
      <c r="DB74" s="167"/>
      <c r="DC74" s="168"/>
      <c r="DD74" s="169"/>
      <c r="DE74" s="168"/>
      <c r="DF74" s="170"/>
      <c r="DG74" s="171"/>
      <c r="DH74" s="68"/>
      <c r="DI74" s="68"/>
      <c r="DJ74" s="68"/>
      <c r="DK74" s="167"/>
      <c r="DL74" s="168"/>
      <c r="DM74" s="169"/>
      <c r="DN74" s="168"/>
      <c r="DO74" s="170"/>
      <c r="DP74" s="171"/>
      <c r="DQ74" s="68"/>
      <c r="DR74" s="68"/>
      <c r="DS74" s="68"/>
      <c r="DT74" s="167"/>
      <c r="DU74" s="168"/>
      <c r="DV74" s="169"/>
      <c r="DW74" s="168"/>
      <c r="DX74" s="170"/>
      <c r="DY74" s="171"/>
      <c r="DZ74" s="68"/>
      <c r="EA74" s="68"/>
      <c r="EB74" s="68"/>
      <c r="EC74" s="167"/>
      <c r="ED74" s="168"/>
      <c r="EE74" s="169"/>
      <c r="EF74" s="168"/>
      <c r="EG74" s="170"/>
      <c r="EH74" s="171"/>
      <c r="EI74" s="68"/>
      <c r="EJ74" s="68"/>
      <c r="EK74" s="68"/>
      <c r="EL74" s="167"/>
      <c r="EM74" s="168"/>
      <c r="EN74" s="169"/>
      <c r="EO74" s="168"/>
      <c r="EP74" s="170"/>
      <c r="EQ74" s="171"/>
      <c r="ER74" s="68"/>
      <c r="ES74" s="68"/>
      <c r="ET74" s="68"/>
      <c r="EU74" s="167"/>
      <c r="EV74" s="168"/>
      <c r="EW74" s="169"/>
      <c r="EX74" s="168"/>
      <c r="EY74" s="170"/>
      <c r="EZ74" s="171"/>
      <c r="FA74" s="68"/>
      <c r="FB74" s="68"/>
      <c r="FC74" s="68"/>
      <c r="FD74" s="167"/>
      <c r="FE74" s="168"/>
      <c r="FF74" s="169"/>
      <c r="FG74" s="168"/>
      <c r="FH74" s="170"/>
      <c r="FI74" s="171"/>
      <c r="FJ74" s="68"/>
      <c r="FK74" s="68"/>
      <c r="FL74" s="68"/>
      <c r="FM74" s="167"/>
      <c r="FN74" s="168"/>
      <c r="FO74" s="169"/>
      <c r="FP74" s="168"/>
      <c r="FQ74" s="170"/>
      <c r="FR74" s="171"/>
      <c r="FS74" s="68"/>
      <c r="FT74" s="68"/>
      <c r="FU74" s="68"/>
      <c r="FV74" s="167"/>
      <c r="FW74" s="168"/>
      <c r="FX74" s="169"/>
      <c r="FY74" s="168"/>
      <c r="FZ74" s="170"/>
      <c r="GA74" s="171"/>
      <c r="GB74" s="68"/>
      <c r="GC74" s="68"/>
      <c r="GD74" s="68"/>
      <c r="GE74" s="167"/>
      <c r="GF74" s="168"/>
      <c r="GG74" s="169"/>
      <c r="GH74" s="168"/>
      <c r="GI74" s="170"/>
      <c r="GJ74" s="171"/>
      <c r="GK74" s="68"/>
      <c r="GL74" s="68"/>
      <c r="GM74" s="68"/>
      <c r="GN74" s="167"/>
      <c r="GO74" s="168"/>
      <c r="GP74" s="169"/>
      <c r="GQ74" s="168"/>
      <c r="GR74" s="170"/>
      <c r="GS74" s="171"/>
      <c r="GT74" s="171"/>
      <c r="GU74" s="64"/>
      <c r="GV74" s="65"/>
      <c r="GW74" s="66"/>
      <c r="GX74" s="66"/>
      <c r="GY74" s="85"/>
      <c r="GZ74" s="86"/>
    </row>
    <row r="75" spans="1:208" x14ac:dyDescent="0.25">
      <c r="A75"/>
      <c r="D75" s="35"/>
      <c r="E75" s="36"/>
      <c r="F75" s="37"/>
      <c r="G75" s="38"/>
      <c r="H75" s="39"/>
      <c r="I75" s="40"/>
      <c r="J75" s="174"/>
      <c r="K75" s="407"/>
      <c r="L75" s="70"/>
      <c r="M75" s="71"/>
      <c r="N75" s="175"/>
      <c r="O75" s="72"/>
      <c r="P75" s="113">
        <f t="shared" si="8"/>
        <v>0</v>
      </c>
      <c r="Q75" s="117"/>
      <c r="R75" s="117"/>
      <c r="S75" s="117"/>
      <c r="T75" s="39">
        <f t="shared" ref="T75:T82" si="9">Q75*O75</f>
        <v>0</v>
      </c>
      <c r="U75" s="138"/>
      <c r="V75" s="172"/>
      <c r="W75" s="86"/>
      <c r="X75" s="68"/>
      <c r="Y75" s="167"/>
      <c r="Z75" s="168"/>
      <c r="AA75" s="169"/>
      <c r="AB75" s="168"/>
      <c r="AC75" s="170"/>
      <c r="AD75" s="171"/>
      <c r="AE75" s="68"/>
      <c r="AF75" s="68"/>
      <c r="AG75" s="68"/>
      <c r="AH75" s="167"/>
      <c r="AI75" s="168"/>
      <c r="AJ75" s="169"/>
      <c r="AK75" s="168"/>
      <c r="AL75" s="170"/>
      <c r="AM75" s="171"/>
      <c r="AN75" s="68"/>
      <c r="AO75" s="68"/>
      <c r="AP75" s="68"/>
      <c r="AQ75" s="167"/>
      <c r="AR75" s="168"/>
      <c r="AS75" s="169"/>
      <c r="AT75" s="168"/>
      <c r="AU75" s="170"/>
      <c r="AV75" s="171"/>
      <c r="AW75" s="68"/>
      <c r="AX75" s="68"/>
      <c r="AY75" s="68"/>
      <c r="AZ75" s="167"/>
      <c r="BA75" s="168"/>
      <c r="BB75" s="169"/>
      <c r="BC75" s="168"/>
      <c r="BD75" s="170"/>
      <c r="BE75" s="171"/>
      <c r="BF75" s="68"/>
      <c r="BG75" s="68"/>
      <c r="BH75" s="68"/>
      <c r="BI75" s="167"/>
      <c r="BJ75" s="168"/>
      <c r="BK75" s="169"/>
      <c r="BL75" s="168"/>
      <c r="BM75" s="170"/>
      <c r="BN75" s="171"/>
      <c r="BO75" s="68"/>
      <c r="BP75" s="68"/>
      <c r="BQ75" s="68"/>
      <c r="BR75" s="167"/>
      <c r="BS75" s="168"/>
      <c r="BT75" s="169"/>
      <c r="BU75" s="168"/>
      <c r="BV75" s="170"/>
      <c r="BW75" s="171"/>
      <c r="BX75" s="68"/>
      <c r="BY75" s="68"/>
      <c r="BZ75" s="68"/>
      <c r="CA75" s="167"/>
      <c r="CB75" s="168"/>
      <c r="CC75" s="169"/>
      <c r="CD75" s="168"/>
      <c r="CE75" s="170"/>
      <c r="CF75" s="171"/>
      <c r="CG75" s="68"/>
      <c r="CH75" s="68"/>
      <c r="CI75" s="68"/>
      <c r="CJ75" s="167"/>
      <c r="CK75" s="168"/>
      <c r="CL75" s="169"/>
      <c r="CM75" s="168"/>
      <c r="CN75" s="170"/>
      <c r="CO75" s="171"/>
      <c r="CP75" s="68"/>
      <c r="CQ75" s="68"/>
      <c r="CR75" s="68"/>
      <c r="CS75" s="167"/>
      <c r="CT75" s="168"/>
      <c r="CU75" s="169"/>
      <c r="CV75" s="168"/>
      <c r="CW75" s="170"/>
      <c r="CX75" s="171"/>
      <c r="CY75" s="68"/>
      <c r="CZ75" s="68"/>
      <c r="DA75" s="68"/>
      <c r="DB75" s="167"/>
      <c r="DC75" s="168"/>
      <c r="DD75" s="169"/>
      <c r="DE75" s="168"/>
      <c r="DF75" s="170"/>
      <c r="DG75" s="171"/>
      <c r="DH75" s="68"/>
      <c r="DI75" s="68"/>
      <c r="DJ75" s="68"/>
      <c r="DK75" s="167"/>
      <c r="DL75" s="168"/>
      <c r="DM75" s="169"/>
      <c r="DN75" s="168"/>
      <c r="DO75" s="170"/>
      <c r="DP75" s="171"/>
      <c r="DQ75" s="68"/>
      <c r="DR75" s="68"/>
      <c r="DS75" s="68"/>
      <c r="DT75" s="167"/>
      <c r="DU75" s="168"/>
      <c r="DV75" s="169"/>
      <c r="DW75" s="168"/>
      <c r="DX75" s="170"/>
      <c r="DY75" s="171"/>
      <c r="DZ75" s="68"/>
      <c r="EA75" s="68"/>
      <c r="EB75" s="68"/>
      <c r="EC75" s="167"/>
      <c r="ED75" s="168"/>
      <c r="EE75" s="169"/>
      <c r="EF75" s="168"/>
      <c r="EG75" s="170"/>
      <c r="EH75" s="171"/>
      <c r="EI75" s="68"/>
      <c r="EJ75" s="68"/>
      <c r="EK75" s="68"/>
      <c r="EL75" s="167"/>
      <c r="EM75" s="168"/>
      <c r="EN75" s="169"/>
      <c r="EO75" s="168"/>
      <c r="EP75" s="170"/>
      <c r="EQ75" s="171"/>
      <c r="ER75" s="68"/>
      <c r="ES75" s="68"/>
      <c r="ET75" s="68"/>
      <c r="EU75" s="167"/>
      <c r="EV75" s="168"/>
      <c r="EW75" s="169"/>
      <c r="EX75" s="168"/>
      <c r="EY75" s="170"/>
      <c r="EZ75" s="171"/>
      <c r="FA75" s="68"/>
      <c r="FB75" s="68"/>
      <c r="FC75" s="68"/>
      <c r="FD75" s="167"/>
      <c r="FE75" s="168"/>
      <c r="FF75" s="169"/>
      <c r="FG75" s="168"/>
      <c r="FH75" s="170"/>
      <c r="FI75" s="171"/>
      <c r="FJ75" s="68"/>
      <c r="FK75" s="68"/>
      <c r="FL75" s="68"/>
      <c r="FM75" s="167"/>
      <c r="FN75" s="168"/>
      <c r="FO75" s="169"/>
      <c r="FP75" s="168"/>
      <c r="FQ75" s="170"/>
      <c r="FR75" s="171"/>
      <c r="FS75" s="68"/>
      <c r="FT75" s="68"/>
      <c r="FU75" s="68"/>
      <c r="FV75" s="167"/>
      <c r="FW75" s="168"/>
      <c r="FX75" s="169"/>
      <c r="FY75" s="168"/>
      <c r="FZ75" s="170"/>
      <c r="GA75" s="171"/>
      <c r="GB75" s="68"/>
      <c r="GC75" s="68"/>
      <c r="GD75" s="68"/>
      <c r="GE75" s="167"/>
      <c r="GF75" s="168"/>
      <c r="GG75" s="169"/>
      <c r="GH75" s="168"/>
      <c r="GI75" s="170"/>
      <c r="GJ75" s="171"/>
      <c r="GK75" s="68"/>
      <c r="GL75" s="68"/>
      <c r="GM75" s="68"/>
      <c r="GN75" s="167"/>
      <c r="GO75" s="168"/>
      <c r="GP75" s="169"/>
      <c r="GQ75" s="168"/>
      <c r="GR75" s="170"/>
      <c r="GS75" s="171"/>
      <c r="GT75" s="171"/>
      <c r="GU75" s="64"/>
      <c r="GV75" s="65"/>
      <c r="GW75" s="66"/>
      <c r="GX75" s="66"/>
      <c r="GY75" s="176"/>
      <c r="GZ75" s="67"/>
    </row>
    <row r="76" spans="1:208" x14ac:dyDescent="0.25">
      <c r="A76"/>
      <c r="D76" s="35"/>
      <c r="E76" s="36"/>
      <c r="F76" s="37"/>
      <c r="G76" s="38"/>
      <c r="H76" s="39"/>
      <c r="I76" s="40"/>
      <c r="J76" s="177"/>
      <c r="K76" s="452"/>
      <c r="N76" s="179"/>
      <c r="P76" s="27"/>
      <c r="Q76" s="180"/>
      <c r="R76" s="180"/>
      <c r="S76" s="180"/>
      <c r="T76" s="39">
        <f t="shared" si="9"/>
        <v>0</v>
      </c>
      <c r="U76" s="181"/>
      <c r="V76" s="182"/>
      <c r="W76" s="30"/>
      <c r="X76" s="8"/>
      <c r="Y76" s="183"/>
      <c r="Z76" s="184"/>
      <c r="AA76" s="185"/>
      <c r="AB76" s="184"/>
      <c r="AC76" s="186"/>
      <c r="AD76" s="187"/>
      <c r="AE76" s="8"/>
      <c r="AF76" s="8"/>
      <c r="AG76" s="188"/>
      <c r="AH76" s="183"/>
      <c r="AI76" s="184"/>
      <c r="AJ76" s="185"/>
      <c r="AK76" s="28"/>
      <c r="AL76" s="186"/>
      <c r="AM76" s="187"/>
      <c r="AN76" s="8"/>
      <c r="AO76" s="8"/>
      <c r="AP76" s="188"/>
      <c r="AQ76" s="183"/>
      <c r="AR76" s="184"/>
      <c r="AS76" s="185"/>
      <c r="AT76" s="184"/>
      <c r="AU76" s="186"/>
      <c r="AV76" s="187"/>
      <c r="AW76" s="8"/>
      <c r="AX76" s="8"/>
      <c r="AY76" s="188"/>
      <c r="AZ76" s="183"/>
      <c r="BA76" s="184"/>
      <c r="BB76" s="185"/>
      <c r="BC76" s="28"/>
      <c r="BD76" s="186"/>
      <c r="BE76" s="187"/>
      <c r="BF76" s="8"/>
      <c r="BG76" s="8"/>
      <c r="BH76" s="188"/>
      <c r="BI76" s="183"/>
      <c r="BJ76" s="184"/>
      <c r="BK76" s="185"/>
      <c r="BL76" s="28"/>
      <c r="BM76" s="186"/>
      <c r="BN76" s="187"/>
      <c r="BO76" s="8"/>
      <c r="BP76" s="8"/>
      <c r="BQ76" s="188"/>
      <c r="BR76" s="183"/>
      <c r="BS76" s="184"/>
      <c r="BT76" s="185"/>
      <c r="BU76" s="184"/>
      <c r="BV76" s="186"/>
      <c r="BW76" s="187"/>
      <c r="BX76" s="8"/>
      <c r="BY76" s="8"/>
      <c r="BZ76" s="188"/>
      <c r="CA76" s="183"/>
      <c r="CB76" s="184"/>
      <c r="CC76" s="185"/>
      <c r="CD76" s="184"/>
      <c r="CE76" s="186"/>
      <c r="CF76" s="187"/>
      <c r="CG76" s="8"/>
      <c r="CH76" s="8"/>
      <c r="CI76" s="188"/>
      <c r="CJ76" s="183"/>
      <c r="CK76" s="184"/>
      <c r="CL76" s="185"/>
      <c r="CM76" s="184"/>
      <c r="CN76" s="186"/>
      <c r="CO76" s="187"/>
      <c r="CP76" s="8"/>
      <c r="CQ76" s="8"/>
      <c r="CR76" s="188"/>
      <c r="CS76" s="183"/>
      <c r="CT76" s="184"/>
      <c r="CU76" s="189"/>
      <c r="CV76" s="28"/>
      <c r="CW76" s="190"/>
      <c r="CX76" s="187"/>
      <c r="CY76" s="8"/>
      <c r="CZ76" s="8"/>
      <c r="DA76" s="188"/>
      <c r="DB76" s="183"/>
      <c r="DC76" s="184"/>
      <c r="DD76" s="185"/>
      <c r="DE76" s="184"/>
      <c r="DF76" s="186"/>
      <c r="DG76" s="187"/>
      <c r="DH76" s="8"/>
      <c r="DI76" s="8"/>
      <c r="DJ76" s="188"/>
      <c r="DK76" s="183"/>
      <c r="DL76" s="184"/>
      <c r="DM76" s="189"/>
      <c r="DN76" s="28"/>
      <c r="DO76" s="190"/>
      <c r="DP76" s="187"/>
      <c r="DQ76" s="8"/>
      <c r="DR76" s="8"/>
      <c r="DS76" s="188"/>
      <c r="DT76" s="183"/>
      <c r="DU76" s="184"/>
      <c r="DV76" s="185"/>
      <c r="DW76" s="184"/>
      <c r="DX76" s="186"/>
      <c r="DY76" s="187"/>
      <c r="DZ76" s="8"/>
      <c r="EA76" s="8"/>
      <c r="EB76" s="188"/>
      <c r="EC76" s="183"/>
      <c r="ED76" s="184"/>
      <c r="EE76" s="189"/>
      <c r="EF76" s="28"/>
      <c r="EG76" s="190"/>
      <c r="EH76" s="187"/>
      <c r="EI76" s="8"/>
      <c r="EJ76" s="8"/>
      <c r="EK76" s="188"/>
      <c r="EL76" s="183"/>
      <c r="EM76" s="184"/>
      <c r="EN76" s="189"/>
      <c r="EO76" s="28"/>
      <c r="EP76" s="190"/>
      <c r="EQ76" s="187"/>
      <c r="ER76" s="8"/>
      <c r="ES76" s="8"/>
      <c r="ET76" s="188"/>
      <c r="EU76" s="183"/>
      <c r="EV76" s="184"/>
      <c r="EW76" s="185"/>
      <c r="EX76" s="184"/>
      <c r="EY76" s="186"/>
      <c r="EZ76" s="187"/>
      <c r="FA76" s="8"/>
      <c r="FB76" s="8"/>
      <c r="FC76" s="188"/>
      <c r="FD76" s="183"/>
      <c r="FE76" s="184"/>
      <c r="FF76" s="185"/>
      <c r="FG76" s="184"/>
      <c r="FH76" s="186"/>
      <c r="FI76" s="187"/>
      <c r="FJ76" s="8"/>
      <c r="FK76" s="8"/>
      <c r="FL76" s="188"/>
      <c r="FM76" s="183"/>
      <c r="FN76" s="184"/>
      <c r="FO76" s="185"/>
      <c r="FP76" s="184"/>
      <c r="FQ76" s="186"/>
      <c r="FR76" s="187"/>
      <c r="FS76" s="8"/>
      <c r="FT76" s="8"/>
      <c r="FU76" s="188"/>
      <c r="FV76" s="183"/>
      <c r="FW76" s="184"/>
      <c r="FX76" s="185"/>
      <c r="FY76" s="184"/>
      <c r="FZ76" s="186"/>
      <c r="GA76" s="187"/>
      <c r="GB76" s="8"/>
      <c r="GC76" s="8"/>
      <c r="GD76" s="188"/>
      <c r="GE76" s="183"/>
      <c r="GF76" s="184"/>
      <c r="GG76" s="185"/>
      <c r="GH76" s="184"/>
      <c r="GI76" s="186"/>
      <c r="GJ76" s="187"/>
      <c r="GK76" s="8"/>
      <c r="GL76" s="8"/>
      <c r="GM76" s="188"/>
      <c r="GN76" s="183"/>
      <c r="GO76" s="184"/>
      <c r="GP76" s="185"/>
      <c r="GQ76" s="184"/>
      <c r="GR76" s="186"/>
      <c r="GS76" s="187"/>
      <c r="GT76" s="187"/>
      <c r="GU76" s="29"/>
      <c r="GV76" s="191"/>
      <c r="GW76" s="31"/>
      <c r="GX76" s="31"/>
      <c r="GY76" s="32"/>
      <c r="GZ76" s="33"/>
    </row>
    <row r="77" spans="1:208" x14ac:dyDescent="0.25">
      <c r="A77"/>
      <c r="D77" s="35"/>
      <c r="E77" s="36"/>
      <c r="F77" s="37"/>
      <c r="G77" s="38"/>
      <c r="H77" s="39"/>
      <c r="I77" s="40"/>
      <c r="J77" s="177"/>
      <c r="K77" s="452"/>
      <c r="P77" s="27"/>
      <c r="Q77" s="180"/>
      <c r="R77" s="180"/>
      <c r="S77" s="180"/>
      <c r="T77" s="39">
        <f t="shared" si="9"/>
        <v>0</v>
      </c>
      <c r="U77" s="181"/>
      <c r="V77" s="182"/>
      <c r="W77" s="30"/>
      <c r="X77" s="8"/>
      <c r="Y77" s="183"/>
      <c r="Z77" s="184"/>
      <c r="AA77" s="185"/>
      <c r="AB77" s="184"/>
      <c r="AC77" s="186"/>
      <c r="AD77" s="187"/>
      <c r="AE77" s="8"/>
      <c r="AF77" s="8"/>
      <c r="AG77" s="188"/>
      <c r="AH77" s="183"/>
      <c r="AI77" s="184"/>
      <c r="AJ77" s="185"/>
      <c r="AK77" s="28"/>
      <c r="AL77" s="186"/>
      <c r="AM77" s="187"/>
      <c r="AN77" s="8"/>
      <c r="AO77" s="8"/>
      <c r="AP77" s="188"/>
      <c r="AQ77" s="183"/>
      <c r="AR77" s="184"/>
      <c r="AS77" s="185"/>
      <c r="AT77" s="184"/>
      <c r="AU77" s="186"/>
      <c r="AV77" s="187"/>
      <c r="AW77" s="8"/>
      <c r="AX77" s="8"/>
      <c r="AY77" s="188"/>
      <c r="AZ77" s="183"/>
      <c r="BA77" s="184"/>
      <c r="BB77" s="185"/>
      <c r="BC77" s="28"/>
      <c r="BD77" s="186"/>
      <c r="BE77" s="187"/>
      <c r="BF77" s="8"/>
      <c r="BG77" s="8"/>
      <c r="BH77" s="188"/>
      <c r="BI77" s="183"/>
      <c r="BJ77" s="184"/>
      <c r="BK77" s="185"/>
      <c r="BL77" s="28"/>
      <c r="BM77" s="186"/>
      <c r="BN77" s="187"/>
      <c r="BO77" s="8"/>
      <c r="BP77" s="8"/>
      <c r="BQ77" s="188"/>
      <c r="BR77" s="183"/>
      <c r="BS77" s="184"/>
      <c r="BT77" s="185"/>
      <c r="BU77" s="184"/>
      <c r="BV77" s="186"/>
      <c r="BW77" s="187"/>
      <c r="BX77" s="8"/>
      <c r="BY77" s="8"/>
      <c r="BZ77" s="188"/>
      <c r="CA77" s="183"/>
      <c r="CB77" s="184"/>
      <c r="CC77" s="185"/>
      <c r="CD77" s="184"/>
      <c r="CE77" s="186"/>
      <c r="CF77" s="187"/>
      <c r="CG77" s="8"/>
      <c r="CH77" s="8"/>
      <c r="CI77" s="188"/>
      <c r="CJ77" s="183"/>
      <c r="CK77" s="184"/>
      <c r="CL77" s="185"/>
      <c r="CM77" s="184"/>
      <c r="CN77" s="186"/>
      <c r="CO77" s="187"/>
      <c r="CP77" s="8"/>
      <c r="CQ77" s="8"/>
      <c r="CR77" s="188"/>
      <c r="CS77" s="183"/>
      <c r="CT77" s="184"/>
      <c r="CU77" s="189"/>
      <c r="CV77" s="28"/>
      <c r="CW77" s="190"/>
      <c r="CX77" s="187"/>
      <c r="CY77" s="8"/>
      <c r="CZ77" s="8"/>
      <c r="DA77" s="188"/>
      <c r="DB77" s="183"/>
      <c r="DC77" s="184"/>
      <c r="DD77" s="185"/>
      <c r="DE77" s="184"/>
      <c r="DF77" s="186"/>
      <c r="DG77" s="187"/>
      <c r="DH77" s="8"/>
      <c r="DI77" s="8"/>
      <c r="DJ77" s="188"/>
      <c r="DK77" s="183"/>
      <c r="DL77" s="184"/>
      <c r="DM77" s="189"/>
      <c r="DN77" s="28"/>
      <c r="DO77" s="190"/>
      <c r="DP77" s="187"/>
      <c r="DQ77" s="8"/>
      <c r="DR77" s="8"/>
      <c r="DS77" s="188"/>
      <c r="DT77" s="183"/>
      <c r="DU77" s="184"/>
      <c r="DV77" s="185"/>
      <c r="DW77" s="184"/>
      <c r="DX77" s="186"/>
      <c r="DY77" s="187"/>
      <c r="DZ77" s="8"/>
      <c r="EA77" s="8"/>
      <c r="EB77" s="188"/>
      <c r="EC77" s="183"/>
      <c r="ED77" s="184"/>
      <c r="EE77" s="189"/>
      <c r="EF77" s="28"/>
      <c r="EG77" s="190"/>
      <c r="EH77" s="187"/>
      <c r="EI77" s="8"/>
      <c r="EJ77" s="8"/>
      <c r="EK77" s="188"/>
      <c r="EL77" s="183"/>
      <c r="EM77" s="184"/>
      <c r="EN77" s="189"/>
      <c r="EO77" s="28"/>
      <c r="EP77" s="190"/>
      <c r="EQ77" s="187"/>
      <c r="ER77" s="8"/>
      <c r="ES77" s="8"/>
      <c r="ET77" s="188"/>
      <c r="EU77" s="183"/>
      <c r="EV77" s="184"/>
      <c r="EW77" s="185"/>
      <c r="EX77" s="184"/>
      <c r="EY77" s="186"/>
      <c r="EZ77" s="187"/>
      <c r="FA77" s="8"/>
      <c r="FB77" s="8"/>
      <c r="FC77" s="188"/>
      <c r="FD77" s="183"/>
      <c r="FE77" s="184"/>
      <c r="FF77" s="185"/>
      <c r="FG77" s="184"/>
      <c r="FH77" s="186"/>
      <c r="FI77" s="187"/>
      <c r="FJ77" s="8"/>
      <c r="FK77" s="8"/>
      <c r="FL77" s="188"/>
      <c r="FM77" s="183"/>
      <c r="FN77" s="184"/>
      <c r="FO77" s="185"/>
      <c r="FP77" s="184"/>
      <c r="FQ77" s="186"/>
      <c r="FR77" s="187"/>
      <c r="FS77" s="8"/>
      <c r="FT77" s="8"/>
      <c r="FU77" s="188"/>
      <c r="FV77" s="183"/>
      <c r="FW77" s="184"/>
      <c r="FX77" s="185"/>
      <c r="FY77" s="184"/>
      <c r="FZ77" s="186"/>
      <c r="GA77" s="187"/>
      <c r="GB77" s="8"/>
      <c r="GC77" s="8"/>
      <c r="GD77" s="188"/>
      <c r="GE77" s="183"/>
      <c r="GF77" s="184"/>
      <c r="GG77" s="185"/>
      <c r="GH77" s="184"/>
      <c r="GI77" s="186"/>
      <c r="GJ77" s="187"/>
      <c r="GK77" s="8"/>
      <c r="GL77" s="8"/>
      <c r="GM77" s="188"/>
      <c r="GN77" s="183"/>
      <c r="GO77" s="184"/>
      <c r="GP77" s="185"/>
      <c r="GQ77" s="184"/>
      <c r="GR77" s="186"/>
      <c r="GS77" s="187"/>
      <c r="GT77" s="187"/>
      <c r="GU77" s="29"/>
      <c r="GV77" s="191"/>
      <c r="GW77" s="31"/>
      <c r="GX77" s="31"/>
      <c r="GY77" s="32"/>
      <c r="GZ77" s="33"/>
    </row>
    <row r="78" spans="1:208" ht="16.5" thickBot="1" x14ac:dyDescent="0.3">
      <c r="A78"/>
      <c r="D78" s="35"/>
      <c r="E78" s="36"/>
      <c r="F78" s="37"/>
      <c r="G78" s="38"/>
      <c r="H78" s="39"/>
      <c r="I78" s="40"/>
      <c r="J78" s="177"/>
      <c r="K78" s="452"/>
      <c r="O78" s="192"/>
      <c r="P78" s="27"/>
      <c r="Q78" s="180"/>
      <c r="R78" s="180"/>
      <c r="S78" s="180"/>
      <c r="T78" s="39">
        <f t="shared" si="9"/>
        <v>0</v>
      </c>
      <c r="U78" s="181"/>
      <c r="V78" s="182"/>
      <c r="W78" s="30"/>
      <c r="X78" s="8"/>
      <c r="Y78" s="183"/>
      <c r="Z78" s="184"/>
      <c r="AA78" s="185"/>
      <c r="AB78" s="184"/>
      <c r="AC78" s="186"/>
      <c r="AD78" s="187"/>
      <c r="AE78" s="8"/>
      <c r="AF78" s="8"/>
      <c r="AG78" s="188"/>
      <c r="AH78" s="183"/>
      <c r="AI78" s="184"/>
      <c r="AJ78" s="185"/>
      <c r="AK78" s="28"/>
      <c r="AL78" s="186"/>
      <c r="AM78" s="187"/>
      <c r="AN78" s="8"/>
      <c r="AO78" s="8"/>
      <c r="AP78" s="188"/>
      <c r="AQ78" s="183"/>
      <c r="AR78" s="184"/>
      <c r="AS78" s="185"/>
      <c r="AT78" s="184"/>
      <c r="AU78" s="186"/>
      <c r="AV78" s="187"/>
      <c r="AW78" s="8"/>
      <c r="AX78" s="8"/>
      <c r="AY78" s="188"/>
      <c r="AZ78" s="183"/>
      <c r="BA78" s="184"/>
      <c r="BB78" s="185"/>
      <c r="BC78" s="28"/>
      <c r="BD78" s="186"/>
      <c r="BE78" s="187"/>
      <c r="BF78" s="8"/>
      <c r="BG78" s="8"/>
      <c r="BH78" s="188"/>
      <c r="BI78" s="183"/>
      <c r="BJ78" s="184"/>
      <c r="BK78" s="185"/>
      <c r="BL78" s="28"/>
      <c r="BM78" s="186"/>
      <c r="BN78" s="187"/>
      <c r="BO78" s="8"/>
      <c r="BP78" s="8"/>
      <c r="BQ78" s="188"/>
      <c r="BR78" s="183"/>
      <c r="BS78" s="184"/>
      <c r="BT78" s="185"/>
      <c r="BU78" s="184"/>
      <c r="BV78" s="186"/>
      <c r="BW78" s="187"/>
      <c r="BX78" s="8"/>
      <c r="BY78" s="8"/>
      <c r="BZ78" s="188"/>
      <c r="CA78" s="183"/>
      <c r="CB78" s="184"/>
      <c r="CC78" s="185"/>
      <c r="CD78" s="184"/>
      <c r="CE78" s="186"/>
      <c r="CF78" s="187"/>
      <c r="CG78" s="8"/>
      <c r="CH78" s="8"/>
      <c r="CI78" s="188"/>
      <c r="CJ78" s="183"/>
      <c r="CK78" s="184"/>
      <c r="CL78" s="185"/>
      <c r="CM78" s="184"/>
      <c r="CN78" s="186"/>
      <c r="CO78" s="187"/>
      <c r="CP78" s="8"/>
      <c r="CQ78" s="8"/>
      <c r="CR78" s="188"/>
      <c r="CS78" s="183"/>
      <c r="CT78" s="184"/>
      <c r="CU78" s="189"/>
      <c r="CV78" s="28"/>
      <c r="CW78" s="190"/>
      <c r="CX78" s="187"/>
      <c r="CY78" s="8"/>
      <c r="CZ78" s="8"/>
      <c r="DA78" s="188"/>
      <c r="DB78" s="183"/>
      <c r="DC78" s="184"/>
      <c r="DD78" s="185"/>
      <c r="DE78" s="184"/>
      <c r="DF78" s="186"/>
      <c r="DG78" s="187"/>
      <c r="DH78" s="8"/>
      <c r="DI78" s="8"/>
      <c r="DJ78" s="188"/>
      <c r="DK78" s="183"/>
      <c r="DL78" s="184"/>
      <c r="DM78" s="189"/>
      <c r="DN78" s="28"/>
      <c r="DO78" s="190"/>
      <c r="DP78" s="187"/>
      <c r="DQ78" s="8"/>
      <c r="DR78" s="8"/>
      <c r="DS78" s="188"/>
      <c r="DT78" s="183"/>
      <c r="DU78" s="184"/>
      <c r="DV78" s="185"/>
      <c r="DW78" s="184"/>
      <c r="DX78" s="186"/>
      <c r="DY78" s="187"/>
      <c r="DZ78" s="8"/>
      <c r="EA78" s="8"/>
      <c r="EB78" s="188"/>
      <c r="EC78" s="183"/>
      <c r="ED78" s="184"/>
      <c r="EE78" s="189"/>
      <c r="EF78" s="28"/>
      <c r="EG78" s="190"/>
      <c r="EH78" s="187"/>
      <c r="EI78" s="8"/>
      <c r="EJ78" s="8"/>
      <c r="EK78" s="188"/>
      <c r="EL78" s="183"/>
      <c r="EM78" s="184"/>
      <c r="EN78" s="189"/>
      <c r="EO78" s="28"/>
      <c r="EP78" s="190"/>
      <c r="EQ78" s="187"/>
      <c r="ER78" s="8"/>
      <c r="ES78" s="8"/>
      <c r="ET78" s="188"/>
      <c r="EU78" s="183"/>
      <c r="EV78" s="184"/>
      <c r="EW78" s="185"/>
      <c r="EX78" s="184"/>
      <c r="EY78" s="186"/>
      <c r="EZ78" s="187"/>
      <c r="FA78" s="8"/>
      <c r="FB78" s="8"/>
      <c r="FC78" s="188"/>
      <c r="FD78" s="183"/>
      <c r="FE78" s="184"/>
      <c r="FF78" s="185"/>
      <c r="FG78" s="184"/>
      <c r="FH78" s="186"/>
      <c r="FI78" s="187"/>
      <c r="FJ78" s="8"/>
      <c r="FK78" s="8"/>
      <c r="FL78" s="188"/>
      <c r="FM78" s="183"/>
      <c r="FN78" s="184"/>
      <c r="FO78" s="185"/>
      <c r="FP78" s="184"/>
      <c r="FQ78" s="186"/>
      <c r="FR78" s="187"/>
      <c r="FS78" s="8"/>
      <c r="FT78" s="8"/>
      <c r="FU78" s="188"/>
      <c r="FV78" s="183"/>
      <c r="FW78" s="184"/>
      <c r="FX78" s="185"/>
      <c r="FY78" s="184"/>
      <c r="FZ78" s="186"/>
      <c r="GA78" s="187"/>
      <c r="GB78" s="8"/>
      <c r="GC78" s="8"/>
      <c r="GD78" s="188"/>
      <c r="GE78" s="183"/>
      <c r="GF78" s="184"/>
      <c r="GG78" s="185"/>
      <c r="GH78" s="184"/>
      <c r="GI78" s="186"/>
      <c r="GJ78" s="187"/>
      <c r="GK78" s="8"/>
      <c r="GL78" s="8"/>
      <c r="GM78" s="188"/>
      <c r="GN78" s="183"/>
      <c r="GO78" s="184"/>
      <c r="GP78" s="185"/>
      <c r="GQ78" s="184"/>
      <c r="GR78" s="186"/>
      <c r="GS78" s="187"/>
      <c r="GT78" s="187"/>
      <c r="GU78" s="29"/>
      <c r="GV78" s="191"/>
      <c r="GW78" s="31"/>
      <c r="GX78" s="31"/>
      <c r="GY78" s="32"/>
      <c r="GZ78" s="33"/>
    </row>
    <row r="79" spans="1:208" ht="20.25" thickTop="1" thickBot="1" x14ac:dyDescent="0.35">
      <c r="A79"/>
      <c r="D79" s="35"/>
      <c r="E79" s="36"/>
      <c r="F79" s="37"/>
      <c r="G79" s="38"/>
      <c r="H79" s="39"/>
      <c r="I79" s="40"/>
      <c r="J79" s="177"/>
      <c r="K79" s="452"/>
      <c r="M79" s="870" t="s">
        <v>28</v>
      </c>
      <c r="N79" s="871"/>
      <c r="O79" s="872">
        <f>SUM(O9:O78)</f>
        <v>637889.95000000007</v>
      </c>
      <c r="P79" s="193"/>
      <c r="Q79" s="180"/>
      <c r="R79" s="194"/>
      <c r="S79" s="180"/>
      <c r="T79" s="39">
        <f t="shared" si="9"/>
        <v>0</v>
      </c>
      <c r="U79" s="181"/>
      <c r="V79" s="182"/>
      <c r="W79" s="30"/>
      <c r="X79" s="195"/>
      <c r="Y79" s="196"/>
      <c r="Z79" s="197"/>
      <c r="AA79" s="198"/>
      <c r="AB79" s="197"/>
      <c r="AC79" s="199"/>
      <c r="AD79" s="200"/>
      <c r="AE79" s="195"/>
      <c r="AF79" s="195"/>
      <c r="AG79" s="201"/>
      <c r="AH79" s="196"/>
      <c r="AI79" s="197"/>
      <c r="AJ79" s="198"/>
      <c r="AK79" s="202"/>
      <c r="AL79" s="199"/>
      <c r="AM79" s="200"/>
      <c r="AN79" s="195"/>
      <c r="AO79" s="195"/>
      <c r="AP79" s="201"/>
      <c r="AQ79" s="196"/>
      <c r="AR79" s="197"/>
      <c r="AS79" s="198"/>
      <c r="AT79" s="197"/>
      <c r="AU79" s="199"/>
      <c r="AV79" s="200"/>
      <c r="AW79" s="195"/>
      <c r="AX79" s="195"/>
      <c r="AY79" s="201"/>
      <c r="AZ79" s="196"/>
      <c r="BA79" s="197"/>
      <c r="BB79" s="198"/>
      <c r="BC79" s="202"/>
      <c r="BD79" s="199"/>
      <c r="BE79" s="200"/>
      <c r="BF79" s="195"/>
      <c r="BG79" s="195"/>
      <c r="BH79" s="201"/>
      <c r="BI79" s="196"/>
      <c r="BJ79" s="197"/>
      <c r="BK79" s="198"/>
      <c r="BL79" s="202"/>
      <c r="BM79" s="199"/>
      <c r="BN79" s="200"/>
      <c r="BO79" s="195"/>
      <c r="BP79" s="195"/>
      <c r="BQ79" s="201"/>
      <c r="BR79" s="196"/>
      <c r="BS79" s="197"/>
      <c r="BT79" s="198"/>
      <c r="BU79" s="197"/>
      <c r="BV79" s="199"/>
      <c r="BW79" s="200"/>
      <c r="BX79" s="195"/>
      <c r="BY79" s="195"/>
      <c r="BZ79" s="201"/>
      <c r="CA79" s="196"/>
      <c r="CB79" s="197"/>
      <c r="CC79" s="198"/>
      <c r="CD79" s="197"/>
      <c r="CE79" s="199"/>
      <c r="CF79" s="200"/>
      <c r="CG79" s="195"/>
      <c r="CH79" s="195"/>
      <c r="CI79" s="201"/>
      <c r="CJ79" s="196"/>
      <c r="CK79" s="197"/>
      <c r="CL79" s="198"/>
      <c r="CM79" s="197"/>
      <c r="CN79" s="199"/>
      <c r="CO79" s="200"/>
      <c r="CP79" s="195"/>
      <c r="CQ79" s="195"/>
      <c r="CR79" s="201"/>
      <c r="CS79" s="196"/>
      <c r="CT79" s="197"/>
      <c r="CU79" s="203"/>
      <c r="CV79" s="202"/>
      <c r="CW79" s="204"/>
      <c r="CX79" s="200"/>
      <c r="CY79" s="195"/>
      <c r="CZ79" s="195"/>
      <c r="DA79" s="201"/>
      <c r="DB79" s="196"/>
      <c r="DC79" s="197"/>
      <c r="DD79" s="198"/>
      <c r="DE79" s="197"/>
      <c r="DF79" s="199"/>
      <c r="DG79" s="200"/>
      <c r="DH79" s="195"/>
      <c r="DI79" s="195"/>
      <c r="DJ79" s="201"/>
      <c r="DK79" s="196"/>
      <c r="DL79" s="197"/>
      <c r="DM79" s="203"/>
      <c r="DN79" s="202"/>
      <c r="DO79" s="204"/>
      <c r="DP79" s="200"/>
      <c r="DQ79" s="195"/>
      <c r="DR79" s="195"/>
      <c r="DS79" s="201"/>
      <c r="DT79" s="196"/>
      <c r="DU79" s="197"/>
      <c r="DV79" s="198"/>
      <c r="DW79" s="197"/>
      <c r="DX79" s="199"/>
      <c r="DY79" s="200"/>
      <c r="DZ79" s="195"/>
      <c r="EA79" s="195"/>
      <c r="EB79" s="201"/>
      <c r="EC79" s="196"/>
      <c r="ED79" s="197"/>
      <c r="EE79" s="203"/>
      <c r="EF79" s="202"/>
      <c r="EG79" s="204"/>
      <c r="EH79" s="200"/>
      <c r="EI79" s="195"/>
      <c r="EJ79" s="195"/>
      <c r="EK79" s="201"/>
      <c r="EL79" s="196"/>
      <c r="EM79" s="197"/>
      <c r="EN79" s="203"/>
      <c r="EO79" s="202"/>
      <c r="EP79" s="204"/>
      <c r="EQ79" s="200"/>
      <c r="ER79" s="195"/>
      <c r="ES79" s="195"/>
      <c r="ET79" s="201"/>
      <c r="EU79" s="196"/>
      <c r="EV79" s="197"/>
      <c r="EW79" s="198"/>
      <c r="EX79" s="197"/>
      <c r="EY79" s="199"/>
      <c r="EZ79" s="200"/>
      <c r="FA79" s="195"/>
      <c r="FB79" s="195"/>
      <c r="FC79" s="201"/>
      <c r="FD79" s="196"/>
      <c r="FE79" s="197"/>
      <c r="FF79" s="198"/>
      <c r="FG79" s="197"/>
      <c r="FH79" s="199"/>
      <c r="FI79" s="200"/>
      <c r="FJ79" s="195"/>
      <c r="FK79" s="195"/>
      <c r="FL79" s="201"/>
      <c r="FM79" s="196"/>
      <c r="FN79" s="197"/>
      <c r="FO79" s="198"/>
      <c r="FP79" s="197"/>
      <c r="FQ79" s="199"/>
      <c r="FR79" s="200"/>
      <c r="FS79" s="195"/>
      <c r="FT79" s="195"/>
      <c r="FU79" s="201"/>
      <c r="FV79" s="196"/>
      <c r="FW79" s="197"/>
      <c r="FX79" s="198"/>
      <c r="FY79" s="197"/>
      <c r="FZ79" s="199"/>
      <c r="GA79" s="200"/>
      <c r="GB79" s="195"/>
      <c r="GC79" s="195"/>
      <c r="GD79" s="201"/>
      <c r="GE79" s="196"/>
      <c r="GF79" s="197"/>
      <c r="GG79" s="198"/>
      <c r="GH79" s="197"/>
      <c r="GI79" s="199"/>
      <c r="GJ79" s="200"/>
      <c r="GK79" s="195"/>
      <c r="GL79" s="195"/>
      <c r="GM79" s="201"/>
      <c r="GN79" s="196"/>
      <c r="GO79" s="197"/>
      <c r="GP79" s="198"/>
      <c r="GQ79" s="197"/>
      <c r="GR79" s="199"/>
      <c r="GS79" s="200"/>
      <c r="GT79" s="187"/>
      <c r="GU79" s="29"/>
      <c r="GV79" s="205"/>
      <c r="GZ79" s="33"/>
    </row>
    <row r="80" spans="1:208" ht="19.5" thickBot="1" x14ac:dyDescent="0.3">
      <c r="A80"/>
      <c r="D80" s="35"/>
      <c r="E80" s="36"/>
      <c r="F80" s="37"/>
      <c r="G80" s="38"/>
      <c r="H80" s="39"/>
      <c r="I80" s="40"/>
      <c r="J80" s="208"/>
      <c r="K80" s="452"/>
      <c r="O80" s="873"/>
      <c r="P80" s="193"/>
      <c r="Q80" s="180"/>
      <c r="R80" s="194"/>
      <c r="S80" s="180"/>
      <c r="T80" s="39">
        <f t="shared" si="9"/>
        <v>0</v>
      </c>
      <c r="U80" s="181"/>
      <c r="V80" s="182"/>
      <c r="W80" s="30"/>
      <c r="X80" s="195"/>
      <c r="Y80" s="196"/>
      <c r="Z80" s="197"/>
      <c r="AA80" s="198"/>
      <c r="AB80" s="197"/>
      <c r="AC80" s="199"/>
      <c r="AD80" s="200"/>
      <c r="AE80" s="195"/>
      <c r="AF80" s="195"/>
      <c r="AG80" s="201"/>
      <c r="AH80" s="196"/>
      <c r="AI80" s="197"/>
      <c r="AJ80" s="198"/>
      <c r="AK80" s="202"/>
      <c r="AL80" s="199"/>
      <c r="AM80" s="200"/>
      <c r="AN80" s="195"/>
      <c r="AO80" s="195"/>
      <c r="AP80" s="201"/>
      <c r="AQ80" s="196"/>
      <c r="AR80" s="197"/>
      <c r="AS80" s="198"/>
      <c r="AT80" s="197"/>
      <c r="AU80" s="199"/>
      <c r="AV80" s="200"/>
      <c r="AW80" s="195"/>
      <c r="AX80" s="195"/>
      <c r="AY80" s="201"/>
      <c r="AZ80" s="196"/>
      <c r="BA80" s="197"/>
      <c r="BB80" s="198"/>
      <c r="BC80" s="202"/>
      <c r="BD80" s="199"/>
      <c r="BE80" s="200"/>
      <c r="BF80" s="195"/>
      <c r="BG80" s="195"/>
      <c r="BH80" s="201"/>
      <c r="BI80" s="196"/>
      <c r="BJ80" s="197"/>
      <c r="BK80" s="198"/>
      <c r="BL80" s="202"/>
      <c r="BM80" s="199"/>
      <c r="BN80" s="200"/>
      <c r="BO80" s="195"/>
      <c r="BP80" s="195"/>
      <c r="BQ80" s="201"/>
      <c r="BR80" s="196"/>
      <c r="BS80" s="197"/>
      <c r="BT80" s="198"/>
      <c r="BU80" s="197"/>
      <c r="BV80" s="199"/>
      <c r="BW80" s="200"/>
      <c r="BX80" s="195"/>
      <c r="BY80" s="195"/>
      <c r="BZ80" s="201"/>
      <c r="CA80" s="196"/>
      <c r="CB80" s="197"/>
      <c r="CC80" s="198"/>
      <c r="CD80" s="197"/>
      <c r="CE80" s="199"/>
      <c r="CF80" s="200"/>
      <c r="CG80" s="195"/>
      <c r="CH80" s="195"/>
      <c r="CI80" s="201"/>
      <c r="CJ80" s="196"/>
      <c r="CK80" s="197"/>
      <c r="CL80" s="198"/>
      <c r="CM80" s="197"/>
      <c r="CN80" s="199"/>
      <c r="CO80" s="200"/>
      <c r="CP80" s="195"/>
      <c r="CQ80" s="195"/>
      <c r="CR80" s="201"/>
      <c r="CS80" s="196"/>
      <c r="CT80" s="197"/>
      <c r="CU80" s="203"/>
      <c r="CV80" s="202"/>
      <c r="CW80" s="204"/>
      <c r="CX80" s="200"/>
      <c r="CY80" s="195"/>
      <c r="CZ80" s="195"/>
      <c r="DA80" s="201"/>
      <c r="DB80" s="196"/>
      <c r="DC80" s="197"/>
      <c r="DD80" s="198"/>
      <c r="DE80" s="197"/>
      <c r="DF80" s="199"/>
      <c r="DG80" s="200"/>
      <c r="DH80" s="195"/>
      <c r="DI80" s="195"/>
      <c r="DJ80" s="201"/>
      <c r="DK80" s="196"/>
      <c r="DL80" s="197"/>
      <c r="DM80" s="203"/>
      <c r="DN80" s="202"/>
      <c r="DO80" s="204"/>
      <c r="DP80" s="200"/>
      <c r="DQ80" s="195"/>
      <c r="DR80" s="195"/>
      <c r="DS80" s="201"/>
      <c r="DT80" s="196"/>
      <c r="DU80" s="197"/>
      <c r="DV80" s="198"/>
      <c r="DW80" s="197"/>
      <c r="DX80" s="199"/>
      <c r="DY80" s="200"/>
      <c r="DZ80" s="195"/>
      <c r="EA80" s="195"/>
      <c r="EB80" s="201"/>
      <c r="EC80" s="196"/>
      <c r="ED80" s="197"/>
      <c r="EE80" s="203"/>
      <c r="EF80" s="202"/>
      <c r="EG80" s="204"/>
      <c r="EH80" s="200"/>
      <c r="EI80" s="195"/>
      <c r="EJ80" s="195"/>
      <c r="EK80" s="201"/>
      <c r="EL80" s="196"/>
      <c r="EM80" s="197"/>
      <c r="EN80" s="203"/>
      <c r="EO80" s="202"/>
      <c r="EP80" s="204"/>
      <c r="EQ80" s="200"/>
      <c r="ER80" s="195"/>
      <c r="ES80" s="195"/>
      <c r="ET80" s="201"/>
      <c r="EU80" s="196"/>
      <c r="EV80" s="197"/>
      <c r="EW80" s="198"/>
      <c r="EX80" s="197"/>
      <c r="EY80" s="199"/>
      <c r="EZ80" s="200"/>
      <c r="FA80" s="195"/>
      <c r="FB80" s="195"/>
      <c r="FC80" s="201"/>
      <c r="FD80" s="196"/>
      <c r="FE80" s="197"/>
      <c r="FF80" s="198"/>
      <c r="FG80" s="197"/>
      <c r="FH80" s="199"/>
      <c r="FI80" s="200"/>
      <c r="FJ80" s="195"/>
      <c r="FK80" s="195"/>
      <c r="FL80" s="201"/>
      <c r="FM80" s="196"/>
      <c r="FN80" s="197"/>
      <c r="FO80" s="198"/>
      <c r="FP80" s="197"/>
      <c r="FQ80" s="199"/>
      <c r="FR80" s="200"/>
      <c r="FS80" s="195"/>
      <c r="FT80" s="195"/>
      <c r="FU80" s="201"/>
      <c r="FV80" s="196"/>
      <c r="FW80" s="197"/>
      <c r="FX80" s="198"/>
      <c r="FY80" s="197"/>
      <c r="FZ80" s="199"/>
      <c r="GA80" s="200"/>
      <c r="GB80" s="195"/>
      <c r="GC80" s="195"/>
      <c r="GD80" s="201"/>
      <c r="GE80" s="196"/>
      <c r="GF80" s="197"/>
      <c r="GG80" s="198"/>
      <c r="GH80" s="197"/>
      <c r="GI80" s="199"/>
      <c r="GJ80" s="200"/>
      <c r="GK80" s="195"/>
      <c r="GL80" s="195"/>
      <c r="GM80" s="201"/>
      <c r="GN80" s="196"/>
      <c r="GO80" s="197"/>
      <c r="GP80" s="198"/>
      <c r="GQ80" s="197"/>
      <c r="GR80" s="199"/>
      <c r="GS80" s="200"/>
      <c r="GT80" s="187"/>
      <c r="GU80" s="29"/>
      <c r="GV80" s="205"/>
      <c r="GZ80" s="33"/>
    </row>
    <row r="81" spans="1:208" ht="16.5" thickTop="1" x14ac:dyDescent="0.25">
      <c r="A81"/>
      <c r="D81" s="35"/>
      <c r="E81" s="36"/>
      <c r="F81" s="37"/>
      <c r="G81" s="38"/>
      <c r="H81" s="39"/>
      <c r="I81" s="40"/>
      <c r="J81" s="177"/>
      <c r="K81" s="452"/>
      <c r="P81" s="27"/>
      <c r="Q81" s="180"/>
      <c r="R81" s="180"/>
      <c r="S81" s="180"/>
      <c r="T81" s="39">
        <f t="shared" si="9"/>
        <v>0</v>
      </c>
      <c r="U81" s="181"/>
      <c r="V81" s="182"/>
      <c r="W81" s="30"/>
      <c r="X81" s="195"/>
      <c r="Y81" s="196"/>
      <c r="Z81" s="197"/>
      <c r="AA81" s="198"/>
      <c r="AB81" s="197"/>
      <c r="AC81" s="199"/>
      <c r="AD81" s="200"/>
      <c r="AE81" s="195"/>
      <c r="AF81" s="195"/>
      <c r="AG81" s="201"/>
      <c r="AH81" s="196"/>
      <c r="AI81" s="197"/>
      <c r="AJ81" s="198"/>
      <c r="AK81" s="202"/>
      <c r="AL81" s="199"/>
      <c r="AM81" s="200"/>
      <c r="AN81" s="195"/>
      <c r="AO81" s="195"/>
      <c r="AP81" s="201"/>
      <c r="AQ81" s="196"/>
      <c r="AR81" s="197"/>
      <c r="AS81" s="198"/>
      <c r="AT81" s="197"/>
      <c r="AU81" s="199"/>
      <c r="AV81" s="200"/>
      <c r="AW81" s="195"/>
      <c r="AX81" s="195"/>
      <c r="AY81" s="201"/>
      <c r="AZ81" s="196"/>
      <c r="BA81" s="197"/>
      <c r="BB81" s="198"/>
      <c r="BC81" s="202"/>
      <c r="BD81" s="199"/>
      <c r="BE81" s="200"/>
      <c r="BF81" s="195"/>
      <c r="BG81" s="195"/>
      <c r="BH81" s="201"/>
      <c r="BI81" s="196"/>
      <c r="BJ81" s="197"/>
      <c r="BK81" s="198"/>
      <c r="BL81" s="202"/>
      <c r="BM81" s="199"/>
      <c r="BN81" s="200"/>
      <c r="BO81" s="195"/>
      <c r="BP81" s="195"/>
      <c r="BQ81" s="201"/>
      <c r="BR81" s="196"/>
      <c r="BS81" s="197"/>
      <c r="BT81" s="198"/>
      <c r="BU81" s="197"/>
      <c r="BV81" s="199"/>
      <c r="BW81" s="200"/>
      <c r="BX81" s="195"/>
      <c r="BY81" s="195"/>
      <c r="BZ81" s="201"/>
      <c r="CA81" s="196"/>
      <c r="CB81" s="197"/>
      <c r="CC81" s="198"/>
      <c r="CD81" s="197"/>
      <c r="CE81" s="199"/>
      <c r="CF81" s="200"/>
      <c r="CG81" s="195"/>
      <c r="CH81" s="195"/>
      <c r="CI81" s="201"/>
      <c r="CJ81" s="196"/>
      <c r="CK81" s="197"/>
      <c r="CL81" s="198"/>
      <c r="CM81" s="197"/>
      <c r="CN81" s="199"/>
      <c r="CO81" s="200"/>
      <c r="CP81" s="195"/>
      <c r="CQ81" s="195"/>
      <c r="CR81" s="201"/>
      <c r="CS81" s="196"/>
      <c r="CT81" s="197"/>
      <c r="CU81" s="203"/>
      <c r="CV81" s="202"/>
      <c r="CW81" s="204"/>
      <c r="CX81" s="200"/>
      <c r="CY81" s="195"/>
      <c r="CZ81" s="195"/>
      <c r="DA81" s="201"/>
      <c r="DB81" s="196"/>
      <c r="DC81" s="197"/>
      <c r="DD81" s="198"/>
      <c r="DE81" s="197"/>
      <c r="DF81" s="199"/>
      <c r="DG81" s="200"/>
      <c r="DH81" s="195"/>
      <c r="DI81" s="195"/>
      <c r="DJ81" s="201"/>
      <c r="DK81" s="196"/>
      <c r="DL81" s="197"/>
      <c r="DM81" s="203"/>
      <c r="DN81" s="202"/>
      <c r="DO81" s="204"/>
      <c r="DP81" s="200"/>
      <c r="DQ81" s="195"/>
      <c r="DR81" s="195"/>
      <c r="DS81" s="201"/>
      <c r="DT81" s="196"/>
      <c r="DU81" s="197"/>
      <c r="DV81" s="198"/>
      <c r="DW81" s="197"/>
      <c r="DX81" s="199"/>
      <c r="DY81" s="200"/>
      <c r="DZ81" s="195"/>
      <c r="EA81" s="195"/>
      <c r="EB81" s="201"/>
      <c r="EC81" s="196"/>
      <c r="ED81" s="197"/>
      <c r="EE81" s="203"/>
      <c r="EF81" s="202"/>
      <c r="EG81" s="204"/>
      <c r="EH81" s="200"/>
      <c r="EI81" s="195"/>
      <c r="EJ81" s="195"/>
      <c r="EK81" s="201"/>
      <c r="EL81" s="196"/>
      <c r="EM81" s="197"/>
      <c r="EN81" s="203"/>
      <c r="EO81" s="202"/>
      <c r="EP81" s="204"/>
      <c r="EQ81" s="200"/>
      <c r="ER81" s="195"/>
      <c r="ES81" s="195"/>
      <c r="ET81" s="201"/>
      <c r="EU81" s="196"/>
      <c r="EV81" s="197"/>
      <c r="EW81" s="198"/>
      <c r="EX81" s="197"/>
      <c r="EY81" s="199"/>
      <c r="EZ81" s="200"/>
      <c r="FA81" s="195"/>
      <c r="FB81" s="195"/>
      <c r="FC81" s="201"/>
      <c r="FD81" s="196"/>
      <c r="FE81" s="197"/>
      <c r="FF81" s="198"/>
      <c r="FG81" s="197"/>
      <c r="FH81" s="199"/>
      <c r="FI81" s="200"/>
      <c r="FJ81" s="195"/>
      <c r="FK81" s="195"/>
      <c r="FL81" s="201"/>
      <c r="FM81" s="196"/>
      <c r="FN81" s="197"/>
      <c r="FO81" s="198"/>
      <c r="FP81" s="197"/>
      <c r="FQ81" s="199"/>
      <c r="FR81" s="200"/>
      <c r="FS81" s="195"/>
      <c r="FT81" s="195"/>
      <c r="FU81" s="201"/>
      <c r="FV81" s="196"/>
      <c r="FW81" s="197"/>
      <c r="FX81" s="198"/>
      <c r="FY81" s="197"/>
      <c r="FZ81" s="199"/>
      <c r="GA81" s="200"/>
      <c r="GB81" s="195"/>
      <c r="GC81" s="195"/>
      <c r="GD81" s="201"/>
      <c r="GE81" s="196"/>
      <c r="GF81" s="197"/>
      <c r="GG81" s="198"/>
      <c r="GH81" s="197"/>
      <c r="GI81" s="199"/>
      <c r="GJ81" s="200"/>
      <c r="GK81" s="195"/>
      <c r="GL81" s="195"/>
      <c r="GM81" s="201"/>
      <c r="GN81" s="196"/>
      <c r="GO81" s="197"/>
      <c r="GP81" s="198"/>
      <c r="GQ81" s="197"/>
      <c r="GR81" s="199"/>
      <c r="GS81" s="200"/>
      <c r="GT81" s="187"/>
      <c r="GU81" s="29"/>
      <c r="GV81" s="205"/>
      <c r="GZ81" s="33"/>
    </row>
    <row r="82" spans="1:208" ht="16.5" thickBot="1" x14ac:dyDescent="0.3">
      <c r="A82"/>
      <c r="D82" s="35"/>
      <c r="E82" s="36"/>
      <c r="F82" s="37"/>
      <c r="G82" s="38"/>
      <c r="H82" s="39"/>
      <c r="I82" s="40"/>
      <c r="J82" s="177"/>
      <c r="K82" s="452"/>
      <c r="P82" s="27"/>
      <c r="Q82" s="209"/>
      <c r="T82" s="39">
        <f t="shared" si="9"/>
        <v>0</v>
      </c>
      <c r="U82" s="210"/>
      <c r="W82" s="30"/>
      <c r="X82" s="195"/>
      <c r="Y82" s="183"/>
      <c r="Z82" s="197"/>
      <c r="AA82" s="198"/>
      <c r="AB82" s="197"/>
      <c r="AC82" s="199"/>
      <c r="AD82" s="200"/>
      <c r="AE82" s="195"/>
      <c r="AF82" s="195"/>
      <c r="AG82" s="201"/>
      <c r="AH82" s="183"/>
      <c r="AI82" s="197"/>
      <c r="AJ82" s="198"/>
      <c r="AK82" s="202"/>
      <c r="AL82" s="199"/>
      <c r="AM82" s="200"/>
      <c r="AN82" s="195"/>
      <c r="AO82" s="195"/>
      <c r="AP82" s="201"/>
      <c r="AQ82" s="183"/>
      <c r="AR82" s="197"/>
      <c r="AS82" s="198"/>
      <c r="AT82" s="197"/>
      <c r="AU82" s="199"/>
      <c r="AV82" s="200"/>
      <c r="AW82" s="195"/>
      <c r="AX82" s="195"/>
      <c r="AY82" s="201"/>
      <c r="AZ82" s="183"/>
      <c r="BA82" s="197"/>
      <c r="BB82" s="198"/>
      <c r="BC82" s="202"/>
      <c r="BD82" s="199"/>
      <c r="BE82" s="200"/>
      <c r="BF82" s="195"/>
      <c r="BG82" s="195"/>
      <c r="BH82" s="201"/>
      <c r="BI82" s="183"/>
      <c r="BJ82" s="197"/>
      <c r="BK82" s="198"/>
      <c r="BL82" s="202"/>
      <c r="BM82" s="199"/>
      <c r="BN82" s="200"/>
      <c r="BO82" s="195"/>
      <c r="BP82" s="195"/>
      <c r="BQ82" s="201"/>
      <c r="BR82" s="183"/>
      <c r="BS82" s="197"/>
      <c r="BT82" s="198"/>
      <c r="BU82" s="197"/>
      <c r="BV82" s="199"/>
      <c r="BW82" s="200"/>
      <c r="BX82" s="195"/>
      <c r="BY82" s="195"/>
      <c r="BZ82" s="201"/>
      <c r="CA82" s="183"/>
      <c r="CB82" s="197"/>
      <c r="CC82" s="198"/>
      <c r="CD82" s="197"/>
      <c r="CE82" s="199"/>
      <c r="CF82" s="200"/>
      <c r="CG82" s="195"/>
      <c r="CH82" s="195"/>
      <c r="CI82" s="201"/>
      <c r="CJ82" s="183"/>
      <c r="CK82" s="197"/>
      <c r="CL82" s="198"/>
      <c r="CM82" s="197"/>
      <c r="CN82" s="199"/>
      <c r="CO82" s="200"/>
      <c r="CP82" s="195"/>
      <c r="CQ82" s="195"/>
      <c r="CR82" s="201"/>
      <c r="CS82" s="183"/>
      <c r="CT82" s="197"/>
      <c r="CU82" s="203"/>
      <c r="CV82" s="202"/>
      <c r="CW82" s="204"/>
      <c r="CX82" s="200"/>
      <c r="CY82" s="195"/>
      <c r="CZ82" s="195"/>
      <c r="DA82" s="201"/>
      <c r="DB82" s="183"/>
      <c r="DC82" s="197"/>
      <c r="DD82" s="198"/>
      <c r="DE82" s="197"/>
      <c r="DF82" s="199"/>
      <c r="DG82" s="200"/>
      <c r="DH82" s="195"/>
      <c r="DI82" s="195"/>
      <c r="DJ82" s="201"/>
      <c r="DK82" s="183"/>
      <c r="DL82" s="197"/>
      <c r="DM82" s="203"/>
      <c r="DN82" s="202"/>
      <c r="DO82" s="204"/>
      <c r="DP82" s="200"/>
      <c r="DQ82" s="195"/>
      <c r="DR82" s="195"/>
      <c r="DS82" s="201"/>
      <c r="DT82" s="183"/>
      <c r="DU82" s="197"/>
      <c r="DV82" s="198"/>
      <c r="DW82" s="197"/>
      <c r="DX82" s="199"/>
      <c r="DY82" s="200"/>
      <c r="DZ82" s="195"/>
      <c r="EA82" s="195"/>
      <c r="EB82" s="201"/>
      <c r="EC82" s="183"/>
      <c r="ED82" s="197"/>
      <c r="EE82" s="203"/>
      <c r="EF82" s="202"/>
      <c r="EG82" s="204"/>
      <c r="EH82" s="200"/>
      <c r="EI82" s="195"/>
      <c r="EJ82" s="195"/>
      <c r="EK82" s="201"/>
      <c r="EL82" s="183"/>
      <c r="EM82" s="197"/>
      <c r="EN82" s="203"/>
      <c r="EO82" s="202"/>
      <c r="EP82" s="204"/>
      <c r="EQ82" s="200"/>
      <c r="ER82" s="195"/>
      <c r="ES82" s="195"/>
      <c r="ET82" s="201"/>
      <c r="EU82" s="183"/>
      <c r="EV82" s="197"/>
      <c r="EW82" s="198"/>
      <c r="EX82" s="197"/>
      <c r="EY82" s="199"/>
      <c r="EZ82" s="200"/>
      <c r="FA82" s="195"/>
      <c r="FB82" s="195"/>
      <c r="FC82" s="201"/>
      <c r="FD82" s="183"/>
      <c r="FE82" s="197"/>
      <c r="FF82" s="198"/>
      <c r="FG82" s="197"/>
      <c r="FH82" s="199"/>
      <c r="FI82" s="200"/>
      <c r="FJ82" s="195"/>
      <c r="FK82" s="195"/>
      <c r="FL82" s="201"/>
      <c r="FM82" s="183"/>
      <c r="FN82" s="197"/>
      <c r="FO82" s="198"/>
      <c r="FP82" s="197"/>
      <c r="FQ82" s="199"/>
      <c r="FR82" s="200"/>
      <c r="FS82" s="195"/>
      <c r="FT82" s="195"/>
      <c r="FU82" s="201"/>
      <c r="FV82" s="183"/>
      <c r="FW82" s="197"/>
      <c r="FX82" s="198"/>
      <c r="FY82" s="197"/>
      <c r="FZ82" s="199"/>
      <c r="GA82" s="200"/>
      <c r="GB82" s="195"/>
      <c r="GC82" s="195"/>
      <c r="GD82" s="201"/>
      <c r="GE82" s="183"/>
      <c r="GF82" s="197"/>
      <c r="GG82" s="198"/>
      <c r="GH82" s="197"/>
      <c r="GI82" s="199"/>
      <c r="GJ82" s="200"/>
      <c r="GK82" s="195"/>
      <c r="GL82" s="195"/>
      <c r="GM82" s="201"/>
      <c r="GN82" s="183"/>
      <c r="GO82" s="197"/>
      <c r="GP82" s="198"/>
      <c r="GQ82" s="197"/>
      <c r="GR82" s="199"/>
      <c r="GS82" s="200"/>
      <c r="GT82" s="187"/>
      <c r="GU82" s="29"/>
      <c r="GV82" s="211"/>
      <c r="GZ82" s="33"/>
    </row>
    <row r="83" spans="1:208" ht="17.25" thickTop="1" thickBot="1" x14ac:dyDescent="0.3">
      <c r="A83"/>
      <c r="D83" s="35"/>
      <c r="E83" s="36"/>
      <c r="F83" s="37"/>
      <c r="G83" s="38"/>
      <c r="H83" s="39"/>
      <c r="I83" s="40"/>
      <c r="J83" s="177"/>
      <c r="M83" s="212"/>
      <c r="N83" s="213"/>
      <c r="O83" s="874" t="s">
        <v>29</v>
      </c>
      <c r="P83" s="875"/>
      <c r="Q83" s="875"/>
      <c r="R83" s="214">
        <f>SUM(R9:R82)</f>
        <v>0</v>
      </c>
      <c r="S83" s="215"/>
      <c r="T83" s="216">
        <f>SUM(T9:T82)</f>
        <v>18645605.684999999</v>
      </c>
      <c r="U83" s="217"/>
      <c r="W83" s="218">
        <f t="shared" ref="W83:BB83" si="10">SUM(W9:W82)</f>
        <v>424728.2</v>
      </c>
      <c r="X83" s="219">
        <f t="shared" si="10"/>
        <v>0</v>
      </c>
      <c r="Y83" s="219">
        <f t="shared" si="10"/>
        <v>0</v>
      </c>
      <c r="Z83" s="219">
        <f t="shared" si="10"/>
        <v>0</v>
      </c>
      <c r="AA83" s="219">
        <f t="shared" si="10"/>
        <v>0</v>
      </c>
      <c r="AB83" s="219">
        <f t="shared" si="10"/>
        <v>0</v>
      </c>
      <c r="AC83" s="219">
        <f t="shared" si="10"/>
        <v>0</v>
      </c>
      <c r="AD83" s="219">
        <f t="shared" si="10"/>
        <v>0</v>
      </c>
      <c r="AE83" s="219">
        <f t="shared" si="10"/>
        <v>0</v>
      </c>
      <c r="AF83" s="219">
        <f t="shared" si="10"/>
        <v>0</v>
      </c>
      <c r="AG83" s="219">
        <f t="shared" si="10"/>
        <v>0</v>
      </c>
      <c r="AH83" s="219">
        <f t="shared" si="10"/>
        <v>0</v>
      </c>
      <c r="AI83" s="219">
        <f t="shared" si="10"/>
        <v>0</v>
      </c>
      <c r="AJ83" s="219">
        <f t="shared" si="10"/>
        <v>0</v>
      </c>
      <c r="AK83" s="219">
        <f t="shared" si="10"/>
        <v>0</v>
      </c>
      <c r="AL83" s="219">
        <f t="shared" si="10"/>
        <v>0</v>
      </c>
      <c r="AM83" s="219">
        <f t="shared" si="10"/>
        <v>0</v>
      </c>
      <c r="AN83" s="219">
        <f t="shared" si="10"/>
        <v>0</v>
      </c>
      <c r="AO83" s="219">
        <f t="shared" si="10"/>
        <v>0</v>
      </c>
      <c r="AP83" s="219">
        <f t="shared" si="10"/>
        <v>0</v>
      </c>
      <c r="AQ83" s="219">
        <f t="shared" si="10"/>
        <v>0</v>
      </c>
      <c r="AR83" s="219">
        <f t="shared" si="10"/>
        <v>0</v>
      </c>
      <c r="AS83" s="219">
        <f t="shared" si="10"/>
        <v>0</v>
      </c>
      <c r="AT83" s="219">
        <f t="shared" si="10"/>
        <v>0</v>
      </c>
      <c r="AU83" s="219">
        <f t="shared" si="10"/>
        <v>0</v>
      </c>
      <c r="AV83" s="219">
        <f t="shared" si="10"/>
        <v>0</v>
      </c>
      <c r="AW83" s="219">
        <f t="shared" si="10"/>
        <v>0</v>
      </c>
      <c r="AX83" s="219">
        <f t="shared" si="10"/>
        <v>0</v>
      </c>
      <c r="AY83" s="219">
        <f t="shared" si="10"/>
        <v>0</v>
      </c>
      <c r="AZ83" s="219">
        <f t="shared" si="10"/>
        <v>0</v>
      </c>
      <c r="BA83" s="219">
        <f t="shared" si="10"/>
        <v>0</v>
      </c>
      <c r="BB83" s="219">
        <f t="shared" si="10"/>
        <v>0</v>
      </c>
      <c r="BC83" s="219">
        <f t="shared" ref="BC83:CH83" si="11">SUM(BC9:BC82)</f>
        <v>0</v>
      </c>
      <c r="BD83" s="219">
        <f t="shared" si="11"/>
        <v>0</v>
      </c>
      <c r="BE83" s="219">
        <f t="shared" si="11"/>
        <v>0</v>
      </c>
      <c r="BF83" s="219">
        <f t="shared" si="11"/>
        <v>0</v>
      </c>
      <c r="BG83" s="219">
        <f t="shared" si="11"/>
        <v>0</v>
      </c>
      <c r="BH83" s="219">
        <f t="shared" si="11"/>
        <v>0</v>
      </c>
      <c r="BI83" s="219">
        <f t="shared" si="11"/>
        <v>0</v>
      </c>
      <c r="BJ83" s="219">
        <f t="shared" si="11"/>
        <v>0</v>
      </c>
      <c r="BK83" s="219">
        <f t="shared" si="11"/>
        <v>0</v>
      </c>
      <c r="BL83" s="219">
        <f t="shared" si="11"/>
        <v>0</v>
      </c>
      <c r="BM83" s="219">
        <f t="shared" si="11"/>
        <v>0</v>
      </c>
      <c r="BN83" s="219">
        <f t="shared" si="11"/>
        <v>0</v>
      </c>
      <c r="BO83" s="219">
        <f t="shared" si="11"/>
        <v>0</v>
      </c>
      <c r="BP83" s="219">
        <f t="shared" si="11"/>
        <v>0</v>
      </c>
      <c r="BQ83" s="219">
        <f t="shared" si="11"/>
        <v>0</v>
      </c>
      <c r="BR83" s="219">
        <f t="shared" si="11"/>
        <v>0</v>
      </c>
      <c r="BS83" s="219">
        <f t="shared" si="11"/>
        <v>0</v>
      </c>
      <c r="BT83" s="219">
        <f t="shared" si="11"/>
        <v>0</v>
      </c>
      <c r="BU83" s="219">
        <f t="shared" si="11"/>
        <v>0</v>
      </c>
      <c r="BV83" s="219">
        <f t="shared" si="11"/>
        <v>0</v>
      </c>
      <c r="BW83" s="219">
        <f t="shared" si="11"/>
        <v>0</v>
      </c>
      <c r="BX83" s="219">
        <f t="shared" si="11"/>
        <v>0</v>
      </c>
      <c r="BY83" s="219">
        <f t="shared" si="11"/>
        <v>0</v>
      </c>
      <c r="BZ83" s="219">
        <f t="shared" si="11"/>
        <v>0</v>
      </c>
      <c r="CA83" s="219">
        <f t="shared" si="11"/>
        <v>0</v>
      </c>
      <c r="CB83" s="219">
        <f t="shared" si="11"/>
        <v>0</v>
      </c>
      <c r="CC83" s="219">
        <f t="shared" si="11"/>
        <v>0</v>
      </c>
      <c r="CD83" s="219">
        <f t="shared" si="11"/>
        <v>0</v>
      </c>
      <c r="CE83" s="219">
        <f t="shared" si="11"/>
        <v>0</v>
      </c>
      <c r="CF83" s="219">
        <f t="shared" si="11"/>
        <v>0</v>
      </c>
      <c r="CG83" s="219">
        <f t="shared" si="11"/>
        <v>0</v>
      </c>
      <c r="CH83" s="219">
        <f t="shared" si="11"/>
        <v>0</v>
      </c>
      <c r="CI83" s="219">
        <f t="shared" ref="CI83:DN83" si="12">SUM(CI9:CI82)</f>
        <v>0</v>
      </c>
      <c r="CJ83" s="219">
        <f t="shared" si="12"/>
        <v>0</v>
      </c>
      <c r="CK83" s="219">
        <f t="shared" si="12"/>
        <v>0</v>
      </c>
      <c r="CL83" s="219">
        <f t="shared" si="12"/>
        <v>0</v>
      </c>
      <c r="CM83" s="219">
        <f t="shared" si="12"/>
        <v>0</v>
      </c>
      <c r="CN83" s="219">
        <f t="shared" si="12"/>
        <v>0</v>
      </c>
      <c r="CO83" s="219">
        <f t="shared" si="12"/>
        <v>0</v>
      </c>
      <c r="CP83" s="219">
        <f t="shared" si="12"/>
        <v>0</v>
      </c>
      <c r="CQ83" s="219">
        <f t="shared" si="12"/>
        <v>0</v>
      </c>
      <c r="CR83" s="219">
        <f t="shared" si="12"/>
        <v>0</v>
      </c>
      <c r="CS83" s="219">
        <f t="shared" si="12"/>
        <v>0</v>
      </c>
      <c r="CT83" s="219">
        <f t="shared" si="12"/>
        <v>0</v>
      </c>
      <c r="CU83" s="219">
        <f t="shared" si="12"/>
        <v>0</v>
      </c>
      <c r="CV83" s="219">
        <f t="shared" si="12"/>
        <v>0</v>
      </c>
      <c r="CW83" s="219">
        <f t="shared" si="12"/>
        <v>0</v>
      </c>
      <c r="CX83" s="219">
        <f t="shared" si="12"/>
        <v>0</v>
      </c>
      <c r="CY83" s="219">
        <f t="shared" si="12"/>
        <v>0</v>
      </c>
      <c r="CZ83" s="219">
        <f t="shared" si="12"/>
        <v>0</v>
      </c>
      <c r="DA83" s="219">
        <f t="shared" si="12"/>
        <v>0</v>
      </c>
      <c r="DB83" s="219">
        <f t="shared" si="12"/>
        <v>0</v>
      </c>
      <c r="DC83" s="219">
        <f t="shared" si="12"/>
        <v>0</v>
      </c>
      <c r="DD83" s="219">
        <f t="shared" si="12"/>
        <v>0</v>
      </c>
      <c r="DE83" s="219">
        <f t="shared" si="12"/>
        <v>0</v>
      </c>
      <c r="DF83" s="219">
        <f t="shared" si="12"/>
        <v>0</v>
      </c>
      <c r="DG83" s="219">
        <f t="shared" si="12"/>
        <v>0</v>
      </c>
      <c r="DH83" s="219">
        <f t="shared" si="12"/>
        <v>0</v>
      </c>
      <c r="DI83" s="219">
        <f t="shared" si="12"/>
        <v>0</v>
      </c>
      <c r="DJ83" s="219">
        <f t="shared" si="12"/>
        <v>0</v>
      </c>
      <c r="DK83" s="219">
        <f t="shared" si="12"/>
        <v>0</v>
      </c>
      <c r="DL83" s="219">
        <f t="shared" si="12"/>
        <v>0</v>
      </c>
      <c r="DM83" s="219">
        <f t="shared" si="12"/>
        <v>0</v>
      </c>
      <c r="DN83" s="219">
        <f t="shared" si="12"/>
        <v>0</v>
      </c>
      <c r="DO83" s="219">
        <f t="shared" ref="DO83:ET83" si="13">SUM(DO9:DO82)</f>
        <v>0</v>
      </c>
      <c r="DP83" s="219">
        <f t="shared" si="13"/>
        <v>0</v>
      </c>
      <c r="DQ83" s="219">
        <f t="shared" si="13"/>
        <v>0</v>
      </c>
      <c r="DR83" s="219">
        <f t="shared" si="13"/>
        <v>0</v>
      </c>
      <c r="DS83" s="219">
        <f t="shared" si="13"/>
        <v>0</v>
      </c>
      <c r="DT83" s="219">
        <f t="shared" si="13"/>
        <v>0</v>
      </c>
      <c r="DU83" s="219">
        <f t="shared" si="13"/>
        <v>0</v>
      </c>
      <c r="DV83" s="219">
        <f t="shared" si="13"/>
        <v>0</v>
      </c>
      <c r="DW83" s="219">
        <f t="shared" si="13"/>
        <v>0</v>
      </c>
      <c r="DX83" s="219">
        <f t="shared" si="13"/>
        <v>0</v>
      </c>
      <c r="DY83" s="219">
        <f t="shared" si="13"/>
        <v>0</v>
      </c>
      <c r="DZ83" s="219">
        <f t="shared" si="13"/>
        <v>0</v>
      </c>
      <c r="EA83" s="219">
        <f t="shared" si="13"/>
        <v>0</v>
      </c>
      <c r="EB83" s="219">
        <f t="shared" si="13"/>
        <v>0</v>
      </c>
      <c r="EC83" s="219">
        <f t="shared" si="13"/>
        <v>0</v>
      </c>
      <c r="ED83" s="219">
        <f t="shared" si="13"/>
        <v>0</v>
      </c>
      <c r="EE83" s="219">
        <f t="shared" si="13"/>
        <v>0</v>
      </c>
      <c r="EF83" s="219">
        <f t="shared" si="13"/>
        <v>0</v>
      </c>
      <c r="EG83" s="219">
        <f t="shared" si="13"/>
        <v>0</v>
      </c>
      <c r="EH83" s="219">
        <f t="shared" si="13"/>
        <v>0</v>
      </c>
      <c r="EI83" s="219">
        <f t="shared" si="13"/>
        <v>0</v>
      </c>
      <c r="EJ83" s="219">
        <f t="shared" si="13"/>
        <v>0</v>
      </c>
      <c r="EK83" s="219">
        <f t="shared" si="13"/>
        <v>0</v>
      </c>
      <c r="EL83" s="219">
        <f t="shared" si="13"/>
        <v>0</v>
      </c>
      <c r="EM83" s="219">
        <f t="shared" si="13"/>
        <v>0</v>
      </c>
      <c r="EN83" s="219">
        <f t="shared" si="13"/>
        <v>0</v>
      </c>
      <c r="EO83" s="219">
        <f t="shared" si="13"/>
        <v>0</v>
      </c>
      <c r="EP83" s="219">
        <f t="shared" si="13"/>
        <v>0</v>
      </c>
      <c r="EQ83" s="219">
        <f t="shared" si="13"/>
        <v>0</v>
      </c>
      <c r="ER83" s="219">
        <f t="shared" si="13"/>
        <v>0</v>
      </c>
      <c r="ES83" s="219">
        <f t="shared" si="13"/>
        <v>0</v>
      </c>
      <c r="ET83" s="219">
        <f t="shared" si="13"/>
        <v>0</v>
      </c>
      <c r="EU83" s="219">
        <f t="shared" ref="EU83:GS83" si="14">SUM(EU9:EU82)</f>
        <v>0</v>
      </c>
      <c r="EV83" s="219">
        <f t="shared" si="14"/>
        <v>0</v>
      </c>
      <c r="EW83" s="219">
        <f t="shared" si="14"/>
        <v>0</v>
      </c>
      <c r="EX83" s="219">
        <f t="shared" si="14"/>
        <v>0</v>
      </c>
      <c r="EY83" s="219">
        <f t="shared" si="14"/>
        <v>0</v>
      </c>
      <c r="EZ83" s="219">
        <f t="shared" si="14"/>
        <v>0</v>
      </c>
      <c r="FA83" s="219">
        <f t="shared" si="14"/>
        <v>0</v>
      </c>
      <c r="FB83" s="219">
        <f t="shared" si="14"/>
        <v>0</v>
      </c>
      <c r="FC83" s="219">
        <f t="shared" si="14"/>
        <v>0</v>
      </c>
      <c r="FD83" s="219">
        <f t="shared" si="14"/>
        <v>0</v>
      </c>
      <c r="FE83" s="219">
        <f t="shared" si="14"/>
        <v>0</v>
      </c>
      <c r="FF83" s="219">
        <f t="shared" si="14"/>
        <v>0</v>
      </c>
      <c r="FG83" s="219">
        <f t="shared" si="14"/>
        <v>0</v>
      </c>
      <c r="FH83" s="219">
        <f t="shared" si="14"/>
        <v>0</v>
      </c>
      <c r="FI83" s="219">
        <f t="shared" si="14"/>
        <v>0</v>
      </c>
      <c r="FJ83" s="219">
        <f t="shared" si="14"/>
        <v>0</v>
      </c>
      <c r="FK83" s="219">
        <f t="shared" si="14"/>
        <v>0</v>
      </c>
      <c r="FL83" s="219">
        <f t="shared" si="14"/>
        <v>0</v>
      </c>
      <c r="FM83" s="219">
        <f t="shared" si="14"/>
        <v>0</v>
      </c>
      <c r="FN83" s="219">
        <f t="shared" si="14"/>
        <v>0</v>
      </c>
      <c r="FO83" s="219">
        <f t="shared" si="14"/>
        <v>0</v>
      </c>
      <c r="FP83" s="219">
        <f t="shared" si="14"/>
        <v>0</v>
      </c>
      <c r="FQ83" s="219">
        <f t="shared" si="14"/>
        <v>0</v>
      </c>
      <c r="FR83" s="219">
        <f t="shared" si="14"/>
        <v>0</v>
      </c>
      <c r="FS83" s="219">
        <f t="shared" si="14"/>
        <v>0</v>
      </c>
      <c r="FT83" s="219">
        <f t="shared" si="14"/>
        <v>0</v>
      </c>
      <c r="FU83" s="219">
        <f t="shared" si="14"/>
        <v>0</v>
      </c>
      <c r="FV83" s="219">
        <f t="shared" si="14"/>
        <v>0</v>
      </c>
      <c r="FW83" s="219">
        <f t="shared" si="14"/>
        <v>0</v>
      </c>
      <c r="FX83" s="219">
        <f t="shared" si="14"/>
        <v>0</v>
      </c>
      <c r="FY83" s="219">
        <f t="shared" si="14"/>
        <v>0</v>
      </c>
      <c r="FZ83" s="219">
        <f t="shared" si="14"/>
        <v>0</v>
      </c>
      <c r="GA83" s="219">
        <f t="shared" si="14"/>
        <v>0</v>
      </c>
      <c r="GB83" s="219">
        <f t="shared" si="14"/>
        <v>0</v>
      </c>
      <c r="GC83" s="219">
        <f t="shared" si="14"/>
        <v>0</v>
      </c>
      <c r="GD83" s="219">
        <f t="shared" si="14"/>
        <v>0</v>
      </c>
      <c r="GE83" s="219">
        <f t="shared" si="14"/>
        <v>0</v>
      </c>
      <c r="GF83" s="219">
        <f t="shared" si="14"/>
        <v>0</v>
      </c>
      <c r="GG83" s="219">
        <f t="shared" si="14"/>
        <v>0</v>
      </c>
      <c r="GH83" s="219">
        <f t="shared" si="14"/>
        <v>0</v>
      </c>
      <c r="GI83" s="219">
        <f t="shared" si="14"/>
        <v>0</v>
      </c>
      <c r="GJ83" s="219">
        <f t="shared" si="14"/>
        <v>0</v>
      </c>
      <c r="GK83" s="219">
        <f t="shared" si="14"/>
        <v>0</v>
      </c>
      <c r="GL83" s="219">
        <f t="shared" si="14"/>
        <v>0</v>
      </c>
      <c r="GM83" s="219">
        <f t="shared" si="14"/>
        <v>0</v>
      </c>
      <c r="GN83" s="219">
        <f t="shared" si="14"/>
        <v>0</v>
      </c>
      <c r="GO83" s="219">
        <f t="shared" si="14"/>
        <v>0</v>
      </c>
      <c r="GP83" s="219">
        <f t="shared" si="14"/>
        <v>0</v>
      </c>
      <c r="GQ83" s="219">
        <f t="shared" si="14"/>
        <v>0</v>
      </c>
      <c r="GR83" s="219">
        <f t="shared" si="14"/>
        <v>0</v>
      </c>
      <c r="GS83" s="219">
        <f t="shared" si="14"/>
        <v>0</v>
      </c>
      <c r="GT83" s="219"/>
      <c r="GU83" s="220">
        <f>SUM(GU9:GU82)</f>
        <v>367024</v>
      </c>
      <c r="GV83" s="221"/>
      <c r="GW83" s="62"/>
      <c r="GX83" s="62"/>
      <c r="GY83" s="222"/>
      <c r="GZ83" s="223">
        <f>SUM(GZ9:GZ82)</f>
        <v>174696</v>
      </c>
    </row>
    <row r="84" spans="1:208" x14ac:dyDescent="0.25">
      <c r="D84" s="35"/>
      <c r="E84" s="36"/>
      <c r="F84" s="37"/>
      <c r="G84" s="38"/>
      <c r="H84" s="39"/>
      <c r="I84" s="40"/>
      <c r="J84" s="177"/>
      <c r="M84" s="212"/>
      <c r="N84" s="213"/>
      <c r="O84" s="224"/>
      <c r="P84" s="225"/>
      <c r="Q84" s="226"/>
      <c r="R84" s="226"/>
      <c r="S84" s="226"/>
      <c r="T84" s="39"/>
      <c r="U84" s="217"/>
      <c r="X84" s="227"/>
      <c r="Y84" s="228"/>
      <c r="Z84" s="229"/>
      <c r="AA84" s="36"/>
      <c r="AB84" s="229"/>
      <c r="AC84" s="230"/>
      <c r="AD84" s="87"/>
      <c r="AG84" s="227"/>
      <c r="AH84" s="228"/>
      <c r="AI84" s="229"/>
      <c r="AJ84" s="36"/>
      <c r="AK84" s="231"/>
      <c r="AL84" s="230"/>
      <c r="AM84" s="87"/>
      <c r="AP84" s="227"/>
      <c r="AQ84" s="228"/>
      <c r="AR84" s="229"/>
      <c r="AS84" s="36"/>
      <c r="AT84" s="229"/>
      <c r="AU84" s="230"/>
      <c r="AV84" s="87"/>
      <c r="AY84" s="227"/>
      <c r="AZ84" s="228"/>
      <c r="BA84" s="229"/>
      <c r="BB84" s="36"/>
      <c r="BC84" s="231"/>
      <c r="BD84" s="230"/>
      <c r="BE84" s="87"/>
      <c r="BH84" s="227"/>
      <c r="BI84" s="228"/>
      <c r="BJ84" s="229"/>
      <c r="BK84" s="36"/>
      <c r="BL84" s="231"/>
      <c r="BM84" s="230"/>
      <c r="BN84" s="87"/>
      <c r="BQ84" s="227"/>
      <c r="BR84" s="228"/>
      <c r="BS84" s="229"/>
      <c r="BT84" s="36"/>
      <c r="BU84" s="229"/>
      <c r="BV84" s="230"/>
      <c r="BW84" s="87"/>
      <c r="BZ84" s="227"/>
      <c r="CA84" s="228"/>
      <c r="CB84" s="229"/>
      <c r="CC84" s="36"/>
      <c r="CD84" s="229"/>
      <c r="CE84" s="230"/>
      <c r="CF84" s="87"/>
      <c r="CI84" s="227"/>
      <c r="CJ84" s="228"/>
      <c r="CK84" s="229"/>
      <c r="CL84" s="36"/>
      <c r="CM84" s="229"/>
      <c r="CN84" s="230"/>
      <c r="CO84" s="87"/>
      <c r="CR84" s="227"/>
      <c r="CS84" s="228"/>
      <c r="CT84" s="229"/>
      <c r="CU84" s="232"/>
      <c r="CV84" s="231"/>
      <c r="CW84" s="233"/>
      <c r="CX84" s="87"/>
      <c r="DA84" s="227"/>
      <c r="DB84" s="228"/>
      <c r="DC84" s="229"/>
      <c r="DD84" s="36"/>
      <c r="DE84" s="229"/>
      <c r="DF84" s="230"/>
      <c r="DG84" s="87"/>
      <c r="DJ84" s="227"/>
      <c r="DK84" s="228"/>
      <c r="DL84" s="229"/>
      <c r="DM84" s="232"/>
      <c r="DN84" s="231"/>
      <c r="DO84" s="233"/>
      <c r="DP84" s="87"/>
      <c r="DS84" s="227"/>
      <c r="DT84" s="228"/>
      <c r="DU84" s="229"/>
      <c r="DV84" s="36"/>
      <c r="DW84" s="229"/>
      <c r="DX84" s="230"/>
      <c r="DY84" s="87"/>
      <c r="EB84" s="227"/>
      <c r="EC84" s="228"/>
      <c r="ED84" s="229"/>
      <c r="EE84" s="232"/>
      <c r="EF84" s="231"/>
      <c r="EG84" s="233"/>
      <c r="EH84" s="87"/>
      <c r="EK84" s="227"/>
      <c r="EL84" s="228"/>
      <c r="EM84" s="229"/>
      <c r="EN84" s="232"/>
      <c r="EO84" s="231"/>
      <c r="EP84" s="233"/>
      <c r="EQ84" s="87"/>
      <c r="ET84" s="227"/>
      <c r="EU84" s="228"/>
      <c r="EV84" s="229"/>
      <c r="EW84" s="36"/>
      <c r="EX84" s="229"/>
      <c r="EY84" s="230"/>
      <c r="EZ84" s="87"/>
      <c r="FC84" s="227"/>
      <c r="FD84" s="228"/>
      <c r="FE84" s="229"/>
      <c r="FF84" s="36"/>
      <c r="FG84" s="229"/>
      <c r="FH84" s="230"/>
      <c r="FI84" s="87"/>
      <c r="FL84" s="227"/>
      <c r="FM84" s="228"/>
      <c r="FN84" s="229"/>
      <c r="FO84" s="36"/>
      <c r="FP84" s="229"/>
      <c r="FQ84" s="230"/>
      <c r="FR84" s="87"/>
      <c r="FU84" s="227"/>
      <c r="FV84" s="228"/>
      <c r="FW84" s="229"/>
      <c r="FX84" s="36"/>
      <c r="FY84" s="229"/>
      <c r="FZ84" s="230"/>
      <c r="GA84" s="87"/>
      <c r="GD84" s="227"/>
      <c r="GE84" s="228"/>
      <c r="GF84" s="229"/>
      <c r="GG84" s="36"/>
      <c r="GH84" s="229"/>
      <c r="GI84" s="230"/>
      <c r="GJ84" s="87"/>
      <c r="GM84" s="227"/>
      <c r="GN84" s="228"/>
      <c r="GO84" s="229"/>
      <c r="GP84" s="36"/>
      <c r="GQ84" s="229"/>
      <c r="GR84" s="230"/>
      <c r="GS84" s="87"/>
      <c r="GT84" s="187"/>
      <c r="GU84"/>
      <c r="GW84" s="235"/>
      <c r="GX84" s="235"/>
      <c r="GY84" s="236"/>
      <c r="GZ84"/>
    </row>
    <row r="85" spans="1:208" ht="16.5" thickBot="1" x14ac:dyDescent="0.3">
      <c r="D85" s="35"/>
      <c r="E85" s="36"/>
      <c r="F85" s="37"/>
      <c r="G85" s="38"/>
      <c r="H85" s="39"/>
      <c r="I85" s="40"/>
      <c r="J85" s="177"/>
      <c r="M85" s="212"/>
      <c r="N85" s="213"/>
      <c r="O85" s="224"/>
      <c r="P85" s="225"/>
      <c r="Q85" s="226"/>
      <c r="R85" s="226"/>
      <c r="S85" s="226"/>
      <c r="T85" s="39"/>
      <c r="U85" s="217"/>
      <c r="X85" s="227"/>
      <c r="Y85" s="228"/>
      <c r="Z85" s="229"/>
      <c r="AA85" s="36"/>
      <c r="AB85" s="229"/>
      <c r="AC85" s="230"/>
      <c r="AD85" s="87"/>
      <c r="AG85" s="227"/>
      <c r="AH85" s="228"/>
      <c r="AI85" s="229"/>
      <c r="AJ85" s="36"/>
      <c r="AK85" s="231"/>
      <c r="AL85" s="230"/>
      <c r="AM85" s="87"/>
      <c r="AP85" s="227"/>
      <c r="AQ85" s="228"/>
      <c r="AR85" s="229"/>
      <c r="AS85" s="36"/>
      <c r="AT85" s="229"/>
      <c r="AU85" s="230"/>
      <c r="AV85" s="87"/>
      <c r="AY85" s="227"/>
      <c r="AZ85" s="228"/>
      <c r="BA85" s="229"/>
      <c r="BB85" s="36"/>
      <c r="BC85" s="231"/>
      <c r="BD85" s="230"/>
      <c r="BE85" s="87"/>
      <c r="BH85" s="227"/>
      <c r="BI85" s="228"/>
      <c r="BJ85" s="229"/>
      <c r="BK85" s="36"/>
      <c r="BL85" s="231"/>
      <c r="BM85" s="230"/>
      <c r="BN85" s="87"/>
      <c r="BQ85" s="227"/>
      <c r="BR85" s="228"/>
      <c r="BS85" s="229"/>
      <c r="BT85" s="36"/>
      <c r="BU85" s="229"/>
      <c r="BV85" s="230"/>
      <c r="BW85" s="87"/>
      <c r="BZ85" s="227"/>
      <c r="CA85" s="228"/>
      <c r="CB85" s="229"/>
      <c r="CC85" s="36"/>
      <c r="CD85" s="229"/>
      <c r="CE85" s="230"/>
      <c r="CF85" s="87"/>
      <c r="CI85" s="227"/>
      <c r="CJ85" s="228"/>
      <c r="CK85" s="229"/>
      <c r="CL85" s="36"/>
      <c r="CM85" s="229"/>
      <c r="CN85" s="230"/>
      <c r="CO85" s="87"/>
      <c r="CR85" s="227"/>
      <c r="CS85" s="228"/>
      <c r="CT85" s="229"/>
      <c r="CU85" s="232"/>
      <c r="CV85" s="231"/>
      <c r="CW85" s="233"/>
      <c r="CX85" s="87"/>
      <c r="DA85" s="227"/>
      <c r="DB85" s="228"/>
      <c r="DC85" s="229"/>
      <c r="DD85" s="36"/>
      <c r="DE85" s="229"/>
      <c r="DF85" s="230"/>
      <c r="DG85" s="87"/>
      <c r="DJ85" s="227"/>
      <c r="DK85" s="228"/>
      <c r="DL85" s="229"/>
      <c r="DM85" s="232"/>
      <c r="DN85" s="231"/>
      <c r="DO85" s="233"/>
      <c r="DP85" s="87"/>
      <c r="DS85" s="227"/>
      <c r="DT85" s="228"/>
      <c r="DU85" s="229"/>
      <c r="DV85" s="36"/>
      <c r="DW85" s="229"/>
      <c r="DX85" s="230"/>
      <c r="DY85" s="87"/>
      <c r="EB85" s="227"/>
      <c r="EC85" s="228"/>
      <c r="ED85" s="229"/>
      <c r="EE85" s="232"/>
      <c r="EF85" s="231"/>
      <c r="EG85" s="233"/>
      <c r="EH85" s="87"/>
      <c r="EK85" s="227"/>
      <c r="EL85" s="228"/>
      <c r="EM85" s="229"/>
      <c r="EN85" s="232"/>
      <c r="EO85" s="231"/>
      <c r="EP85" s="233"/>
      <c r="EQ85" s="87"/>
      <c r="ET85" s="227"/>
      <c r="EU85" s="228"/>
      <c r="EV85" s="229"/>
      <c r="EW85" s="36"/>
      <c r="EX85" s="229"/>
      <c r="EY85" s="230"/>
      <c r="EZ85" s="87"/>
      <c r="FC85" s="227"/>
      <c r="FD85" s="228"/>
      <c r="FE85" s="229"/>
      <c r="FF85" s="36"/>
      <c r="FG85" s="229"/>
      <c r="FH85" s="230"/>
      <c r="FI85" s="87"/>
      <c r="FL85" s="227"/>
      <c r="FM85" s="228"/>
      <c r="FN85" s="229"/>
      <c r="FO85" s="36"/>
      <c r="FP85" s="229"/>
      <c r="FQ85" s="230"/>
      <c r="FR85" s="87"/>
      <c r="FU85" s="227"/>
      <c r="FV85" s="228"/>
      <c r="FW85" s="229"/>
      <c r="FX85" s="36"/>
      <c r="FY85" s="229"/>
      <c r="FZ85" s="230"/>
      <c r="GA85" s="87"/>
      <c r="GD85" s="227"/>
      <c r="GE85" s="228"/>
      <c r="GF85" s="229"/>
      <c r="GG85" s="36"/>
      <c r="GH85" s="229"/>
      <c r="GI85" s="230"/>
      <c r="GJ85" s="87"/>
      <c r="GM85" s="227"/>
      <c r="GN85" s="228"/>
      <c r="GO85" s="229"/>
      <c r="GP85" s="36"/>
      <c r="GQ85" s="229"/>
      <c r="GR85" s="230"/>
      <c r="GS85" s="87"/>
      <c r="GT85" s="187"/>
      <c r="GU85"/>
      <c r="GW85" s="235"/>
      <c r="GX85" s="235"/>
      <c r="GY85" s="236"/>
      <c r="GZ85"/>
    </row>
    <row r="86" spans="1:208" ht="16.5" thickTop="1" x14ac:dyDescent="0.25">
      <c r="D86" s="35"/>
      <c r="E86" s="36"/>
      <c r="F86" s="37"/>
      <c r="G86" s="38"/>
      <c r="H86" s="39"/>
      <c r="I86" s="40"/>
      <c r="J86" s="177"/>
      <c r="M86" s="212"/>
      <c r="O86" s="876" t="s">
        <v>30</v>
      </c>
      <c r="P86" s="877"/>
      <c r="Q86" s="877"/>
      <c r="R86" s="237"/>
      <c r="S86" s="237"/>
      <c r="T86" s="880">
        <f>GZ83+GU83+W83+T83+R83</f>
        <v>19612053.884999998</v>
      </c>
      <c r="U86" s="881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36"/>
      <c r="AK86" s="231"/>
      <c r="AL86" s="230"/>
      <c r="AM86" s="87"/>
      <c r="AP86" s="227"/>
      <c r="AQ86" s="228"/>
      <c r="AR86" s="229"/>
      <c r="AS86" s="36"/>
      <c r="AT86" s="229"/>
      <c r="AU86" s="230"/>
      <c r="AV86" s="87"/>
      <c r="AY86" s="227"/>
      <c r="AZ86" s="228"/>
      <c r="BA86" s="229"/>
      <c r="BB86" s="36"/>
      <c r="BC86" s="231"/>
      <c r="BD86" s="230"/>
      <c r="BE86" s="87"/>
      <c r="BH86" s="227"/>
      <c r="BI86" s="228"/>
      <c r="BJ86" s="229"/>
      <c r="BK86" s="36"/>
      <c r="BL86" s="231"/>
      <c r="BM86" s="230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/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/>
      <c r="DC86" s="229"/>
      <c r="DD86" s="36"/>
      <c r="DE86" s="229"/>
      <c r="DF86" s="230"/>
      <c r="DG86" s="87"/>
      <c r="DJ86" s="227"/>
      <c r="DK86" s="228"/>
      <c r="DL86" s="229"/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/>
      <c r="ED86" s="229"/>
      <c r="EE86" s="232"/>
      <c r="EF86" s="231"/>
      <c r="EG86" s="233"/>
      <c r="EH86" s="87"/>
      <c r="EK86" s="227"/>
      <c r="EL86" s="228"/>
      <c r="EM86" s="229"/>
      <c r="EN86" s="232"/>
      <c r="EO86" s="231"/>
      <c r="EP86" s="233"/>
      <c r="EQ86" s="87"/>
      <c r="ET86" s="227"/>
      <c r="EU86" s="228"/>
      <c r="EV86" s="229"/>
      <c r="EW86" s="36"/>
      <c r="EX86" s="229"/>
      <c r="EY86" s="230"/>
      <c r="EZ86" s="87"/>
      <c r="FC86" s="227"/>
      <c r="FD86" s="228"/>
      <c r="FE86" s="229"/>
      <c r="FF86" s="36"/>
      <c r="FG86" s="229"/>
      <c r="FH86" s="230"/>
      <c r="FI86" s="87"/>
      <c r="FL86" s="227"/>
      <c r="FM86" s="228"/>
      <c r="FN86" s="229"/>
      <c r="FO86" s="36"/>
      <c r="FP86" s="229"/>
      <c r="FQ86" s="230"/>
      <c r="FR86" s="87"/>
      <c r="FU86" s="227"/>
      <c r="FV86" s="228"/>
      <c r="FW86" s="229"/>
      <c r="FX86" s="36"/>
      <c r="FY86" s="229"/>
      <c r="FZ86" s="230"/>
      <c r="GA86" s="87"/>
      <c r="GD86" s="227"/>
      <c r="GE86" s="228"/>
      <c r="GF86" s="229"/>
      <c r="GG86" s="36"/>
      <c r="GH86" s="229"/>
      <c r="GI86" s="230"/>
      <c r="GJ86" s="87"/>
      <c r="GM86" s="227"/>
      <c r="GN86" s="228"/>
      <c r="GO86" s="229"/>
      <c r="GP86" s="36"/>
      <c r="GQ86" s="229"/>
      <c r="GR86" s="230"/>
      <c r="GS86" s="87"/>
      <c r="GT86" s="187"/>
      <c r="GU86"/>
      <c r="GW86" s="235"/>
      <c r="GX86" s="235"/>
      <c r="GY86" s="236"/>
      <c r="GZ86"/>
    </row>
    <row r="87" spans="1:208" ht="16.5" thickBot="1" x14ac:dyDescent="0.3">
      <c r="D87" s="35"/>
      <c r="E87" s="36"/>
      <c r="F87" s="37"/>
      <c r="G87" s="38"/>
      <c r="H87" s="39"/>
      <c r="I87" s="40"/>
      <c r="J87" s="238"/>
      <c r="M87" s="212"/>
      <c r="O87" s="878"/>
      <c r="P87" s="879"/>
      <c r="Q87" s="879"/>
      <c r="R87" s="239"/>
      <c r="S87" s="239"/>
      <c r="T87" s="882"/>
      <c r="U87" s="883"/>
      <c r="X87" s="227"/>
      <c r="Y87" s="228"/>
      <c r="Z87" s="229"/>
      <c r="AA87" s="36"/>
      <c r="AB87" s="229"/>
      <c r="AC87" s="230"/>
      <c r="AD87" s="87"/>
      <c r="AG87" s="227"/>
      <c r="AH87" s="228"/>
      <c r="AI87" s="229"/>
      <c r="AJ87" s="36"/>
      <c r="AK87" s="231"/>
      <c r="AL87" s="230"/>
      <c r="AM87" s="87"/>
      <c r="AP87" s="227"/>
      <c r="AQ87" s="228"/>
      <c r="AR87" s="229"/>
      <c r="AS87" s="36"/>
      <c r="AT87" s="229"/>
      <c r="AU87" s="230"/>
      <c r="AV87" s="87"/>
      <c r="AY87" s="227"/>
      <c r="AZ87" s="228"/>
      <c r="BA87" s="229"/>
      <c r="BB87" s="36"/>
      <c r="BC87" s="231"/>
      <c r="BD87" s="230"/>
      <c r="BE87" s="87"/>
      <c r="BH87" s="227"/>
      <c r="BI87" s="228"/>
      <c r="BJ87" s="229"/>
      <c r="BK87" s="36"/>
      <c r="BL87" s="231"/>
      <c r="BM87" s="230"/>
      <c r="BN87" s="87"/>
      <c r="BQ87" s="227"/>
      <c r="BR87" s="228"/>
      <c r="BS87" s="229"/>
      <c r="BT87" s="36"/>
      <c r="BU87" s="229"/>
      <c r="BV87" s="230"/>
      <c r="BW87" s="87"/>
      <c r="BZ87" s="227"/>
      <c r="CA87" s="228"/>
      <c r="CB87" s="229"/>
      <c r="CC87" s="36"/>
      <c r="CD87" s="229"/>
      <c r="CE87" s="230"/>
      <c r="CF87" s="87"/>
      <c r="CI87" s="227"/>
      <c r="CJ87" s="228"/>
      <c r="CK87" s="229"/>
      <c r="CL87" s="36"/>
      <c r="CM87" s="229"/>
      <c r="CN87" s="230"/>
      <c r="CO87" s="87"/>
      <c r="CR87" s="227"/>
      <c r="CS87" s="228"/>
      <c r="CT87" s="229"/>
      <c r="CU87" s="232"/>
      <c r="CV87" s="231"/>
      <c r="CW87" s="233"/>
      <c r="CX87" s="87"/>
      <c r="DA87" s="227"/>
      <c r="DB87" s="228"/>
      <c r="DC87" s="229"/>
      <c r="DD87" s="36"/>
      <c r="DE87" s="229"/>
      <c r="DF87" s="230"/>
      <c r="DG87" s="87"/>
      <c r="DJ87" s="227"/>
      <c r="DK87" s="228"/>
      <c r="DL87" s="229"/>
      <c r="DM87" s="232"/>
      <c r="DN87" s="231"/>
      <c r="DO87" s="233"/>
      <c r="DP87" s="87"/>
      <c r="DS87" s="227"/>
      <c r="DT87" s="228"/>
      <c r="DU87" s="229"/>
      <c r="DV87" s="36"/>
      <c r="DW87" s="229"/>
      <c r="DX87" s="230"/>
      <c r="DY87" s="87"/>
      <c r="EB87" s="227"/>
      <c r="EC87" s="228"/>
      <c r="ED87" s="229"/>
      <c r="EE87" s="232"/>
      <c r="EF87" s="231"/>
      <c r="EG87" s="233"/>
      <c r="EH87" s="87"/>
      <c r="EK87" s="227"/>
      <c r="EL87" s="228"/>
      <c r="EM87" s="229"/>
      <c r="EN87" s="232"/>
      <c r="EO87" s="231"/>
      <c r="EP87" s="233"/>
      <c r="EQ87" s="87"/>
      <c r="ET87" s="227"/>
      <c r="EU87" s="228"/>
      <c r="EV87" s="229"/>
      <c r="EW87" s="36"/>
      <c r="EX87" s="229"/>
      <c r="EY87" s="230"/>
      <c r="EZ87" s="87"/>
      <c r="FC87" s="227"/>
      <c r="FD87" s="228"/>
      <c r="FE87" s="229"/>
      <c r="FF87" s="36"/>
      <c r="FG87" s="229"/>
      <c r="FH87" s="230"/>
      <c r="FI87" s="87"/>
      <c r="FL87" s="227"/>
      <c r="FM87" s="228"/>
      <c r="FN87" s="229"/>
      <c r="FO87" s="36"/>
      <c r="FP87" s="229"/>
      <c r="FQ87" s="230"/>
      <c r="FR87" s="87"/>
      <c r="FU87" s="227"/>
      <c r="FV87" s="228"/>
      <c r="FW87" s="229"/>
      <c r="FX87" s="36"/>
      <c r="FY87" s="229"/>
      <c r="FZ87" s="230"/>
      <c r="GA87" s="87"/>
      <c r="GD87" s="227"/>
      <c r="GE87" s="228"/>
      <c r="GF87" s="229"/>
      <c r="GG87" s="36"/>
      <c r="GH87" s="229"/>
      <c r="GI87" s="230"/>
      <c r="GJ87" s="87"/>
      <c r="GM87" s="227"/>
      <c r="GN87" s="228"/>
      <c r="GO87" s="229"/>
      <c r="GP87" s="36"/>
      <c r="GQ87" s="229"/>
      <c r="GR87" s="230"/>
      <c r="GS87" s="87"/>
      <c r="GT87" s="187"/>
      <c r="GU87"/>
      <c r="GW87" s="235"/>
      <c r="GX87" s="235"/>
      <c r="GY87" s="236"/>
      <c r="GZ87"/>
    </row>
    <row r="88" spans="1:208" ht="16.5" thickTop="1" x14ac:dyDescent="0.25">
      <c r="D88" s="35"/>
      <c r="E88" s="36"/>
      <c r="F88" s="37"/>
      <c r="G88" s="38"/>
      <c r="H88" s="39"/>
      <c r="I88" s="40"/>
      <c r="J88" s="238"/>
      <c r="M88" s="212"/>
      <c r="O88" s="224"/>
      <c r="P88" s="225"/>
      <c r="Q88" s="226"/>
      <c r="R88" s="226"/>
      <c r="S88" s="226"/>
      <c r="T88" s="39"/>
      <c r="U88" s="217"/>
      <c r="X88" s="227"/>
      <c r="Y88" s="228"/>
      <c r="Z88" s="229"/>
      <c r="AA88" s="36"/>
      <c r="AB88" s="229"/>
      <c r="AC88" s="230"/>
      <c r="AD88" s="87"/>
      <c r="AG88" s="227"/>
      <c r="AH88" s="228"/>
      <c r="AI88" s="229"/>
      <c r="AJ88" s="36"/>
      <c r="AK88" s="231"/>
      <c r="AL88" s="230"/>
      <c r="AM88" s="87"/>
      <c r="AP88" s="227"/>
      <c r="AQ88" s="228"/>
      <c r="AR88" s="229"/>
      <c r="AS88" s="36"/>
      <c r="AT88" s="229"/>
      <c r="AU88" s="230"/>
      <c r="AV88" s="87"/>
      <c r="AY88" s="227"/>
      <c r="AZ88" s="228"/>
      <c r="BA88" s="229"/>
      <c r="BB88" s="36"/>
      <c r="BC88" s="231"/>
      <c r="BD88" s="230"/>
      <c r="BE88" s="87"/>
      <c r="BH88" s="227"/>
      <c r="BI88" s="228"/>
      <c r="BJ88" s="229"/>
      <c r="BK88" s="36"/>
      <c r="BL88" s="231"/>
      <c r="BM88" s="230"/>
      <c r="BN88" s="87"/>
      <c r="BQ88" s="227"/>
      <c r="BR88" s="228"/>
      <c r="BS88" s="229"/>
      <c r="BT88" s="36"/>
      <c r="BU88" s="229"/>
      <c r="BV88" s="230"/>
      <c r="BW88" s="87"/>
      <c r="BZ88" s="227"/>
      <c r="CA88" s="228"/>
      <c r="CB88" s="229"/>
      <c r="CC88" s="36"/>
      <c r="CD88" s="229"/>
      <c r="CE88" s="230"/>
      <c r="CF88" s="87"/>
      <c r="CI88" s="227"/>
      <c r="CJ88" s="228"/>
      <c r="CK88" s="229"/>
      <c r="CL88" s="36"/>
      <c r="CM88" s="229"/>
      <c r="CN88" s="230"/>
      <c r="CO88" s="87"/>
      <c r="CR88" s="227"/>
      <c r="CS88" s="228"/>
      <c r="CT88" s="229"/>
      <c r="CU88" s="232"/>
      <c r="CV88" s="231"/>
      <c r="CW88" s="233"/>
      <c r="CX88" s="87"/>
      <c r="DA88" s="227"/>
      <c r="DB88" s="228"/>
      <c r="DC88" s="229"/>
      <c r="DD88" s="36"/>
      <c r="DE88" s="229"/>
      <c r="DF88" s="230"/>
      <c r="DG88" s="87"/>
      <c r="DJ88" s="227"/>
      <c r="DK88" s="228"/>
      <c r="DL88" s="229"/>
      <c r="DM88" s="232"/>
      <c r="DN88" s="231"/>
      <c r="DO88" s="233"/>
      <c r="DP88" s="87"/>
      <c r="DS88" s="227"/>
      <c r="DT88" s="228"/>
      <c r="DU88" s="229"/>
      <c r="DV88" s="36"/>
      <c r="DW88" s="229"/>
      <c r="DX88" s="230"/>
      <c r="DY88" s="87"/>
      <c r="EB88" s="227"/>
      <c r="EC88" s="228"/>
      <c r="ED88" s="229"/>
      <c r="EE88" s="232"/>
      <c r="EF88" s="231"/>
      <c r="EG88" s="233"/>
      <c r="EH88" s="87"/>
      <c r="EK88" s="227"/>
      <c r="EL88" s="228"/>
      <c r="EM88" s="229"/>
      <c r="EN88" s="232"/>
      <c r="EO88" s="231"/>
      <c r="EP88" s="233"/>
      <c r="EQ88" s="87"/>
      <c r="ET88" s="227"/>
      <c r="EU88" s="228"/>
      <c r="EV88" s="229"/>
      <c r="EW88" s="36"/>
      <c r="EX88" s="229"/>
      <c r="EY88" s="230"/>
      <c r="EZ88" s="87"/>
      <c r="FC88" s="227"/>
      <c r="FD88" s="228"/>
      <c r="FE88" s="229"/>
      <c r="FF88" s="36"/>
      <c r="FG88" s="229"/>
      <c r="FH88" s="230"/>
      <c r="FI88" s="87"/>
      <c r="FL88" s="227"/>
      <c r="FM88" s="228"/>
      <c r="FN88" s="229"/>
      <c r="FO88" s="36"/>
      <c r="FP88" s="229"/>
      <c r="FQ88" s="230"/>
      <c r="FR88" s="87"/>
      <c r="FU88" s="227"/>
      <c r="FV88" s="228"/>
      <c r="FW88" s="229"/>
      <c r="FX88" s="36"/>
      <c r="FY88" s="229"/>
      <c r="FZ88" s="230"/>
      <c r="GA88" s="87"/>
      <c r="GD88" s="227"/>
      <c r="GE88" s="228"/>
      <c r="GF88" s="229"/>
      <c r="GG88" s="36"/>
      <c r="GH88" s="229"/>
      <c r="GI88" s="230"/>
      <c r="GJ88" s="87"/>
      <c r="GM88" s="227"/>
      <c r="GN88" s="228"/>
      <c r="GO88" s="229"/>
      <c r="GP88" s="36"/>
      <c r="GQ88" s="229"/>
      <c r="GR88" s="230"/>
      <c r="GS88" s="87"/>
      <c r="GT88" s="187"/>
      <c r="GU88"/>
      <c r="GW88" s="235"/>
      <c r="GX88" s="235"/>
      <c r="GY88" s="236"/>
      <c r="GZ88"/>
    </row>
    <row r="89" spans="1:208" x14ac:dyDescent="0.25">
      <c r="D89" s="35"/>
      <c r="E89" s="36"/>
      <c r="F89" s="37"/>
      <c r="G89" s="38"/>
      <c r="H89" s="39"/>
      <c r="I89" s="40"/>
      <c r="J89" s="177"/>
      <c r="M89" s="212"/>
      <c r="O89" s="224"/>
      <c r="P89" s="225"/>
      <c r="Q89" s="226"/>
      <c r="R89" s="226"/>
      <c r="S89" s="226"/>
      <c r="T89" s="39"/>
      <c r="U89" s="217"/>
      <c r="X89" s="227"/>
      <c r="Y89" s="228"/>
      <c r="Z89" s="229"/>
      <c r="AA89" s="36"/>
      <c r="AB89" s="229"/>
      <c r="AC89" s="230"/>
      <c r="AD89" s="87"/>
      <c r="AG89" s="227"/>
      <c r="AH89" s="228"/>
      <c r="AI89" s="229"/>
      <c r="AJ89" s="36"/>
      <c r="AK89" s="231"/>
      <c r="AL89" s="230"/>
      <c r="AM89" s="87"/>
      <c r="AP89" s="227"/>
      <c r="AQ89" s="228"/>
      <c r="AR89" s="229"/>
      <c r="AS89" s="36"/>
      <c r="AT89" s="229"/>
      <c r="AU89" s="230"/>
      <c r="AV89" s="87"/>
      <c r="AY89" s="227"/>
      <c r="AZ89" s="228"/>
      <c r="BA89" s="229"/>
      <c r="BB89" s="36"/>
      <c r="BC89" s="231"/>
      <c r="BD89" s="230"/>
      <c r="BE89" s="87"/>
      <c r="BH89" s="227"/>
      <c r="BI89" s="228"/>
      <c r="BJ89" s="229"/>
      <c r="BK89" s="36"/>
      <c r="BL89" s="231"/>
      <c r="BM89" s="230"/>
      <c r="BN89" s="87"/>
      <c r="BQ89" s="227"/>
      <c r="BR89" s="228"/>
      <c r="BS89" s="229"/>
      <c r="BT89" s="36"/>
      <c r="BU89" s="229"/>
      <c r="BV89" s="230"/>
      <c r="BW89" s="87"/>
      <c r="BZ89" s="227"/>
      <c r="CA89" s="228"/>
      <c r="CB89" s="229"/>
      <c r="CC89" s="36"/>
      <c r="CD89" s="229"/>
      <c r="CE89" s="230"/>
      <c r="CF89" s="87"/>
      <c r="CI89" s="227"/>
      <c r="CJ89" s="228"/>
      <c r="CK89" s="229"/>
      <c r="CL89" s="36"/>
      <c r="CM89" s="229"/>
      <c r="CN89" s="230"/>
      <c r="CO89" s="87"/>
      <c r="CR89" s="227"/>
      <c r="CS89" s="228"/>
      <c r="CT89" s="229"/>
      <c r="CU89" s="232"/>
      <c r="CV89" s="231"/>
      <c r="CW89" s="233"/>
      <c r="CX89" s="87"/>
      <c r="DA89" s="227"/>
      <c r="DB89" s="228"/>
      <c r="DC89" s="229"/>
      <c r="DD89" s="36"/>
      <c r="DE89" s="229"/>
      <c r="DF89" s="230"/>
      <c r="DG89" s="87"/>
      <c r="DJ89" s="227"/>
      <c r="DK89" s="228"/>
      <c r="DL89" s="229"/>
      <c r="DM89" s="232"/>
      <c r="DN89" s="231"/>
      <c r="DO89" s="233"/>
      <c r="DP89" s="87"/>
      <c r="DS89" s="227"/>
      <c r="DT89" s="228"/>
      <c r="DU89" s="229"/>
      <c r="DV89" s="36"/>
      <c r="DW89" s="229"/>
      <c r="DX89" s="230"/>
      <c r="DY89" s="87"/>
      <c r="EB89" s="227"/>
      <c r="EC89" s="228"/>
      <c r="ED89" s="229"/>
      <c r="EE89" s="232"/>
      <c r="EF89" s="231"/>
      <c r="EG89" s="233"/>
      <c r="EH89" s="87"/>
      <c r="EK89" s="227"/>
      <c r="EL89" s="228"/>
      <c r="EM89" s="229"/>
      <c r="EN89" s="232"/>
      <c r="EO89" s="231"/>
      <c r="EP89" s="233"/>
      <c r="EQ89" s="87"/>
      <c r="ET89" s="227"/>
      <c r="EU89" s="228"/>
      <c r="EV89" s="229"/>
      <c r="EW89" s="36"/>
      <c r="EX89" s="229"/>
      <c r="EY89" s="230"/>
      <c r="EZ89" s="87"/>
      <c r="FC89" s="227"/>
      <c r="FD89" s="228"/>
      <c r="FE89" s="229"/>
      <c r="FF89" s="36"/>
      <c r="FG89" s="229"/>
      <c r="FH89" s="230"/>
      <c r="FI89" s="87"/>
      <c r="FL89" s="227"/>
      <c r="FM89" s="228"/>
      <c r="FN89" s="229"/>
      <c r="FO89" s="36"/>
      <c r="FP89" s="229"/>
      <c r="FQ89" s="230"/>
      <c r="FR89" s="87"/>
      <c r="FU89" s="227"/>
      <c r="FV89" s="228"/>
      <c r="FW89" s="229"/>
      <c r="FX89" s="36"/>
      <c r="FY89" s="229"/>
      <c r="FZ89" s="230"/>
      <c r="GA89" s="87"/>
      <c r="GD89" s="227"/>
      <c r="GE89" s="228"/>
      <c r="GF89" s="229"/>
      <c r="GG89" s="36"/>
      <c r="GH89" s="229"/>
      <c r="GI89" s="230"/>
      <c r="GJ89" s="87"/>
      <c r="GM89" s="227"/>
      <c r="GN89" s="228"/>
      <c r="GO89" s="229"/>
      <c r="GP89" s="36"/>
      <c r="GQ89" s="229"/>
      <c r="GR89" s="230"/>
      <c r="GS89" s="87"/>
      <c r="GT89" s="187"/>
      <c r="GU89"/>
      <c r="GW89" s="235"/>
      <c r="GX89" s="235"/>
      <c r="GY89" s="236"/>
      <c r="GZ89"/>
    </row>
    <row r="90" spans="1:208" x14ac:dyDescent="0.25">
      <c r="A90" s="1">
        <v>25</v>
      </c>
      <c r="B90" t="e">
        <f>#REF!</f>
        <v>#REF!</v>
      </c>
      <c r="C90" t="e">
        <f>#REF!</f>
        <v>#REF!</v>
      </c>
      <c r="D90" s="35" t="e">
        <f>#REF!</f>
        <v>#REF!</v>
      </c>
      <c r="E90" s="36" t="e">
        <f>#REF!</f>
        <v>#REF!</v>
      </c>
      <c r="F90" s="37" t="e">
        <f>#REF!</f>
        <v>#REF!</v>
      </c>
      <c r="G90" s="38" t="e">
        <f>#REF!</f>
        <v>#REF!</v>
      </c>
      <c r="H90" s="39" t="e">
        <f>#REF!</f>
        <v>#REF!</v>
      </c>
      <c r="I90" s="40" t="e">
        <f>#REF!</f>
        <v>#REF!</v>
      </c>
      <c r="J90" s="177"/>
      <c r="M90" s="212"/>
      <c r="O90" s="224"/>
      <c r="P90" s="240"/>
      <c r="Q90" s="226"/>
      <c r="R90" s="226"/>
      <c r="S90" s="226"/>
      <c r="T90" s="39"/>
      <c r="U90" s="241"/>
      <c r="X90" s="227"/>
      <c r="Y90" s="228"/>
      <c r="Z90" s="229"/>
      <c r="AA90" s="198"/>
      <c r="AB90" s="197"/>
      <c r="AC90" s="199"/>
      <c r="AD90" s="200"/>
      <c r="AG90" s="227"/>
      <c r="AH90" s="228"/>
      <c r="AI90" s="229"/>
      <c r="AJ90" s="232"/>
      <c r="AK90" s="231"/>
      <c r="AL90" s="233"/>
      <c r="AM90" s="87"/>
      <c r="AP90" s="227"/>
      <c r="AQ90" s="228">
        <v>21</v>
      </c>
      <c r="AR90" s="229"/>
      <c r="AS90" s="232"/>
      <c r="AT90" s="229"/>
      <c r="AU90" s="233"/>
      <c r="AV90" s="87"/>
      <c r="AY90" s="227"/>
      <c r="AZ90" s="228">
        <v>21</v>
      </c>
      <c r="BA90" s="229"/>
      <c r="BB90" s="232"/>
      <c r="BC90" s="231"/>
      <c r="BD90" s="233"/>
      <c r="BE90" s="87"/>
      <c r="BH90" s="227"/>
      <c r="BI90" s="228"/>
      <c r="BJ90" s="229"/>
      <c r="BK90" s="232"/>
      <c r="BL90" s="231"/>
      <c r="BM90" s="233"/>
      <c r="BN90" s="87"/>
      <c r="BQ90" s="227"/>
      <c r="BR90" s="228"/>
      <c r="BS90" s="229"/>
      <c r="BT90" s="36"/>
      <c r="BU90" s="229"/>
      <c r="BV90" s="230"/>
      <c r="BW90" s="87"/>
      <c r="BZ90" s="227"/>
      <c r="CA90" s="228"/>
      <c r="CB90" s="229"/>
      <c r="CC90" s="36"/>
      <c r="CD90" s="229"/>
      <c r="CE90" s="230"/>
      <c r="CF90" s="87"/>
      <c r="CI90" s="227"/>
      <c r="CJ90" s="228">
        <v>21</v>
      </c>
      <c r="CK90" s="229"/>
      <c r="CL90" s="36"/>
      <c r="CM90" s="229"/>
      <c r="CN90" s="230"/>
      <c r="CO90" s="87"/>
      <c r="CR90" s="227"/>
      <c r="CS90" s="228"/>
      <c r="CT90" s="229"/>
      <c r="CU90" s="232"/>
      <c r="CV90" s="231"/>
      <c r="CW90" s="233"/>
      <c r="CX90" s="87"/>
      <c r="DA90" s="227"/>
      <c r="DB90" s="228">
        <v>21</v>
      </c>
      <c r="DC90" s="229"/>
      <c r="DD90" s="36"/>
      <c r="DE90" s="229"/>
      <c r="DF90" s="230"/>
      <c r="DG90" s="87"/>
      <c r="DJ90" s="227"/>
      <c r="DK90" s="228"/>
      <c r="DL90" s="229"/>
      <c r="DM90" s="232"/>
      <c r="DN90" s="231"/>
      <c r="DO90" s="233"/>
      <c r="DP90" s="87"/>
      <c r="DS90" s="227"/>
      <c r="DT90" s="228"/>
      <c r="DU90" s="229"/>
      <c r="DV90" s="36"/>
      <c r="DW90" s="229"/>
      <c r="DX90" s="230"/>
      <c r="DY90" s="87"/>
      <c r="EB90" s="227"/>
      <c r="EC90" s="228">
        <v>21</v>
      </c>
      <c r="ED90" s="229"/>
      <c r="EE90" s="232"/>
      <c r="EF90" s="231"/>
      <c r="EG90" s="233"/>
      <c r="EH90" s="87"/>
      <c r="EK90" s="227"/>
      <c r="EL90" s="228">
        <v>21</v>
      </c>
      <c r="EM90" s="229"/>
      <c r="EN90" s="232"/>
      <c r="EO90" s="231"/>
      <c r="EP90" s="233"/>
      <c r="EQ90" s="87"/>
      <c r="ET90" s="227"/>
      <c r="EU90" s="228">
        <v>21</v>
      </c>
      <c r="EV90" s="229"/>
      <c r="EW90" s="36"/>
      <c r="EX90" s="229"/>
      <c r="EY90" s="230"/>
      <c r="EZ90" s="87"/>
      <c r="FC90" s="227"/>
      <c r="FD90" s="228">
        <v>21</v>
      </c>
      <c r="FE90" s="229"/>
      <c r="FF90" s="36"/>
      <c r="FG90" s="229"/>
      <c r="FH90" s="230"/>
      <c r="FI90" s="87"/>
      <c r="FL90" s="227"/>
      <c r="FM90" s="228">
        <v>21</v>
      </c>
      <c r="FN90" s="229"/>
      <c r="FO90" s="36"/>
      <c r="FP90" s="229"/>
      <c r="FQ90" s="230"/>
      <c r="FR90" s="87"/>
      <c r="FU90" s="227"/>
      <c r="FV90" s="228">
        <v>21</v>
      </c>
      <c r="FW90" s="229"/>
      <c r="FX90" s="36"/>
      <c r="FY90" s="229"/>
      <c r="FZ90" s="230"/>
      <c r="GA90" s="87"/>
      <c r="GD90" s="227"/>
      <c r="GE90" s="228">
        <v>21</v>
      </c>
      <c r="GF90" s="229"/>
      <c r="GG90" s="36"/>
      <c r="GH90" s="229"/>
      <c r="GI90" s="230"/>
      <c r="GJ90" s="87"/>
      <c r="GM90" s="227"/>
      <c r="GN90" s="228">
        <v>21</v>
      </c>
      <c r="GO90" s="229"/>
      <c r="GP90" s="36"/>
      <c r="GQ90" s="229"/>
      <c r="GR90" s="230"/>
      <c r="GS90" s="87"/>
      <c r="GT90" s="187"/>
      <c r="GU90"/>
      <c r="GW90" s="235"/>
      <c r="GX90" s="235"/>
      <c r="GY90" s="236"/>
      <c r="GZ90"/>
    </row>
    <row r="91" spans="1:208" x14ac:dyDescent="0.25">
      <c r="A91" s="1">
        <v>26</v>
      </c>
      <c r="B91" t="e">
        <f>#REF!</f>
        <v>#REF!</v>
      </c>
      <c r="C91" t="e">
        <f>#REF!</f>
        <v>#REF!</v>
      </c>
      <c r="D91" s="35" t="e">
        <f>#REF!</f>
        <v>#REF!</v>
      </c>
      <c r="E91" s="36" t="e">
        <f>#REF!</f>
        <v>#REF!</v>
      </c>
      <c r="F91" s="37" t="e">
        <f>#REF!</f>
        <v>#REF!</v>
      </c>
      <c r="G91" s="38" t="e">
        <f>#REF!</f>
        <v>#REF!</v>
      </c>
      <c r="H91" s="39" t="e">
        <f>#REF!</f>
        <v>#REF!</v>
      </c>
      <c r="I91" s="40" t="e">
        <f>#REF!</f>
        <v>#REF!</v>
      </c>
      <c r="J91" s="238"/>
      <c r="M91" s="212"/>
      <c r="T91" s="39"/>
      <c r="U91" s="242"/>
      <c r="X91" s="227"/>
      <c r="Y91" s="228"/>
      <c r="Z91" s="229"/>
      <c r="AA91" s="36"/>
      <c r="AB91" s="229"/>
      <c r="AC91" s="230"/>
      <c r="AD91" s="87"/>
      <c r="AG91" s="227"/>
      <c r="AH91" s="228"/>
      <c r="AI91" s="229"/>
      <c r="AJ91" s="232"/>
      <c r="AK91" s="231"/>
      <c r="AL91" s="233"/>
      <c r="AM91" s="87"/>
      <c r="AP91" s="227"/>
      <c r="AQ91" s="228">
        <v>22</v>
      </c>
      <c r="AR91" s="231"/>
      <c r="AS91" s="232"/>
      <c r="AT91" s="229"/>
      <c r="AU91" s="233"/>
      <c r="AV91" s="87"/>
      <c r="AY91" s="227"/>
      <c r="AZ91" s="228">
        <v>22</v>
      </c>
      <c r="BA91" s="229"/>
      <c r="BB91" s="232"/>
      <c r="BC91" s="231"/>
      <c r="BD91" s="233"/>
      <c r="BE91" s="87"/>
      <c r="BH91" s="227"/>
      <c r="BI91" s="228"/>
      <c r="BJ91" s="229"/>
      <c r="BK91" s="232"/>
      <c r="BL91" s="231"/>
      <c r="BM91" s="233"/>
      <c r="BN91" s="87"/>
      <c r="BQ91" s="227"/>
      <c r="BR91" s="228"/>
      <c r="BS91" s="229"/>
      <c r="BT91" s="36"/>
      <c r="BU91" s="229"/>
      <c r="BV91" s="230"/>
      <c r="BW91" s="87"/>
      <c r="BZ91" s="227"/>
      <c r="CA91" s="228"/>
      <c r="CB91" s="229"/>
      <c r="CC91" s="36"/>
      <c r="CD91" s="229"/>
      <c r="CE91" s="230"/>
      <c r="CF91" s="87"/>
      <c r="CI91" s="227"/>
      <c r="CJ91" s="228">
        <v>22</v>
      </c>
      <c r="CK91" s="229"/>
      <c r="CL91" s="36"/>
      <c r="CM91" s="229"/>
      <c r="CN91" s="230"/>
      <c r="CO91" s="87"/>
      <c r="CR91" s="227"/>
      <c r="CS91" s="228"/>
      <c r="CT91" s="229"/>
      <c r="CU91" s="232"/>
      <c r="CV91" s="231"/>
      <c r="CW91" s="233"/>
      <c r="CX91" s="87"/>
      <c r="DA91" s="227"/>
      <c r="DB91" s="228">
        <v>22</v>
      </c>
      <c r="DC91" s="229"/>
      <c r="DD91" s="232"/>
      <c r="DE91" s="231"/>
      <c r="DF91" s="233"/>
      <c r="DG91" s="87"/>
      <c r="DJ91" s="227"/>
      <c r="DK91" s="228"/>
      <c r="DL91" s="229">
        <v>0</v>
      </c>
      <c r="DM91" s="232"/>
      <c r="DN91" s="231"/>
      <c r="DO91" s="233"/>
      <c r="DP91" s="87"/>
      <c r="DS91" s="227"/>
      <c r="DT91" s="228"/>
      <c r="DU91" s="229"/>
      <c r="DV91" s="36"/>
      <c r="DW91" s="229"/>
      <c r="DX91" s="230"/>
      <c r="DY91" s="87"/>
      <c r="EB91" s="227"/>
      <c r="EC91" s="228">
        <v>22</v>
      </c>
      <c r="ED91" s="229"/>
      <c r="EE91" s="232"/>
      <c r="EF91" s="231"/>
      <c r="EG91" s="233"/>
      <c r="EH91" s="87"/>
      <c r="EK91" s="227"/>
      <c r="EL91" s="228">
        <v>22</v>
      </c>
      <c r="EM91" s="229"/>
      <c r="EN91" s="232"/>
      <c r="EO91" s="231"/>
      <c r="EP91" s="233"/>
      <c r="EQ91" s="87"/>
      <c r="ET91" s="227"/>
      <c r="EU91" s="228">
        <v>22</v>
      </c>
      <c r="EV91" s="229"/>
      <c r="EW91" s="36"/>
      <c r="EX91" s="229"/>
      <c r="EY91" s="230"/>
      <c r="EZ91" s="87"/>
      <c r="FC91" s="227"/>
      <c r="FD91" s="228">
        <v>22</v>
      </c>
      <c r="FE91" s="229"/>
      <c r="FF91" s="36"/>
      <c r="FG91" s="229"/>
      <c r="FH91" s="230"/>
      <c r="FI91" s="87"/>
      <c r="FL91" s="227"/>
      <c r="FM91" s="228">
        <v>22</v>
      </c>
      <c r="FN91" s="229"/>
      <c r="FO91" s="36"/>
      <c r="FP91" s="229"/>
      <c r="FQ91" s="230"/>
      <c r="FR91" s="87"/>
      <c r="FU91" s="227"/>
      <c r="FV91" s="228">
        <v>22</v>
      </c>
      <c r="FW91" s="229"/>
      <c r="FX91" s="36"/>
      <c r="FY91" s="229"/>
      <c r="FZ91" s="230"/>
      <c r="GA91" s="87"/>
      <c r="GD91" s="227"/>
      <c r="GE91" s="228">
        <v>22</v>
      </c>
      <c r="GF91" s="229"/>
      <c r="GG91" s="36"/>
      <c r="GH91" s="229"/>
      <c r="GI91" s="230"/>
      <c r="GJ91" s="87"/>
      <c r="GM91" s="227"/>
      <c r="GN91" s="228">
        <v>22</v>
      </c>
      <c r="GO91" s="229"/>
      <c r="GP91" s="36"/>
      <c r="GQ91" s="229"/>
      <c r="GR91" s="230"/>
      <c r="GS91" s="87"/>
      <c r="GT91" s="187"/>
      <c r="GU91"/>
      <c r="GW91" s="235"/>
      <c r="GX91" s="235"/>
      <c r="GY91" s="236"/>
      <c r="GZ91"/>
    </row>
    <row r="92" spans="1:208" ht="16.5" thickBot="1" x14ac:dyDescent="0.3">
      <c r="A92" s="1">
        <v>27</v>
      </c>
      <c r="B92" t="e">
        <f>#REF!</f>
        <v>#REF!</v>
      </c>
      <c r="C92" t="e">
        <f>#REF!</f>
        <v>#REF!</v>
      </c>
      <c r="D92" s="35" t="e">
        <f>#REF!</f>
        <v>#REF!</v>
      </c>
      <c r="E92" s="36" t="e">
        <f>#REF!</f>
        <v>#REF!</v>
      </c>
      <c r="F92" s="37" t="e">
        <f>#REF!</f>
        <v>#REF!</v>
      </c>
      <c r="G92" s="38" t="e">
        <f>#REF!</f>
        <v>#REF!</v>
      </c>
      <c r="H92" s="39" t="e">
        <f>#REF!</f>
        <v>#REF!</v>
      </c>
      <c r="I92" s="40" t="e">
        <f>#REF!</f>
        <v>#REF!</v>
      </c>
      <c r="J92" s="238"/>
      <c r="U92" s="242"/>
      <c r="X92" s="227"/>
      <c r="Y92" s="228"/>
      <c r="Z92" s="231"/>
      <c r="AA92" s="36"/>
      <c r="AB92" s="229"/>
      <c r="AC92" s="230"/>
      <c r="AD92" s="87"/>
      <c r="AG92" s="243"/>
      <c r="AH92" s="244"/>
      <c r="AI92" s="245"/>
      <c r="AJ92" s="246"/>
      <c r="AK92" s="247"/>
      <c r="AL92" s="248"/>
      <c r="AP92" s="227"/>
      <c r="AQ92" s="228">
        <v>23</v>
      </c>
      <c r="AR92" s="231"/>
      <c r="AS92" s="232"/>
      <c r="AT92" s="229"/>
      <c r="AU92" s="230"/>
      <c r="AV92" s="87"/>
      <c r="AY92" s="227"/>
      <c r="AZ92" s="228"/>
      <c r="BA92" s="231"/>
      <c r="BB92" s="232"/>
      <c r="BC92" s="249"/>
      <c r="BD92" s="230"/>
      <c r="BE92" s="87"/>
      <c r="BH92" s="243"/>
      <c r="BI92" s="250"/>
      <c r="BJ92" s="245"/>
      <c r="BK92" s="251"/>
      <c r="BL92" s="247"/>
      <c r="BM92" s="252"/>
      <c r="BN92" s="87"/>
      <c r="BR92" s="228"/>
      <c r="BS92" s="231"/>
      <c r="BT92" s="36"/>
      <c r="BU92" s="231"/>
      <c r="BV92" s="230"/>
      <c r="BW92" s="87"/>
      <c r="BZ92" s="243"/>
      <c r="CA92" s="253"/>
      <c r="CB92" s="245"/>
      <c r="CC92" s="246"/>
      <c r="CD92" s="247"/>
      <c r="CE92" s="248"/>
      <c r="CI92" s="227"/>
      <c r="CJ92" s="228">
        <v>23</v>
      </c>
      <c r="CK92" s="231"/>
      <c r="CM92" s="231"/>
      <c r="CR92" s="243"/>
      <c r="CS92" s="253"/>
      <c r="CT92" s="245">
        <v>0</v>
      </c>
      <c r="CU92" s="246"/>
      <c r="CV92" s="247">
        <v>0</v>
      </c>
      <c r="CW92" s="248"/>
      <c r="DA92" s="243"/>
      <c r="DB92" s="253"/>
      <c r="DC92" s="245">
        <v>0</v>
      </c>
      <c r="DD92" s="246"/>
      <c r="DE92" s="247">
        <v>0</v>
      </c>
      <c r="DF92" s="248"/>
      <c r="DJ92" s="243"/>
      <c r="DK92" s="253"/>
      <c r="DL92" s="245">
        <v>0</v>
      </c>
      <c r="DM92" s="246"/>
      <c r="DN92" s="247">
        <v>0</v>
      </c>
      <c r="DO92" s="248"/>
      <c r="DS92" s="243"/>
      <c r="DT92" s="253"/>
      <c r="DU92" s="245">
        <v>0</v>
      </c>
      <c r="DV92" s="246"/>
      <c r="DW92" s="247">
        <v>0</v>
      </c>
      <c r="DX92" s="248"/>
      <c r="EB92" s="243"/>
      <c r="EC92" s="253"/>
      <c r="ED92" s="245">
        <v>0</v>
      </c>
      <c r="EE92" s="246"/>
      <c r="EF92" s="247">
        <v>0</v>
      </c>
      <c r="EG92" s="248"/>
      <c r="EK92" s="243"/>
      <c r="EL92" s="253"/>
      <c r="EM92" s="245">
        <v>0</v>
      </c>
      <c r="EN92" s="246"/>
      <c r="EO92" s="247">
        <v>0</v>
      </c>
      <c r="EP92" s="248"/>
      <c r="ET92" s="243"/>
      <c r="EU92" s="253"/>
      <c r="EV92" s="245">
        <v>0</v>
      </c>
      <c r="EW92" s="246"/>
      <c r="EX92" s="247">
        <v>0</v>
      </c>
      <c r="EY92" s="248"/>
      <c r="FC92" s="243"/>
      <c r="FD92" s="253"/>
      <c r="FE92" s="245">
        <v>0</v>
      </c>
      <c r="FF92" s="246"/>
      <c r="FG92" s="247">
        <v>0</v>
      </c>
      <c r="FH92" s="248"/>
      <c r="FL92" s="243"/>
      <c r="FM92" s="253"/>
      <c r="FN92" s="245">
        <v>0</v>
      </c>
      <c r="FO92" s="246"/>
      <c r="FP92" s="247">
        <v>0</v>
      </c>
      <c r="FQ92" s="248"/>
      <c r="FU92" s="243"/>
      <c r="FV92" s="253"/>
      <c r="FW92" s="245">
        <v>0</v>
      </c>
      <c r="FX92" s="246"/>
      <c r="FY92" s="247">
        <v>0</v>
      </c>
      <c r="FZ92" s="248"/>
      <c r="GD92" s="243"/>
      <c r="GE92" s="253"/>
      <c r="GF92" s="245">
        <v>0</v>
      </c>
      <c r="GG92" s="246"/>
      <c r="GH92" s="247">
        <v>0</v>
      </c>
      <c r="GI92" s="248"/>
      <c r="GM92" s="243"/>
      <c r="GN92" s="253"/>
      <c r="GO92" s="245">
        <v>0</v>
      </c>
      <c r="GP92" s="246"/>
      <c r="GQ92" s="247">
        <v>0</v>
      </c>
      <c r="GR92" s="248"/>
      <c r="GU92"/>
      <c r="GW92" s="235"/>
      <c r="GX92" s="235"/>
      <c r="GY92" s="236"/>
      <c r="GZ92"/>
    </row>
    <row r="93" spans="1:208" x14ac:dyDescent="0.25">
      <c r="J93" s="177"/>
      <c r="K93" s="452"/>
      <c r="T93" s="39"/>
      <c r="U93" s="217"/>
      <c r="GU93"/>
      <c r="GW93" s="235"/>
      <c r="GX93" s="235"/>
      <c r="GY93" s="236"/>
      <c r="GZ93"/>
    </row>
    <row r="94" spans="1:208" x14ac:dyDescent="0.25">
      <c r="J94" s="238"/>
      <c r="K94" s="452"/>
      <c r="T94" s="39"/>
      <c r="U94" s="217"/>
      <c r="GU94"/>
      <c r="GW94" s="235"/>
      <c r="GX94" s="235"/>
      <c r="GY94" s="236"/>
      <c r="GZ94"/>
    </row>
    <row r="95" spans="1:208" x14ac:dyDescent="0.25">
      <c r="J95" s="177"/>
      <c r="K95" s="452"/>
      <c r="O95" s="224"/>
      <c r="P95" s="225"/>
      <c r="Q95" s="226"/>
      <c r="R95" s="226"/>
      <c r="S95" s="226"/>
      <c r="T95" s="39"/>
      <c r="U95" s="217"/>
      <c r="GU95"/>
      <c r="GW95" s="235"/>
      <c r="GX95" s="235"/>
      <c r="GY95" s="236"/>
      <c r="GZ95"/>
    </row>
    <row r="96" spans="1:208" x14ac:dyDescent="0.25">
      <c r="J96" s="238"/>
      <c r="K96" s="452"/>
      <c r="M96" s="212"/>
      <c r="O96" s="224"/>
      <c r="P96" s="225"/>
      <c r="Q96" s="226"/>
      <c r="R96" s="226"/>
      <c r="S96" s="226"/>
      <c r="T96" s="39"/>
      <c r="U96" s="217"/>
      <c r="GU96"/>
      <c r="GW96" s="235"/>
      <c r="GX96" s="235"/>
      <c r="GY96" s="236"/>
      <c r="GZ96"/>
    </row>
    <row r="97" spans="1:208" x14ac:dyDescent="0.25">
      <c r="J97" s="177"/>
      <c r="K97" s="452"/>
      <c r="M97" s="212"/>
      <c r="O97" s="884"/>
      <c r="P97" s="884"/>
      <c r="Q97" s="884"/>
      <c r="T97" s="39"/>
      <c r="U97" s="217"/>
      <c r="GU97"/>
      <c r="GW97" s="235"/>
      <c r="GX97" s="235"/>
      <c r="GY97" s="236"/>
      <c r="GZ97"/>
    </row>
    <row r="98" spans="1:208" x14ac:dyDescent="0.25">
      <c r="J98" s="238"/>
      <c r="GU98"/>
      <c r="GW98" s="235"/>
      <c r="GX98" s="235"/>
      <c r="GY98" s="236"/>
      <c r="GZ98"/>
    </row>
    <row r="99" spans="1:208" x14ac:dyDescent="0.25">
      <c r="J99" s="177"/>
      <c r="GU99"/>
      <c r="GW99" s="235"/>
      <c r="GX99" s="235"/>
      <c r="GY99" s="236"/>
      <c r="GZ99"/>
    </row>
    <row r="100" spans="1:208" x14ac:dyDescent="0.25">
      <c r="A100"/>
      <c r="F100"/>
      <c r="J100" s="177"/>
      <c r="K100" s="453"/>
      <c r="L100"/>
      <c r="M100"/>
      <c r="N100"/>
      <c r="O100" s="37"/>
      <c r="P100"/>
      <c r="Q100"/>
      <c r="R100"/>
      <c r="S100"/>
      <c r="V100"/>
      <c r="W100"/>
      <c r="GU100"/>
      <c r="GW100" s="235"/>
      <c r="GX100" s="235"/>
      <c r="GY100" s="236"/>
      <c r="GZ100"/>
    </row>
    <row r="101" spans="1:208" x14ac:dyDescent="0.25">
      <c r="A101"/>
      <c r="F101"/>
      <c r="J101" s="238"/>
      <c r="K101" s="453"/>
      <c r="L101"/>
      <c r="M101"/>
      <c r="N101"/>
      <c r="O101" s="37"/>
      <c r="P101"/>
      <c r="Q101"/>
      <c r="R101"/>
      <c r="S101"/>
      <c r="V101"/>
      <c r="W101"/>
      <c r="GU101"/>
      <c r="GW101" s="235"/>
      <c r="GX101" s="235"/>
      <c r="GY101" s="236"/>
      <c r="GZ101"/>
    </row>
    <row r="102" spans="1:208" x14ac:dyDescent="0.25">
      <c r="A102"/>
      <c r="F102"/>
      <c r="J102" s="238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236"/>
      <c r="GZ102"/>
    </row>
    <row r="103" spans="1:208" x14ac:dyDescent="0.25">
      <c r="A103"/>
      <c r="F103"/>
      <c r="J103" s="238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236"/>
      <c r="GZ103"/>
    </row>
    <row r="104" spans="1:208" x14ac:dyDescent="0.25">
      <c r="A104"/>
      <c r="F104"/>
      <c r="J104" s="255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236"/>
      <c r="GZ104"/>
    </row>
    <row r="105" spans="1:208" x14ac:dyDescent="0.25">
      <c r="A105"/>
      <c r="F105"/>
      <c r="J105" s="208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236"/>
      <c r="GZ105"/>
    </row>
    <row r="106" spans="1:208" x14ac:dyDescent="0.25">
      <c r="A106"/>
      <c r="F106"/>
      <c r="J106" s="177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236"/>
      <c r="GZ106"/>
    </row>
    <row r="107" spans="1:208" x14ac:dyDescent="0.25">
      <c r="A107"/>
      <c r="F107"/>
      <c r="J107" s="177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236"/>
      <c r="GZ107"/>
    </row>
    <row r="108" spans="1:208" x14ac:dyDescent="0.25">
      <c r="A108"/>
      <c r="F108"/>
      <c r="J108" s="177"/>
      <c r="K108" s="453"/>
      <c r="L108"/>
      <c r="M108"/>
      <c r="N108"/>
      <c r="O108" s="37"/>
      <c r="P108"/>
      <c r="Q108"/>
      <c r="R108"/>
      <c r="S108"/>
      <c r="V108"/>
      <c r="W108"/>
      <c r="GU108"/>
      <c r="GW108" s="235"/>
      <c r="GX108" s="235"/>
      <c r="GY108" s="236"/>
      <c r="GZ108"/>
    </row>
    <row r="109" spans="1:208" x14ac:dyDescent="0.25">
      <c r="A109"/>
      <c r="F109"/>
      <c r="J109" s="177"/>
      <c r="K109" s="453"/>
      <c r="L109"/>
      <c r="M109"/>
      <c r="N109"/>
      <c r="O109" s="37"/>
      <c r="P109"/>
      <c r="Q109"/>
      <c r="R109"/>
      <c r="S109"/>
      <c r="V109"/>
      <c r="W109"/>
      <c r="GU109"/>
      <c r="GW109" s="235"/>
      <c r="GX109" s="235"/>
      <c r="GY109" s="236"/>
      <c r="GZ109"/>
    </row>
    <row r="110" spans="1:208" x14ac:dyDescent="0.25">
      <c r="A110"/>
      <c r="F110"/>
      <c r="J110" s="177"/>
      <c r="K110" s="453"/>
      <c r="L110"/>
      <c r="M110"/>
      <c r="N110"/>
      <c r="O110" s="37"/>
      <c r="P110"/>
      <c r="Q110"/>
      <c r="R110"/>
      <c r="S110"/>
      <c r="V110"/>
      <c r="W110"/>
      <c r="GU110"/>
      <c r="GW110" s="235"/>
      <c r="GX110" s="235"/>
      <c r="GY110" s="236"/>
      <c r="GZ110"/>
    </row>
    <row r="111" spans="1:208" x14ac:dyDescent="0.25">
      <c r="A111"/>
      <c r="F111"/>
      <c r="J111" s="177"/>
      <c r="K111" s="453"/>
      <c r="L111"/>
      <c r="M111"/>
      <c r="N111"/>
      <c r="O111" s="37"/>
      <c r="P111"/>
      <c r="Q111"/>
      <c r="R111"/>
      <c r="S111"/>
      <c r="V111"/>
      <c r="W111"/>
      <c r="GU111"/>
      <c r="GW111" s="235"/>
      <c r="GX111" s="235"/>
      <c r="GY111" s="236"/>
      <c r="GZ111"/>
    </row>
    <row r="112" spans="1:208" x14ac:dyDescent="0.25">
      <c r="A112"/>
      <c r="F112"/>
      <c r="J112" s="177"/>
      <c r="K112" s="453"/>
      <c r="L112"/>
      <c r="M112"/>
      <c r="N112"/>
      <c r="O112" s="37"/>
      <c r="P112"/>
      <c r="Q112"/>
      <c r="R112"/>
      <c r="S112"/>
      <c r="V112"/>
      <c r="W112"/>
      <c r="GU112"/>
      <c r="GW112" s="235"/>
      <c r="GX112" s="235"/>
      <c r="GY112" s="236"/>
      <c r="GZ112"/>
    </row>
  </sheetData>
  <mergeCells count="31">
    <mergeCell ref="J1:Q1"/>
    <mergeCell ref="X1:AC1"/>
    <mergeCell ref="AF1:AL1"/>
    <mergeCell ref="AO1:AU1"/>
    <mergeCell ref="AX1:BD1"/>
    <mergeCell ref="R21:S21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16:S16"/>
    <mergeCell ref="FB1:FH1"/>
    <mergeCell ref="FK1:FQ1"/>
    <mergeCell ref="T86:U87"/>
    <mergeCell ref="O97:Q97"/>
    <mergeCell ref="R30:S30"/>
    <mergeCell ref="R44:S44"/>
    <mergeCell ref="M79:N79"/>
    <mergeCell ref="O79:O80"/>
    <mergeCell ref="O83:Q83"/>
    <mergeCell ref="O86:Q8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FF"/>
  </sheetPr>
  <dimension ref="A1:N161"/>
  <sheetViews>
    <sheetView topLeftCell="A115" workbookViewId="0">
      <selection activeCell="H118" sqref="H118:I118"/>
    </sheetView>
  </sheetViews>
  <sheetFormatPr baseColWidth="10" defaultRowHeight="15.75" x14ac:dyDescent="0.25"/>
  <cols>
    <col min="1" max="1" width="25.5703125" style="8" customWidth="1"/>
    <col min="2" max="2" width="15" style="8" customWidth="1"/>
    <col min="3" max="3" width="11.42578125" style="676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3.7109375" style="780" customWidth="1"/>
    <col min="9" max="9" width="11.85546875" style="813" customWidth="1"/>
    <col min="10" max="10" width="12.7109375" style="195" bestFit="1" customWidth="1"/>
    <col min="11" max="11" width="11.42578125" style="195"/>
  </cols>
  <sheetData>
    <row r="1" spans="1:14" ht="21" x14ac:dyDescent="0.35">
      <c r="A1" s="885" t="s">
        <v>646</v>
      </c>
      <c r="B1" s="885"/>
      <c r="C1" s="885"/>
      <c r="D1" s="885"/>
      <c r="E1" s="885"/>
      <c r="F1" s="885"/>
      <c r="G1" s="885"/>
    </row>
    <row r="2" spans="1:14" ht="16.5" thickBot="1" x14ac:dyDescent="0.3">
      <c r="D2" s="260"/>
    </row>
    <row r="3" spans="1:14" ht="17.25" thickTop="1" thickBot="1" x14ac:dyDescent="0.3">
      <c r="A3" s="262" t="s">
        <v>8</v>
      </c>
      <c r="B3" s="262" t="s">
        <v>16</v>
      </c>
      <c r="C3" s="677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781"/>
    </row>
    <row r="4" spans="1:14" ht="16.5" thickTop="1" x14ac:dyDescent="0.25">
      <c r="A4" s="268" t="s">
        <v>1180</v>
      </c>
      <c r="B4" s="183" t="s">
        <v>1516</v>
      </c>
      <c r="C4" s="678">
        <v>42948</v>
      </c>
      <c r="D4" s="270">
        <v>4665</v>
      </c>
      <c r="E4" s="261">
        <v>378.4</v>
      </c>
      <c r="F4" s="29">
        <v>38</v>
      </c>
      <c r="G4" s="39">
        <f t="shared" ref="G4:G88" si="0">F4*E4</f>
        <v>14379.199999999999</v>
      </c>
      <c r="H4" s="752">
        <v>42948</v>
      </c>
      <c r="I4" s="813" t="s">
        <v>1172</v>
      </c>
      <c r="L4" s="195"/>
      <c r="M4" s="195"/>
      <c r="N4" s="195"/>
    </row>
    <row r="5" spans="1:14" x14ac:dyDescent="0.25">
      <c r="A5" s="268" t="s">
        <v>1517</v>
      </c>
      <c r="B5" s="183" t="s">
        <v>248</v>
      </c>
      <c r="C5" s="678">
        <v>42948</v>
      </c>
      <c r="D5" s="270">
        <f>D4+1</f>
        <v>4666</v>
      </c>
      <c r="E5" s="261">
        <v>100</v>
      </c>
      <c r="F5" s="29">
        <v>35</v>
      </c>
      <c r="G5" s="39">
        <f t="shared" si="0"/>
        <v>3500</v>
      </c>
      <c r="H5" s="752">
        <v>42948</v>
      </c>
      <c r="I5" s="813" t="s">
        <v>1172</v>
      </c>
      <c r="L5" s="195"/>
      <c r="M5" s="195"/>
      <c r="N5" s="195"/>
    </row>
    <row r="6" spans="1:14" x14ac:dyDescent="0.25">
      <c r="A6" s="268" t="s">
        <v>1518</v>
      </c>
      <c r="B6" s="272" t="s">
        <v>1286</v>
      </c>
      <c r="C6" s="678">
        <v>42948</v>
      </c>
      <c r="D6" s="270">
        <f t="shared" ref="D6:D69" si="1">D5+1</f>
        <v>4667</v>
      </c>
      <c r="E6" s="261">
        <v>44.5</v>
      </c>
      <c r="F6" s="29">
        <v>54</v>
      </c>
      <c r="G6" s="39">
        <f t="shared" si="0"/>
        <v>2403</v>
      </c>
      <c r="H6" s="752">
        <v>42948</v>
      </c>
      <c r="I6" s="813" t="s">
        <v>1172</v>
      </c>
      <c r="L6" s="195"/>
      <c r="M6" s="195"/>
      <c r="N6" s="195"/>
    </row>
    <row r="7" spans="1:14" x14ac:dyDescent="0.25">
      <c r="A7" s="273" t="s">
        <v>1171</v>
      </c>
      <c r="B7" s="268" t="s">
        <v>206</v>
      </c>
      <c r="C7" s="832">
        <v>42948</v>
      </c>
      <c r="D7" s="270">
        <f t="shared" si="1"/>
        <v>4668</v>
      </c>
      <c r="E7" s="261">
        <v>894</v>
      </c>
      <c r="F7" s="29">
        <v>68</v>
      </c>
      <c r="G7" s="39">
        <f>F7*E7+502.1*66</f>
        <v>93930.6</v>
      </c>
      <c r="H7" s="752">
        <v>44048</v>
      </c>
      <c r="I7" s="813" t="s">
        <v>1172</v>
      </c>
      <c r="L7" s="195"/>
      <c r="M7" s="195"/>
      <c r="N7" s="195"/>
    </row>
    <row r="8" spans="1:14" x14ac:dyDescent="0.25">
      <c r="A8" s="273" t="s">
        <v>1520</v>
      </c>
      <c r="B8" s="268" t="s">
        <v>1521</v>
      </c>
      <c r="C8" s="679">
        <v>44044</v>
      </c>
      <c r="D8" s="270">
        <f t="shared" si="1"/>
        <v>4669</v>
      </c>
      <c r="E8" s="261">
        <v>47.05</v>
      </c>
      <c r="F8" s="29">
        <v>78.8</v>
      </c>
      <c r="G8" s="39">
        <f t="shared" si="0"/>
        <v>3707.5399999999995</v>
      </c>
      <c r="H8" s="752">
        <v>42948</v>
      </c>
      <c r="I8" s="813" t="s">
        <v>1172</v>
      </c>
      <c r="L8" s="195"/>
      <c r="M8" s="195"/>
      <c r="N8" s="195"/>
    </row>
    <row r="9" spans="1:14" x14ac:dyDescent="0.25">
      <c r="A9" s="273" t="s">
        <v>1519</v>
      </c>
      <c r="B9" s="268"/>
      <c r="C9" s="679"/>
      <c r="D9" s="270">
        <f t="shared" si="1"/>
        <v>4670</v>
      </c>
      <c r="G9" s="39">
        <f t="shared" si="0"/>
        <v>0</v>
      </c>
      <c r="H9" s="752"/>
      <c r="L9" s="195"/>
      <c r="M9" s="195"/>
      <c r="N9" s="195"/>
    </row>
    <row r="10" spans="1:14" x14ac:dyDescent="0.25">
      <c r="A10" s="273" t="s">
        <v>1522</v>
      </c>
      <c r="B10" s="268" t="s">
        <v>1523</v>
      </c>
      <c r="C10" s="679">
        <v>42949</v>
      </c>
      <c r="D10" s="270">
        <f t="shared" si="1"/>
        <v>4671</v>
      </c>
      <c r="E10" s="261">
        <v>10</v>
      </c>
      <c r="F10" s="29">
        <v>165</v>
      </c>
      <c r="G10" s="39">
        <f t="shared" si="0"/>
        <v>1650</v>
      </c>
      <c r="H10" s="752">
        <v>42949</v>
      </c>
      <c r="I10" s="813" t="s">
        <v>1172</v>
      </c>
      <c r="J10" s="8"/>
      <c r="L10" s="195"/>
      <c r="M10" s="195"/>
      <c r="N10" s="195"/>
    </row>
    <row r="11" spans="1:14" x14ac:dyDescent="0.25">
      <c r="A11" s="275" t="s">
        <v>1171</v>
      </c>
      <c r="B11" s="8" t="s">
        <v>206</v>
      </c>
      <c r="C11" s="679">
        <v>42949</v>
      </c>
      <c r="D11" s="270">
        <f t="shared" si="1"/>
        <v>4672</v>
      </c>
      <c r="E11" s="261">
        <v>1159.3</v>
      </c>
      <c r="F11" s="29">
        <v>68</v>
      </c>
      <c r="G11" s="39">
        <f t="shared" si="0"/>
        <v>78832.399999999994</v>
      </c>
      <c r="H11" s="752">
        <v>42954</v>
      </c>
      <c r="I11" s="813" t="s">
        <v>1172</v>
      </c>
      <c r="L11" s="195"/>
      <c r="M11" s="195"/>
      <c r="N11" s="195"/>
    </row>
    <row r="12" spans="1:14" x14ac:dyDescent="0.25">
      <c r="A12" s="275" t="s">
        <v>1269</v>
      </c>
      <c r="B12" s="8" t="s">
        <v>1473</v>
      </c>
      <c r="C12" s="679">
        <v>42949</v>
      </c>
      <c r="D12" s="270">
        <f t="shared" si="1"/>
        <v>4673</v>
      </c>
      <c r="E12" s="261">
        <v>12.7</v>
      </c>
      <c r="F12" s="29">
        <v>24</v>
      </c>
      <c r="G12" s="39">
        <f t="shared" si="0"/>
        <v>304.79999999999995</v>
      </c>
      <c r="H12" s="752">
        <v>42950</v>
      </c>
      <c r="I12" s="813" t="s">
        <v>1172</v>
      </c>
      <c r="L12" s="195"/>
      <c r="M12" s="195"/>
      <c r="N12" s="195"/>
    </row>
    <row r="13" spans="1:14" x14ac:dyDescent="0.25">
      <c r="A13" s="275" t="s">
        <v>1519</v>
      </c>
      <c r="C13" s="679"/>
      <c r="D13" s="270">
        <f t="shared" si="1"/>
        <v>4674</v>
      </c>
      <c r="G13" s="39">
        <f t="shared" si="0"/>
        <v>0</v>
      </c>
      <c r="H13" s="752"/>
      <c r="L13" s="195"/>
      <c r="M13" s="195"/>
      <c r="N13" s="195"/>
    </row>
    <row r="14" spans="1:14" x14ac:dyDescent="0.25">
      <c r="A14" s="275" t="s">
        <v>1517</v>
      </c>
      <c r="B14" s="8" t="s">
        <v>248</v>
      </c>
      <c r="C14" s="679">
        <v>42950</v>
      </c>
      <c r="D14" s="270">
        <f t="shared" si="1"/>
        <v>4675</v>
      </c>
      <c r="E14" s="261">
        <v>100</v>
      </c>
      <c r="F14" s="29">
        <v>35</v>
      </c>
      <c r="G14" s="39">
        <f t="shared" si="0"/>
        <v>3500</v>
      </c>
      <c r="H14" s="752">
        <v>42950</v>
      </c>
      <c r="I14" s="813" t="s">
        <v>1172</v>
      </c>
      <c r="L14" s="195"/>
      <c r="M14" s="195"/>
      <c r="N14" s="195"/>
    </row>
    <row r="15" spans="1:14" x14ac:dyDescent="0.25">
      <c r="A15" s="275" t="s">
        <v>1171</v>
      </c>
      <c r="B15" s="8" t="s">
        <v>206</v>
      </c>
      <c r="C15" s="679">
        <v>42950</v>
      </c>
      <c r="D15" s="270">
        <f t="shared" si="1"/>
        <v>4676</v>
      </c>
      <c r="E15" s="261">
        <v>1297.4000000000001</v>
      </c>
      <c r="F15" s="29">
        <v>68</v>
      </c>
      <c r="G15" s="39">
        <f t="shared" si="0"/>
        <v>88223.200000000012</v>
      </c>
      <c r="H15" s="752">
        <v>42957</v>
      </c>
      <c r="I15" s="813" t="s">
        <v>1172</v>
      </c>
      <c r="L15" s="195"/>
      <c r="M15" s="195"/>
      <c r="N15" s="195"/>
    </row>
    <row r="16" spans="1:14" x14ac:dyDescent="0.25">
      <c r="A16" s="275" t="s">
        <v>1519</v>
      </c>
      <c r="C16" s="679"/>
      <c r="D16" s="270">
        <f t="shared" si="1"/>
        <v>4677</v>
      </c>
      <c r="G16" s="39">
        <f t="shared" si="0"/>
        <v>0</v>
      </c>
      <c r="H16" s="752"/>
      <c r="L16" s="195"/>
      <c r="M16" s="195"/>
      <c r="N16" s="195"/>
    </row>
    <row r="17" spans="1:14" x14ac:dyDescent="0.25">
      <c r="A17" s="275" t="s">
        <v>1208</v>
      </c>
      <c r="B17" s="8" t="s">
        <v>206</v>
      </c>
      <c r="C17" s="679">
        <v>42951</v>
      </c>
      <c r="D17" s="270">
        <f t="shared" si="1"/>
        <v>4678</v>
      </c>
      <c r="E17" s="261">
        <v>738</v>
      </c>
      <c r="F17" s="29">
        <v>67</v>
      </c>
      <c r="G17" s="39">
        <f t="shared" si="0"/>
        <v>49446</v>
      </c>
      <c r="H17" s="752">
        <v>42952</v>
      </c>
      <c r="I17" s="813" t="s">
        <v>1172</v>
      </c>
      <c r="L17" s="195"/>
      <c r="M17" s="195"/>
      <c r="N17" s="195"/>
    </row>
    <row r="18" spans="1:14" x14ac:dyDescent="0.25">
      <c r="A18" s="273" t="s">
        <v>1448</v>
      </c>
      <c r="B18" s="268" t="s">
        <v>1198</v>
      </c>
      <c r="C18" s="679">
        <v>42951</v>
      </c>
      <c r="D18" s="270">
        <f t="shared" si="1"/>
        <v>4679</v>
      </c>
      <c r="E18" s="261">
        <v>38.9</v>
      </c>
      <c r="F18" s="29">
        <v>60</v>
      </c>
      <c r="G18" s="39">
        <f t="shared" si="0"/>
        <v>2334</v>
      </c>
      <c r="H18" s="752">
        <v>42951</v>
      </c>
      <c r="I18" s="813" t="s">
        <v>1172</v>
      </c>
      <c r="L18" s="195"/>
      <c r="M18" s="195"/>
      <c r="N18" s="195"/>
    </row>
    <row r="19" spans="1:14" x14ac:dyDescent="0.25">
      <c r="A19" s="277" t="s">
        <v>1171</v>
      </c>
      <c r="B19" s="268" t="s">
        <v>206</v>
      </c>
      <c r="C19" s="679">
        <v>44047</v>
      </c>
      <c r="D19" s="270">
        <f t="shared" si="1"/>
        <v>4680</v>
      </c>
      <c r="E19" s="261">
        <v>698</v>
      </c>
      <c r="F19" s="29">
        <v>68</v>
      </c>
      <c r="G19" s="39">
        <f t="shared" si="0"/>
        <v>47464</v>
      </c>
      <c r="H19" s="752">
        <v>42956</v>
      </c>
      <c r="I19" s="813" t="s">
        <v>1172</v>
      </c>
      <c r="L19" s="195"/>
      <c r="M19" s="195"/>
      <c r="N19" s="195"/>
    </row>
    <row r="20" spans="1:14" x14ac:dyDescent="0.25">
      <c r="A20" s="273" t="s">
        <v>1220</v>
      </c>
      <c r="B20" s="268" t="s">
        <v>1552</v>
      </c>
      <c r="C20" s="679">
        <v>42951</v>
      </c>
      <c r="D20" s="270">
        <f t="shared" si="1"/>
        <v>4681</v>
      </c>
      <c r="E20" s="261">
        <v>100</v>
      </c>
      <c r="F20" s="29">
        <v>34</v>
      </c>
      <c r="G20" s="39">
        <f t="shared" si="0"/>
        <v>3400</v>
      </c>
      <c r="H20" s="830">
        <v>42980</v>
      </c>
      <c r="I20" s="831" t="s">
        <v>1172</v>
      </c>
      <c r="L20" s="195"/>
      <c r="M20" s="195"/>
      <c r="N20" s="195"/>
    </row>
    <row r="21" spans="1:14" x14ac:dyDescent="0.25">
      <c r="A21" s="273" t="s">
        <v>1173</v>
      </c>
      <c r="B21" s="279" t="s">
        <v>1533</v>
      </c>
      <c r="C21" s="679">
        <v>42952</v>
      </c>
      <c r="D21" s="270">
        <f t="shared" si="1"/>
        <v>4682</v>
      </c>
      <c r="E21" s="261">
        <v>197.6</v>
      </c>
      <c r="F21" s="29">
        <v>48</v>
      </c>
      <c r="G21" s="39">
        <f>F21*E21+91*27+94.2*62</f>
        <v>17782.2</v>
      </c>
      <c r="H21" s="752">
        <v>42960</v>
      </c>
      <c r="I21" s="813" t="s">
        <v>1172</v>
      </c>
      <c r="L21" s="195"/>
      <c r="M21" s="195"/>
      <c r="N21" s="195"/>
    </row>
    <row r="22" spans="1:14" x14ac:dyDescent="0.25">
      <c r="A22" s="273" t="s">
        <v>1206</v>
      </c>
      <c r="B22" s="279" t="s">
        <v>1207</v>
      </c>
      <c r="C22" s="679">
        <v>42952</v>
      </c>
      <c r="D22" s="270">
        <f t="shared" si="1"/>
        <v>4683</v>
      </c>
      <c r="E22" s="261">
        <v>203.4</v>
      </c>
      <c r="F22" s="29">
        <v>69</v>
      </c>
      <c r="G22" s="39">
        <f t="shared" si="0"/>
        <v>14034.6</v>
      </c>
      <c r="H22" s="752">
        <v>42952</v>
      </c>
      <c r="I22" s="813" t="s">
        <v>1172</v>
      </c>
      <c r="L22" s="195"/>
      <c r="M22" s="195"/>
      <c r="N22" s="195"/>
    </row>
    <row r="23" spans="1:14" x14ac:dyDescent="0.25">
      <c r="A23" s="273" t="s">
        <v>1171</v>
      </c>
      <c r="B23" s="280" t="s">
        <v>206</v>
      </c>
      <c r="C23" s="679">
        <v>42952</v>
      </c>
      <c r="D23" s="270">
        <f t="shared" si="1"/>
        <v>4684</v>
      </c>
      <c r="E23" s="261">
        <v>340.1</v>
      </c>
      <c r="F23" s="29">
        <v>68</v>
      </c>
      <c r="G23" s="39">
        <f>F23*E23+314.9*66</f>
        <v>43910.2</v>
      </c>
      <c r="H23" s="752">
        <v>42955</v>
      </c>
      <c r="I23" s="813" t="s">
        <v>1172</v>
      </c>
      <c r="L23" s="195"/>
      <c r="M23" s="195"/>
      <c r="N23" s="195"/>
    </row>
    <row r="24" spans="1:14" x14ac:dyDescent="0.25">
      <c r="A24" s="273" t="s">
        <v>1173</v>
      </c>
      <c r="B24" s="280" t="s">
        <v>1533</v>
      </c>
      <c r="C24" s="679">
        <v>42952</v>
      </c>
      <c r="D24" s="270">
        <f t="shared" si="1"/>
        <v>4685</v>
      </c>
      <c r="E24" s="28">
        <v>1000</v>
      </c>
      <c r="F24" s="209">
        <v>16</v>
      </c>
      <c r="G24" s="39">
        <f>F24*E24+252*48+125*27</f>
        <v>31471</v>
      </c>
      <c r="H24" s="752">
        <v>42960</v>
      </c>
      <c r="I24" s="813" t="s">
        <v>1172</v>
      </c>
      <c r="J24" s="198"/>
      <c r="K24" s="281"/>
      <c r="L24" s="195"/>
      <c r="M24" s="195"/>
      <c r="N24" s="195"/>
    </row>
    <row r="25" spans="1:14" x14ac:dyDescent="0.25">
      <c r="A25" s="282" t="s">
        <v>1184</v>
      </c>
      <c r="B25" s="283" t="s">
        <v>206</v>
      </c>
      <c r="C25" s="680">
        <v>42953</v>
      </c>
      <c r="D25" s="270">
        <f t="shared" si="1"/>
        <v>4686</v>
      </c>
      <c r="E25" s="261">
        <v>1454.9</v>
      </c>
      <c r="F25" s="209">
        <v>66</v>
      </c>
      <c r="G25" s="39">
        <f t="shared" si="0"/>
        <v>96023.400000000009</v>
      </c>
      <c r="H25" s="752">
        <v>42959</v>
      </c>
      <c r="I25" s="813" t="s">
        <v>1172</v>
      </c>
      <c r="J25" s="198"/>
      <c r="K25" s="281"/>
      <c r="L25" s="195"/>
      <c r="M25" s="195"/>
      <c r="N25" s="195"/>
    </row>
    <row r="26" spans="1:14" x14ac:dyDescent="0.25">
      <c r="A26" s="282" t="s">
        <v>1524</v>
      </c>
      <c r="B26" s="283" t="s">
        <v>1356</v>
      </c>
      <c r="C26" s="680">
        <v>42954</v>
      </c>
      <c r="D26" s="270">
        <f t="shared" si="1"/>
        <v>4687</v>
      </c>
      <c r="E26" s="261">
        <v>15.3</v>
      </c>
      <c r="F26" s="209">
        <v>52</v>
      </c>
      <c r="G26" s="39">
        <f t="shared" si="0"/>
        <v>795.6</v>
      </c>
      <c r="H26" s="752">
        <v>44050</v>
      </c>
      <c r="I26" s="813" t="s">
        <v>1172</v>
      </c>
      <c r="J26" s="198"/>
      <c r="K26" s="281"/>
      <c r="L26" s="195"/>
      <c r="M26" s="195"/>
      <c r="N26" s="195"/>
    </row>
    <row r="27" spans="1:14" x14ac:dyDescent="0.25">
      <c r="A27" s="282" t="s">
        <v>1182</v>
      </c>
      <c r="B27" s="283" t="s">
        <v>1407</v>
      </c>
      <c r="C27" s="680">
        <v>42958</v>
      </c>
      <c r="D27" s="270">
        <f t="shared" si="1"/>
        <v>4688</v>
      </c>
      <c r="E27" s="261">
        <v>69502.600000000006</v>
      </c>
      <c r="F27" s="209">
        <v>1</v>
      </c>
      <c r="G27" s="39">
        <f t="shared" si="0"/>
        <v>69502.600000000006</v>
      </c>
      <c r="H27" s="752">
        <v>42959</v>
      </c>
      <c r="I27" s="813" t="s">
        <v>1172</v>
      </c>
      <c r="J27" s="198"/>
      <c r="K27" s="281"/>
      <c r="L27" s="195"/>
      <c r="M27" s="195"/>
      <c r="N27" s="195"/>
    </row>
    <row r="28" spans="1:14" x14ac:dyDescent="0.25">
      <c r="A28" s="282" t="s">
        <v>1171</v>
      </c>
      <c r="B28" s="279" t="s">
        <v>206</v>
      </c>
      <c r="C28" s="680">
        <v>42954</v>
      </c>
      <c r="D28" s="270">
        <f t="shared" si="1"/>
        <v>4689</v>
      </c>
      <c r="E28" s="261">
        <v>719.9</v>
      </c>
      <c r="F28" s="209">
        <v>68</v>
      </c>
      <c r="G28" s="39">
        <f t="shared" si="0"/>
        <v>48953.2</v>
      </c>
      <c r="H28" s="752">
        <v>42956</v>
      </c>
      <c r="I28" s="813" t="s">
        <v>1172</v>
      </c>
      <c r="J28" s="198"/>
      <c r="K28" s="281"/>
      <c r="L28" s="195"/>
      <c r="M28" s="195"/>
      <c r="N28" s="195"/>
    </row>
    <row r="29" spans="1:14" x14ac:dyDescent="0.25">
      <c r="A29" s="282" t="s">
        <v>1525</v>
      </c>
      <c r="B29" s="268" t="s">
        <v>1230</v>
      </c>
      <c r="C29" s="680">
        <v>42954</v>
      </c>
      <c r="D29" s="270">
        <f t="shared" si="1"/>
        <v>4690</v>
      </c>
      <c r="E29" s="261">
        <v>13.4</v>
      </c>
      <c r="F29" s="209">
        <v>64</v>
      </c>
      <c r="G29" s="39">
        <f t="shared" si="0"/>
        <v>857.6</v>
      </c>
      <c r="H29" s="752">
        <v>42955</v>
      </c>
      <c r="I29" s="813" t="s">
        <v>1172</v>
      </c>
      <c r="J29" s="198"/>
      <c r="K29" s="281"/>
      <c r="L29" s="195"/>
      <c r="M29" s="195"/>
      <c r="N29" s="195"/>
    </row>
    <row r="30" spans="1:14" x14ac:dyDescent="0.25">
      <c r="A30" s="282" t="s">
        <v>1208</v>
      </c>
      <c r="B30" s="279" t="s">
        <v>1532</v>
      </c>
      <c r="C30" s="680">
        <v>42955</v>
      </c>
      <c r="D30" s="270">
        <f t="shared" si="1"/>
        <v>4691</v>
      </c>
      <c r="E30" s="261">
        <v>262.7</v>
      </c>
      <c r="F30" s="209">
        <v>70</v>
      </c>
      <c r="G30" s="39">
        <f t="shared" si="0"/>
        <v>18389</v>
      </c>
      <c r="H30" s="752">
        <v>42958</v>
      </c>
      <c r="I30" s="813" t="s">
        <v>1172</v>
      </c>
      <c r="J30" s="198"/>
      <c r="K30" s="281"/>
      <c r="L30" s="195"/>
      <c r="M30" s="195"/>
      <c r="N30" s="195"/>
    </row>
    <row r="31" spans="1:14" x14ac:dyDescent="0.25">
      <c r="A31" s="282" t="s">
        <v>1171</v>
      </c>
      <c r="B31" s="279" t="s">
        <v>206</v>
      </c>
      <c r="C31" s="680">
        <v>42955</v>
      </c>
      <c r="D31" s="270">
        <f t="shared" si="1"/>
        <v>4692</v>
      </c>
      <c r="E31" s="261">
        <v>897.7</v>
      </c>
      <c r="F31" s="209">
        <v>68</v>
      </c>
      <c r="G31" s="39">
        <f t="shared" si="0"/>
        <v>61043.600000000006</v>
      </c>
      <c r="H31" s="752">
        <v>42958</v>
      </c>
      <c r="I31" s="813" t="s">
        <v>1172</v>
      </c>
      <c r="J31" s="198"/>
      <c r="K31" s="281"/>
      <c r="L31" s="195"/>
      <c r="M31" s="195"/>
      <c r="N31" s="195"/>
    </row>
    <row r="32" spans="1:14" x14ac:dyDescent="0.25">
      <c r="A32" s="275" t="s">
        <v>1526</v>
      </c>
      <c r="B32" s="279" t="s">
        <v>1527</v>
      </c>
      <c r="C32" s="679">
        <v>42954</v>
      </c>
      <c r="D32" s="270">
        <f t="shared" si="1"/>
        <v>4693</v>
      </c>
      <c r="E32" s="261">
        <v>256.2</v>
      </c>
      <c r="F32" s="209">
        <v>39</v>
      </c>
      <c r="G32" s="39">
        <f t="shared" si="0"/>
        <v>9991.7999999999993</v>
      </c>
      <c r="H32" s="752">
        <v>42956</v>
      </c>
      <c r="I32" s="813" t="s">
        <v>1172</v>
      </c>
      <c r="L32" s="195"/>
      <c r="M32" s="195"/>
      <c r="N32" s="195"/>
    </row>
    <row r="33" spans="1:14" x14ac:dyDescent="0.25">
      <c r="A33" s="275" t="s">
        <v>1519</v>
      </c>
      <c r="B33" s="279"/>
      <c r="C33" s="679"/>
      <c r="D33" s="270">
        <f t="shared" si="1"/>
        <v>4694</v>
      </c>
      <c r="F33" s="209"/>
      <c r="G33" s="39">
        <f t="shared" si="0"/>
        <v>0</v>
      </c>
      <c r="H33" s="752"/>
      <c r="J33" s="286"/>
      <c r="L33" s="195"/>
      <c r="M33" s="195"/>
      <c r="N33" s="195"/>
    </row>
    <row r="34" spans="1:14" x14ac:dyDescent="0.25">
      <c r="A34" s="275" t="s">
        <v>1220</v>
      </c>
      <c r="B34" s="279" t="s">
        <v>1284</v>
      </c>
      <c r="C34" s="679">
        <v>42956</v>
      </c>
      <c r="D34" s="270">
        <f t="shared" si="1"/>
        <v>4695</v>
      </c>
      <c r="E34" s="261">
        <v>658</v>
      </c>
      <c r="F34" s="209">
        <v>18</v>
      </c>
      <c r="G34" s="39">
        <f t="shared" si="0"/>
        <v>11844</v>
      </c>
      <c r="H34" s="830">
        <v>42980</v>
      </c>
      <c r="I34" s="831" t="s">
        <v>1172</v>
      </c>
      <c r="J34" s="286"/>
      <c r="L34" s="195"/>
      <c r="M34" s="195"/>
      <c r="N34" s="195"/>
    </row>
    <row r="35" spans="1:14" s="8" customFormat="1" x14ac:dyDescent="0.25">
      <c r="A35" s="275" t="s">
        <v>1517</v>
      </c>
      <c r="B35" s="279" t="s">
        <v>248</v>
      </c>
      <c r="C35" s="679">
        <v>42956</v>
      </c>
      <c r="D35" s="270">
        <f t="shared" si="1"/>
        <v>4696</v>
      </c>
      <c r="E35" s="261">
        <v>300</v>
      </c>
      <c r="F35" s="209">
        <v>38</v>
      </c>
      <c r="G35" s="39">
        <f t="shared" si="0"/>
        <v>11400</v>
      </c>
      <c r="H35" s="752">
        <v>42956</v>
      </c>
      <c r="I35" s="814" t="s">
        <v>1172</v>
      </c>
      <c r="J35" s="195"/>
    </row>
    <row r="36" spans="1:14" s="8" customFormat="1" x14ac:dyDescent="0.25">
      <c r="A36" s="275" t="s">
        <v>1493</v>
      </c>
      <c r="B36" s="279" t="s">
        <v>1222</v>
      </c>
      <c r="C36" s="679">
        <v>42956</v>
      </c>
      <c r="D36" s="270">
        <f t="shared" si="1"/>
        <v>4697</v>
      </c>
      <c r="E36" s="261">
        <v>686.2</v>
      </c>
      <c r="F36" s="29">
        <v>13.5</v>
      </c>
      <c r="G36" s="39">
        <f t="shared" si="0"/>
        <v>9263.7000000000007</v>
      </c>
      <c r="H36" s="752">
        <v>42956</v>
      </c>
      <c r="I36" s="814" t="s">
        <v>1172</v>
      </c>
      <c r="J36" s="195"/>
    </row>
    <row r="37" spans="1:14" s="8" customFormat="1" x14ac:dyDescent="0.25">
      <c r="A37" s="275" t="s">
        <v>1173</v>
      </c>
      <c r="B37" s="279" t="s">
        <v>1457</v>
      </c>
      <c r="C37" s="679">
        <v>42956</v>
      </c>
      <c r="D37" s="270">
        <f t="shared" si="1"/>
        <v>4698</v>
      </c>
      <c r="E37" s="261">
        <v>101.2</v>
      </c>
      <c r="F37" s="29">
        <v>48</v>
      </c>
      <c r="G37" s="39">
        <f>F37*E37+45.6*27</f>
        <v>6088.8</v>
      </c>
      <c r="H37" s="752">
        <v>42960</v>
      </c>
      <c r="I37" s="814" t="s">
        <v>1172</v>
      </c>
      <c r="J37" s="195"/>
    </row>
    <row r="38" spans="1:14" s="8" customFormat="1" x14ac:dyDescent="0.25">
      <c r="A38" s="275" t="s">
        <v>1528</v>
      </c>
      <c r="B38" s="279" t="s">
        <v>1529</v>
      </c>
      <c r="C38" s="679">
        <v>42956</v>
      </c>
      <c r="D38" s="270">
        <f t="shared" si="1"/>
        <v>4699</v>
      </c>
      <c r="E38" s="261">
        <v>20</v>
      </c>
      <c r="F38" s="29">
        <v>110</v>
      </c>
      <c r="G38" s="39">
        <f>F38*E38+5*70</f>
        <v>2550</v>
      </c>
      <c r="H38" s="752">
        <v>42956</v>
      </c>
      <c r="I38" s="814" t="s">
        <v>1172</v>
      </c>
      <c r="J38" s="195"/>
    </row>
    <row r="39" spans="1:14" s="8" customFormat="1" x14ac:dyDescent="0.25">
      <c r="A39" s="275" t="s">
        <v>1197</v>
      </c>
      <c r="B39" s="8" t="s">
        <v>1233</v>
      </c>
      <c r="C39" s="679">
        <v>42957</v>
      </c>
      <c r="D39" s="270">
        <f t="shared" si="1"/>
        <v>4700</v>
      </c>
      <c r="E39" s="261">
        <v>312.5</v>
      </c>
      <c r="F39" s="29">
        <v>48</v>
      </c>
      <c r="G39" s="39">
        <f t="shared" si="0"/>
        <v>15000</v>
      </c>
      <c r="H39" s="752">
        <v>42960</v>
      </c>
      <c r="I39" s="813" t="s">
        <v>1172</v>
      </c>
      <c r="J39" s="195"/>
    </row>
    <row r="40" spans="1:14" x14ac:dyDescent="0.25">
      <c r="A40" s="275" t="s">
        <v>1519</v>
      </c>
      <c r="C40" s="679"/>
      <c r="D40" s="270">
        <f t="shared" si="1"/>
        <v>4701</v>
      </c>
      <c r="F40" s="29">
        <v>0</v>
      </c>
      <c r="G40" s="39">
        <f t="shared" si="0"/>
        <v>0</v>
      </c>
      <c r="H40" s="752"/>
      <c r="L40" s="195"/>
      <c r="M40" s="195"/>
      <c r="N40" s="195"/>
    </row>
    <row r="41" spans="1:14" x14ac:dyDescent="0.25">
      <c r="A41" s="275" t="s">
        <v>1171</v>
      </c>
      <c r="B41" s="177" t="s">
        <v>206</v>
      </c>
      <c r="C41" s="679">
        <v>42956</v>
      </c>
      <c r="D41" s="270">
        <f t="shared" si="1"/>
        <v>4702</v>
      </c>
      <c r="E41" s="261">
        <v>314.60000000000002</v>
      </c>
      <c r="F41" s="29">
        <v>68</v>
      </c>
      <c r="G41" s="39">
        <f>F41*E41+239.6*67</f>
        <v>37446</v>
      </c>
      <c r="H41" s="752">
        <v>42961</v>
      </c>
      <c r="I41" s="813" t="s">
        <v>1172</v>
      </c>
      <c r="L41" s="195"/>
      <c r="M41" s="195"/>
      <c r="N41" s="195"/>
    </row>
    <row r="42" spans="1:14" x14ac:dyDescent="0.25">
      <c r="A42" s="290" t="s">
        <v>1197</v>
      </c>
      <c r="B42" s="188" t="s">
        <v>1233</v>
      </c>
      <c r="C42" s="678">
        <v>42956</v>
      </c>
      <c r="D42" s="270">
        <f t="shared" si="1"/>
        <v>4703</v>
      </c>
      <c r="E42" s="261">
        <v>201.5</v>
      </c>
      <c r="F42" s="29">
        <v>52</v>
      </c>
      <c r="G42" s="39">
        <f t="shared" si="0"/>
        <v>10478</v>
      </c>
      <c r="H42" s="752">
        <v>42965</v>
      </c>
      <c r="I42" s="813" t="s">
        <v>1172</v>
      </c>
      <c r="L42" s="195"/>
      <c r="M42" s="195"/>
      <c r="N42" s="195"/>
    </row>
    <row r="43" spans="1:14" x14ac:dyDescent="0.25">
      <c r="A43" s="290" t="s">
        <v>1220</v>
      </c>
      <c r="B43" s="188" t="s">
        <v>1198</v>
      </c>
      <c r="C43" s="678">
        <v>42957</v>
      </c>
      <c r="D43" s="270">
        <f t="shared" si="1"/>
        <v>4704</v>
      </c>
      <c r="E43" s="261">
        <v>55.1</v>
      </c>
      <c r="F43" s="29">
        <v>58</v>
      </c>
      <c r="G43" s="39">
        <f t="shared" si="0"/>
        <v>3195.8</v>
      </c>
      <c r="H43" s="830">
        <v>42980</v>
      </c>
      <c r="I43" s="831" t="s">
        <v>1172</v>
      </c>
      <c r="L43" s="195"/>
      <c r="M43" s="195"/>
      <c r="N43" s="195"/>
    </row>
    <row r="44" spans="1:14" x14ac:dyDescent="0.25">
      <c r="A44" s="291" t="s">
        <v>1197</v>
      </c>
      <c r="B44" s="188" t="s">
        <v>1473</v>
      </c>
      <c r="C44" s="678">
        <v>42957</v>
      </c>
      <c r="D44" s="270">
        <f t="shared" si="1"/>
        <v>4705</v>
      </c>
      <c r="E44" s="261">
        <v>30</v>
      </c>
      <c r="F44" s="29">
        <v>24</v>
      </c>
      <c r="G44" s="39">
        <f t="shared" si="0"/>
        <v>720</v>
      </c>
      <c r="H44" s="752">
        <v>42960</v>
      </c>
      <c r="I44" s="813" t="s">
        <v>1172</v>
      </c>
      <c r="L44" s="195"/>
      <c r="M44" s="195"/>
      <c r="N44" s="195"/>
    </row>
    <row r="45" spans="1:14" x14ac:dyDescent="0.25">
      <c r="A45" s="290" t="s">
        <v>1519</v>
      </c>
      <c r="B45" s="188"/>
      <c r="C45" s="678"/>
      <c r="D45" s="270">
        <f t="shared" si="1"/>
        <v>4706</v>
      </c>
      <c r="G45" s="39">
        <f t="shared" si="0"/>
        <v>0</v>
      </c>
      <c r="H45" s="752"/>
      <c r="L45" s="195"/>
      <c r="M45" s="195"/>
      <c r="N45" s="195"/>
    </row>
    <row r="46" spans="1:14" x14ac:dyDescent="0.25">
      <c r="A46" s="290" t="s">
        <v>1180</v>
      </c>
      <c r="B46" s="188" t="s">
        <v>1516</v>
      </c>
      <c r="C46" s="678">
        <v>42957</v>
      </c>
      <c r="D46" s="270">
        <f t="shared" si="1"/>
        <v>4707</v>
      </c>
      <c r="E46" s="261">
        <v>383.8</v>
      </c>
      <c r="F46" s="29">
        <v>30</v>
      </c>
      <c r="G46" s="39">
        <f t="shared" si="0"/>
        <v>11514</v>
      </c>
      <c r="H46" s="752">
        <v>42957</v>
      </c>
      <c r="I46" s="813" t="s">
        <v>1172</v>
      </c>
      <c r="L46" s="195"/>
      <c r="M46" s="195"/>
      <c r="N46" s="195"/>
    </row>
    <row r="47" spans="1:14" x14ac:dyDescent="0.25">
      <c r="A47" s="290" t="s">
        <v>1530</v>
      </c>
      <c r="B47" s="188" t="s">
        <v>1531</v>
      </c>
      <c r="C47" s="678">
        <v>42957</v>
      </c>
      <c r="D47" s="270">
        <f t="shared" si="1"/>
        <v>4708</v>
      </c>
      <c r="E47" s="261">
        <v>299</v>
      </c>
      <c r="F47" s="29">
        <v>50</v>
      </c>
      <c r="G47" s="39">
        <f t="shared" si="0"/>
        <v>14950</v>
      </c>
      <c r="H47" s="752">
        <v>42957</v>
      </c>
      <c r="I47" s="813" t="s">
        <v>1172</v>
      </c>
      <c r="L47" s="195"/>
      <c r="M47" s="195"/>
      <c r="N47" s="195"/>
    </row>
    <row r="48" spans="1:14" x14ac:dyDescent="0.25">
      <c r="A48" s="290" t="s">
        <v>1211</v>
      </c>
      <c r="B48" s="188" t="s">
        <v>207</v>
      </c>
      <c r="C48" s="678">
        <v>42957</v>
      </c>
      <c r="D48" s="270">
        <f t="shared" si="1"/>
        <v>4709</v>
      </c>
      <c r="E48" s="261">
        <v>98.8</v>
      </c>
      <c r="F48" s="29">
        <v>70</v>
      </c>
      <c r="G48" s="39">
        <f t="shared" si="0"/>
        <v>6916</v>
      </c>
      <c r="H48" s="752">
        <v>42957</v>
      </c>
      <c r="I48" s="813" t="s">
        <v>1172</v>
      </c>
      <c r="L48" s="195"/>
      <c r="M48" s="195"/>
      <c r="N48" s="195"/>
    </row>
    <row r="49" spans="1:14" x14ac:dyDescent="0.25">
      <c r="A49" s="290" t="s">
        <v>1173</v>
      </c>
      <c r="B49" s="188" t="s">
        <v>1533</v>
      </c>
      <c r="C49" s="678">
        <v>42957</v>
      </c>
      <c r="D49" s="270">
        <f t="shared" si="1"/>
        <v>4710</v>
      </c>
      <c r="E49" s="261">
        <v>145.9</v>
      </c>
      <c r="F49" s="29">
        <v>48</v>
      </c>
      <c r="G49" s="39">
        <f>F49*E49+197.1*27+60.2*60</f>
        <v>15936.900000000001</v>
      </c>
      <c r="H49" s="752">
        <v>42960</v>
      </c>
      <c r="I49" s="813" t="s">
        <v>1172</v>
      </c>
      <c r="L49" s="195"/>
      <c r="M49" s="195"/>
      <c r="N49" s="195"/>
    </row>
    <row r="50" spans="1:14" x14ac:dyDescent="0.25">
      <c r="A50" s="290" t="s">
        <v>1171</v>
      </c>
      <c r="B50" s="188" t="s">
        <v>206</v>
      </c>
      <c r="C50" s="678">
        <v>42957</v>
      </c>
      <c r="D50" s="270">
        <f t="shared" si="1"/>
        <v>4711</v>
      </c>
      <c r="E50" s="261">
        <v>961</v>
      </c>
      <c r="F50" s="29">
        <v>68</v>
      </c>
      <c r="G50" s="39">
        <f>F50*E50+364.4*66</f>
        <v>89398.399999999994</v>
      </c>
      <c r="H50" s="752">
        <v>42960</v>
      </c>
      <c r="I50" s="813" t="s">
        <v>1172</v>
      </c>
      <c r="L50" s="195"/>
      <c r="M50" s="195"/>
      <c r="N50" s="195"/>
    </row>
    <row r="51" spans="1:14" x14ac:dyDescent="0.25">
      <c r="A51" s="290" t="s">
        <v>1197</v>
      </c>
      <c r="B51" s="188" t="s">
        <v>1198</v>
      </c>
      <c r="C51" s="678">
        <v>42957</v>
      </c>
      <c r="D51" s="270">
        <f t="shared" si="1"/>
        <v>4712</v>
      </c>
      <c r="E51" s="261">
        <v>32.86</v>
      </c>
      <c r="F51" s="29">
        <v>54</v>
      </c>
      <c r="G51" s="39">
        <f t="shared" si="0"/>
        <v>1774.44</v>
      </c>
      <c r="H51" s="752">
        <v>42960</v>
      </c>
      <c r="I51" s="813" t="s">
        <v>1172</v>
      </c>
      <c r="L51" s="195"/>
      <c r="M51" s="195"/>
      <c r="N51" s="195"/>
    </row>
    <row r="52" spans="1:14" x14ac:dyDescent="0.25">
      <c r="A52" s="290" t="s">
        <v>1220</v>
      </c>
      <c r="B52" s="188" t="s">
        <v>1182</v>
      </c>
      <c r="C52" s="678">
        <v>42957</v>
      </c>
      <c r="D52" s="270">
        <f t="shared" si="1"/>
        <v>4713</v>
      </c>
      <c r="E52" s="261">
        <v>24818</v>
      </c>
      <c r="F52" s="29">
        <v>1</v>
      </c>
      <c r="G52" s="39">
        <f t="shared" si="0"/>
        <v>24818</v>
      </c>
      <c r="H52" s="752">
        <v>42980</v>
      </c>
      <c r="I52" s="813" t="s">
        <v>1172</v>
      </c>
      <c r="L52" s="195"/>
      <c r="M52" s="195"/>
      <c r="N52" s="195"/>
    </row>
    <row r="53" spans="1:14" x14ac:dyDescent="0.25">
      <c r="A53" s="290" t="s">
        <v>1208</v>
      </c>
      <c r="B53" s="188" t="s">
        <v>206</v>
      </c>
      <c r="C53" s="678">
        <v>42958</v>
      </c>
      <c r="D53" s="270">
        <f t="shared" si="1"/>
        <v>4714</v>
      </c>
      <c r="E53" s="261">
        <v>550</v>
      </c>
      <c r="F53" s="29">
        <v>67</v>
      </c>
      <c r="G53" s="39">
        <f t="shared" si="0"/>
        <v>36850</v>
      </c>
      <c r="H53" s="752">
        <v>42958</v>
      </c>
      <c r="I53" s="813" t="s">
        <v>1172</v>
      </c>
      <c r="L53" s="195"/>
      <c r="M53" s="195"/>
      <c r="N53" s="195"/>
    </row>
    <row r="54" spans="1:14" x14ac:dyDescent="0.25">
      <c r="A54" s="290" t="s">
        <v>1171</v>
      </c>
      <c r="B54" s="188" t="s">
        <v>206</v>
      </c>
      <c r="C54" s="678">
        <v>42958</v>
      </c>
      <c r="D54" s="270">
        <f t="shared" si="1"/>
        <v>4715</v>
      </c>
      <c r="E54" s="261">
        <v>755.6</v>
      </c>
      <c r="F54" s="29">
        <v>68</v>
      </c>
      <c r="G54" s="39">
        <f>F54*E54+404.1*65</f>
        <v>77647.3</v>
      </c>
      <c r="H54" s="752">
        <v>42958</v>
      </c>
      <c r="I54" s="813" t="s">
        <v>1172</v>
      </c>
      <c r="J54" s="8"/>
      <c r="L54" s="195"/>
      <c r="M54" s="195"/>
      <c r="N54" s="195"/>
    </row>
    <row r="55" spans="1:14" x14ac:dyDescent="0.25">
      <c r="A55" s="290" t="s">
        <v>1220</v>
      </c>
      <c r="B55" s="188" t="s">
        <v>207</v>
      </c>
      <c r="C55" s="678">
        <v>42958</v>
      </c>
      <c r="D55" s="270">
        <f t="shared" si="1"/>
        <v>4716</v>
      </c>
      <c r="E55" s="261">
        <v>215.6</v>
      </c>
      <c r="F55" s="29">
        <v>48</v>
      </c>
      <c r="G55" s="39">
        <f>F55*E55+150*38</f>
        <v>16048.8</v>
      </c>
      <c r="H55" s="830">
        <v>42980</v>
      </c>
      <c r="I55" s="831" t="s">
        <v>1172</v>
      </c>
      <c r="L55" s="195"/>
      <c r="M55" s="195"/>
      <c r="N55" s="195"/>
    </row>
    <row r="56" spans="1:14" x14ac:dyDescent="0.25">
      <c r="A56" s="293" t="s">
        <v>1208</v>
      </c>
      <c r="B56" s="188" t="s">
        <v>206</v>
      </c>
      <c r="C56" s="678">
        <v>42959</v>
      </c>
      <c r="D56" s="270">
        <f t="shared" si="1"/>
        <v>4717</v>
      </c>
      <c r="E56" s="261">
        <v>124.8</v>
      </c>
      <c r="F56" s="29">
        <v>65</v>
      </c>
      <c r="G56" s="39">
        <f t="shared" si="0"/>
        <v>8112</v>
      </c>
      <c r="H56" s="752">
        <v>42959</v>
      </c>
      <c r="I56" s="813" t="s">
        <v>1172</v>
      </c>
      <c r="J56" s="8"/>
      <c r="L56" s="195"/>
      <c r="M56" s="195"/>
      <c r="N56" s="195"/>
    </row>
    <row r="57" spans="1:14" x14ac:dyDescent="0.25">
      <c r="A57" s="293" t="s">
        <v>1519</v>
      </c>
      <c r="B57" s="188"/>
      <c r="C57" s="678"/>
      <c r="D57" s="270">
        <f t="shared" si="1"/>
        <v>4718</v>
      </c>
      <c r="G57" s="39">
        <f t="shared" si="0"/>
        <v>0</v>
      </c>
      <c r="H57" s="752"/>
      <c r="J57" s="8"/>
      <c r="L57" s="195"/>
      <c r="M57" s="195"/>
      <c r="N57" s="195"/>
    </row>
    <row r="58" spans="1:14" x14ac:dyDescent="0.25">
      <c r="A58" s="293" t="s">
        <v>1171</v>
      </c>
      <c r="B58" s="188" t="s">
        <v>206</v>
      </c>
      <c r="C58" s="678">
        <v>42959</v>
      </c>
      <c r="D58" s="270">
        <f t="shared" si="1"/>
        <v>4719</v>
      </c>
      <c r="E58" s="261">
        <v>1484</v>
      </c>
      <c r="F58" s="29">
        <v>68</v>
      </c>
      <c r="G58" s="39">
        <f t="shared" si="0"/>
        <v>100912</v>
      </c>
      <c r="H58" s="752">
        <v>42961</v>
      </c>
      <c r="I58" s="813" t="s">
        <v>1172</v>
      </c>
      <c r="J58" s="8"/>
      <c r="L58" s="195"/>
      <c r="M58" s="195"/>
      <c r="N58" s="195"/>
    </row>
    <row r="59" spans="1:14" x14ac:dyDescent="0.25">
      <c r="A59" s="290" t="s">
        <v>1519</v>
      </c>
      <c r="B59" s="189"/>
      <c r="C59" s="678"/>
      <c r="D59" s="270">
        <f t="shared" si="1"/>
        <v>4720</v>
      </c>
      <c r="G59" s="39">
        <f t="shared" si="0"/>
        <v>0</v>
      </c>
      <c r="H59" s="752"/>
      <c r="L59" s="195"/>
      <c r="M59" s="195"/>
      <c r="N59" s="195"/>
    </row>
    <row r="60" spans="1:14" x14ac:dyDescent="0.25">
      <c r="A60" s="290" t="s">
        <v>1171</v>
      </c>
      <c r="B60" s="189" t="s">
        <v>206</v>
      </c>
      <c r="C60" s="678">
        <v>42961</v>
      </c>
      <c r="D60" s="270">
        <f t="shared" si="1"/>
        <v>4721</v>
      </c>
      <c r="E60" s="261">
        <v>877.3</v>
      </c>
      <c r="F60" s="29">
        <v>68</v>
      </c>
      <c r="G60" s="39">
        <f>F60*E60+513.8*66</f>
        <v>93567.199999999983</v>
      </c>
      <c r="H60" s="752">
        <v>42963</v>
      </c>
      <c r="I60" s="813" t="s">
        <v>1172</v>
      </c>
      <c r="L60" s="195"/>
      <c r="M60" s="195"/>
      <c r="N60" s="195"/>
    </row>
    <row r="61" spans="1:14" x14ac:dyDescent="0.25">
      <c r="A61" s="290" t="s">
        <v>1173</v>
      </c>
      <c r="B61" s="189" t="s">
        <v>1534</v>
      </c>
      <c r="C61" s="678">
        <v>42960</v>
      </c>
      <c r="D61" s="270">
        <f t="shared" si="1"/>
        <v>4722</v>
      </c>
      <c r="E61" s="261">
        <v>595</v>
      </c>
      <c r="F61" s="29">
        <v>48</v>
      </c>
      <c r="G61" s="39">
        <f>F61*E61+100.9*59+165.6*27</f>
        <v>38984.299999999996</v>
      </c>
      <c r="H61" s="752">
        <v>42960</v>
      </c>
      <c r="I61" s="813" t="s">
        <v>1172</v>
      </c>
      <c r="L61" s="195"/>
      <c r="M61" s="195"/>
      <c r="N61" s="195"/>
    </row>
    <row r="62" spans="1:14" x14ac:dyDescent="0.25">
      <c r="A62" s="290" t="s">
        <v>1173</v>
      </c>
      <c r="B62" s="188" t="s">
        <v>1533</v>
      </c>
      <c r="C62" s="678">
        <v>42959</v>
      </c>
      <c r="D62" s="270">
        <f t="shared" si="1"/>
        <v>4723</v>
      </c>
      <c r="E62" s="261">
        <v>146</v>
      </c>
      <c r="F62" s="29">
        <v>27</v>
      </c>
      <c r="G62" s="39">
        <f t="shared" si="0"/>
        <v>3942</v>
      </c>
      <c r="H62" s="752">
        <v>42967</v>
      </c>
      <c r="I62" s="813" t="s">
        <v>1172</v>
      </c>
      <c r="J62" s="8"/>
      <c r="L62" s="195"/>
      <c r="M62" s="195"/>
      <c r="N62" s="195"/>
    </row>
    <row r="63" spans="1:14" x14ac:dyDescent="0.25">
      <c r="A63" s="290" t="s">
        <v>1182</v>
      </c>
      <c r="B63" s="188" t="s">
        <v>1535</v>
      </c>
      <c r="C63" s="678">
        <v>42961</v>
      </c>
      <c r="D63" s="270">
        <f t="shared" si="1"/>
        <v>4724</v>
      </c>
      <c r="E63" s="261">
        <v>217.4</v>
      </c>
      <c r="F63" s="29">
        <v>85.2</v>
      </c>
      <c r="G63" s="39">
        <f t="shared" si="0"/>
        <v>18522.48</v>
      </c>
      <c r="H63" s="752">
        <v>42961</v>
      </c>
      <c r="I63" s="813" t="s">
        <v>1172</v>
      </c>
      <c r="J63" s="8"/>
      <c r="L63" s="195"/>
      <c r="M63" s="195"/>
      <c r="N63" s="195"/>
    </row>
    <row r="64" spans="1:14" x14ac:dyDescent="0.25">
      <c r="A64" s="290" t="s">
        <v>1192</v>
      </c>
      <c r="B64" s="188" t="s">
        <v>1230</v>
      </c>
      <c r="C64" s="678">
        <v>42962</v>
      </c>
      <c r="D64" s="270">
        <f t="shared" si="1"/>
        <v>4725</v>
      </c>
      <c r="E64" s="261">
        <v>13.3</v>
      </c>
      <c r="F64" s="29">
        <v>64</v>
      </c>
      <c r="G64" s="39">
        <f t="shared" si="0"/>
        <v>851.2</v>
      </c>
      <c r="H64" s="752">
        <v>42962</v>
      </c>
      <c r="I64" s="813" t="s">
        <v>1172</v>
      </c>
      <c r="J64" s="8"/>
      <c r="L64" s="195"/>
      <c r="M64" s="195"/>
      <c r="N64" s="195"/>
    </row>
    <row r="65" spans="1:14" x14ac:dyDescent="0.25">
      <c r="A65" s="290" t="s">
        <v>1220</v>
      </c>
      <c r="B65" s="188" t="s">
        <v>207</v>
      </c>
      <c r="C65" s="678">
        <v>42961</v>
      </c>
      <c r="D65" s="270">
        <f t="shared" si="1"/>
        <v>4726</v>
      </c>
      <c r="E65" s="261">
        <v>105</v>
      </c>
      <c r="F65" s="29">
        <v>38</v>
      </c>
      <c r="G65" s="39">
        <f t="shared" si="0"/>
        <v>3990</v>
      </c>
      <c r="H65" s="830">
        <v>42980</v>
      </c>
      <c r="I65" s="831" t="s">
        <v>1172</v>
      </c>
      <c r="J65" s="8"/>
      <c r="L65" s="195"/>
      <c r="M65" s="195"/>
      <c r="N65" s="195"/>
    </row>
    <row r="66" spans="1:14" x14ac:dyDescent="0.25">
      <c r="A66" s="290" t="s">
        <v>1197</v>
      </c>
      <c r="B66" s="188" t="s">
        <v>1473</v>
      </c>
      <c r="C66" s="678">
        <v>42960</v>
      </c>
      <c r="D66" s="270">
        <f t="shared" si="1"/>
        <v>4727</v>
      </c>
      <c r="E66" s="261">
        <v>30.02</v>
      </c>
      <c r="F66" s="29">
        <v>24</v>
      </c>
      <c r="G66" s="39">
        <f t="shared" si="0"/>
        <v>720.48</v>
      </c>
      <c r="H66" s="752">
        <v>42960</v>
      </c>
      <c r="I66" s="813" t="s">
        <v>1172</v>
      </c>
      <c r="L66" s="195"/>
      <c r="M66" s="195"/>
      <c r="N66" s="195"/>
    </row>
    <row r="67" spans="1:14" x14ac:dyDescent="0.25">
      <c r="A67" s="290" t="s">
        <v>1477</v>
      </c>
      <c r="B67" s="188" t="s">
        <v>206</v>
      </c>
      <c r="C67" s="678">
        <v>42961</v>
      </c>
      <c r="D67" s="270">
        <f t="shared" si="1"/>
        <v>4728</v>
      </c>
      <c r="E67" s="261">
        <v>1919.4</v>
      </c>
      <c r="F67" s="29">
        <v>66</v>
      </c>
      <c r="G67" s="39">
        <f t="shared" si="0"/>
        <v>126680.40000000001</v>
      </c>
      <c r="H67" s="752">
        <v>42966</v>
      </c>
      <c r="I67" s="813" t="s">
        <v>1172</v>
      </c>
      <c r="J67" s="8"/>
      <c r="L67" s="195"/>
      <c r="M67" s="195"/>
      <c r="N67" s="195"/>
    </row>
    <row r="68" spans="1:14" ht="17.25" customHeight="1" x14ac:dyDescent="0.25">
      <c r="A68" s="290" t="s">
        <v>1197</v>
      </c>
      <c r="B68" s="295" t="s">
        <v>1473</v>
      </c>
      <c r="C68" s="678">
        <v>42962</v>
      </c>
      <c r="D68" s="270">
        <f t="shared" si="1"/>
        <v>4729</v>
      </c>
      <c r="E68" s="296">
        <v>60</v>
      </c>
      <c r="F68" s="297">
        <v>24</v>
      </c>
      <c r="G68" s="39">
        <f t="shared" si="0"/>
        <v>1440</v>
      </c>
      <c r="H68" s="783">
        <v>42965</v>
      </c>
      <c r="I68" s="815" t="s">
        <v>1172</v>
      </c>
      <c r="J68" s="300"/>
      <c r="K68" s="208"/>
      <c r="L68" s="301"/>
      <c r="M68" s="301"/>
      <c r="N68" s="301"/>
    </row>
    <row r="69" spans="1:14" x14ac:dyDescent="0.25">
      <c r="A69" s="290" t="s">
        <v>1517</v>
      </c>
      <c r="B69" s="188" t="s">
        <v>248</v>
      </c>
      <c r="C69" s="678">
        <v>42963</v>
      </c>
      <c r="D69" s="270">
        <f t="shared" si="1"/>
        <v>4730</v>
      </c>
      <c r="E69" s="261">
        <v>400</v>
      </c>
      <c r="F69" s="29">
        <v>38</v>
      </c>
      <c r="G69" s="39">
        <f t="shared" si="0"/>
        <v>15200</v>
      </c>
      <c r="H69" s="752">
        <v>42963</v>
      </c>
      <c r="I69" s="813" t="s">
        <v>1172</v>
      </c>
      <c r="K69" s="302"/>
      <c r="L69" s="302"/>
      <c r="M69" s="302"/>
      <c r="N69" s="302"/>
    </row>
    <row r="70" spans="1:14" ht="30" x14ac:dyDescent="0.25">
      <c r="A70" s="290" t="s">
        <v>1171</v>
      </c>
      <c r="B70" s="817" t="s">
        <v>206</v>
      </c>
      <c r="C70" s="833">
        <v>42963</v>
      </c>
      <c r="D70" s="818">
        <f t="shared" ref="D70:D123" si="2">D69+1</f>
        <v>4731</v>
      </c>
      <c r="E70" s="819">
        <v>1090.4000000000001</v>
      </c>
      <c r="F70" s="820">
        <v>68</v>
      </c>
      <c r="G70" s="821">
        <f>F70*E70+259.4*66</f>
        <v>91267.6</v>
      </c>
      <c r="H70" s="822" t="s">
        <v>1536</v>
      </c>
      <c r="I70" s="823" t="s">
        <v>1172</v>
      </c>
      <c r="J70" s="816"/>
      <c r="K70" s="302"/>
      <c r="L70" s="302"/>
      <c r="M70" s="302"/>
      <c r="N70" s="302"/>
    </row>
    <row r="71" spans="1:14" x14ac:dyDescent="0.25">
      <c r="A71" s="290" t="s">
        <v>1364</v>
      </c>
      <c r="B71" s="303" t="s">
        <v>1314</v>
      </c>
      <c r="C71" s="678">
        <v>42963</v>
      </c>
      <c r="D71" s="270">
        <f t="shared" si="2"/>
        <v>4732</v>
      </c>
      <c r="E71" s="261">
        <v>51.7</v>
      </c>
      <c r="F71" s="29">
        <v>77</v>
      </c>
      <c r="G71" s="39">
        <f t="shared" si="0"/>
        <v>3980.9</v>
      </c>
      <c r="H71" s="752">
        <v>42963</v>
      </c>
      <c r="I71" s="813" t="s">
        <v>1172</v>
      </c>
      <c r="L71" s="195"/>
      <c r="M71" s="195"/>
      <c r="N71" s="195"/>
    </row>
    <row r="72" spans="1:14" x14ac:dyDescent="0.25">
      <c r="A72" s="290" t="s">
        <v>1493</v>
      </c>
      <c r="B72" s="303" t="s">
        <v>1222</v>
      </c>
      <c r="C72" s="678">
        <v>42964</v>
      </c>
      <c r="D72" s="270">
        <f t="shared" si="2"/>
        <v>4733</v>
      </c>
      <c r="E72" s="261">
        <v>462.2</v>
      </c>
      <c r="F72" s="29">
        <v>13.5</v>
      </c>
      <c r="G72" s="39">
        <f t="shared" si="0"/>
        <v>6239.7</v>
      </c>
      <c r="H72" s="752">
        <v>42964</v>
      </c>
      <c r="I72" s="813" t="s">
        <v>1172</v>
      </c>
      <c r="L72" s="195"/>
      <c r="M72" s="195"/>
      <c r="N72" s="195"/>
    </row>
    <row r="73" spans="1:14" x14ac:dyDescent="0.25">
      <c r="A73" s="290" t="s">
        <v>1493</v>
      </c>
      <c r="B73" s="188" t="s">
        <v>1222</v>
      </c>
      <c r="C73" s="678">
        <v>42964</v>
      </c>
      <c r="D73" s="270">
        <f t="shared" si="2"/>
        <v>4734</v>
      </c>
      <c r="E73" s="261">
        <v>118.5</v>
      </c>
      <c r="F73" s="29">
        <v>13.5</v>
      </c>
      <c r="G73" s="39">
        <f t="shared" si="0"/>
        <v>1599.75</v>
      </c>
      <c r="H73" s="752">
        <v>42964</v>
      </c>
      <c r="I73" s="813" t="s">
        <v>1172</v>
      </c>
      <c r="L73" s="195"/>
      <c r="M73" s="195"/>
      <c r="N73" s="195"/>
    </row>
    <row r="74" spans="1:14" x14ac:dyDescent="0.25">
      <c r="A74" s="290" t="s">
        <v>1282</v>
      </c>
      <c r="B74" s="188" t="s">
        <v>1212</v>
      </c>
      <c r="C74" s="678">
        <v>42964</v>
      </c>
      <c r="D74" s="270">
        <f t="shared" si="2"/>
        <v>4735</v>
      </c>
      <c r="E74" s="261">
        <v>75</v>
      </c>
      <c r="F74" s="29">
        <v>54</v>
      </c>
      <c r="G74" s="39">
        <f t="shared" si="0"/>
        <v>4050</v>
      </c>
      <c r="H74" s="752">
        <v>42966</v>
      </c>
      <c r="I74" s="813" t="s">
        <v>1172</v>
      </c>
      <c r="L74" s="195"/>
      <c r="M74" s="195"/>
      <c r="N74" s="195"/>
    </row>
    <row r="75" spans="1:14" x14ac:dyDescent="0.25">
      <c r="A75" s="291" t="s">
        <v>1220</v>
      </c>
      <c r="B75" s="188" t="s">
        <v>1182</v>
      </c>
      <c r="C75" s="678">
        <v>42961</v>
      </c>
      <c r="D75" s="270">
        <f t="shared" si="2"/>
        <v>4736</v>
      </c>
      <c r="E75" s="261">
        <v>18950</v>
      </c>
      <c r="F75" s="29">
        <v>1</v>
      </c>
      <c r="G75" s="39">
        <f t="shared" si="0"/>
        <v>18950</v>
      </c>
      <c r="H75" s="835">
        <v>42980</v>
      </c>
      <c r="I75" s="827" t="s">
        <v>1172</v>
      </c>
      <c r="J75" s="8"/>
      <c r="L75" s="195"/>
      <c r="M75" s="195"/>
      <c r="N75" s="195"/>
    </row>
    <row r="76" spans="1:14" x14ac:dyDescent="0.25">
      <c r="A76" s="290" t="s">
        <v>1220</v>
      </c>
      <c r="B76" s="188" t="s">
        <v>1182</v>
      </c>
      <c r="C76" s="678">
        <v>42964</v>
      </c>
      <c r="D76" s="270">
        <f t="shared" si="2"/>
        <v>4737</v>
      </c>
      <c r="E76" s="261">
        <v>33568</v>
      </c>
      <c r="F76" s="29">
        <v>1</v>
      </c>
      <c r="G76" s="39">
        <f t="shared" si="0"/>
        <v>33568</v>
      </c>
      <c r="H76" s="830">
        <v>42980</v>
      </c>
      <c r="I76" s="831" t="s">
        <v>1172</v>
      </c>
      <c r="J76" s="8"/>
      <c r="L76" s="195"/>
      <c r="M76" s="195"/>
      <c r="N76" s="195"/>
    </row>
    <row r="77" spans="1:14" x14ac:dyDescent="0.25">
      <c r="A77" s="290" t="s">
        <v>1477</v>
      </c>
      <c r="B77" s="188" t="s">
        <v>1286</v>
      </c>
      <c r="C77" s="678">
        <v>42964</v>
      </c>
      <c r="D77" s="270">
        <f t="shared" si="2"/>
        <v>4738</v>
      </c>
      <c r="E77" s="261">
        <v>350.7</v>
      </c>
      <c r="F77" s="29">
        <v>90</v>
      </c>
      <c r="G77" s="39">
        <f t="shared" si="0"/>
        <v>31563</v>
      </c>
      <c r="H77" s="752">
        <v>42966</v>
      </c>
      <c r="I77" s="813" t="s">
        <v>1172</v>
      </c>
      <c r="J77" s="8"/>
      <c r="L77" s="195"/>
      <c r="M77" s="195"/>
      <c r="N77" s="195"/>
    </row>
    <row r="78" spans="1:14" x14ac:dyDescent="0.25">
      <c r="A78" s="290" t="s">
        <v>1208</v>
      </c>
      <c r="B78" s="188" t="s">
        <v>206</v>
      </c>
      <c r="C78" s="678">
        <v>42965</v>
      </c>
      <c r="D78" s="270">
        <f t="shared" si="2"/>
        <v>4739</v>
      </c>
      <c r="E78" s="261">
        <v>588</v>
      </c>
      <c r="F78" s="29">
        <v>67</v>
      </c>
      <c r="G78" s="39">
        <f t="shared" si="0"/>
        <v>39396</v>
      </c>
      <c r="H78" s="752">
        <v>42965</v>
      </c>
      <c r="I78" s="813" t="s">
        <v>1172</v>
      </c>
      <c r="J78" s="8"/>
      <c r="L78" s="195"/>
      <c r="M78" s="195"/>
      <c r="N78" s="195"/>
    </row>
    <row r="79" spans="1:14" x14ac:dyDescent="0.25">
      <c r="A79" s="290" t="s">
        <v>1171</v>
      </c>
      <c r="B79" s="188" t="s">
        <v>206</v>
      </c>
      <c r="C79" s="678">
        <v>42965</v>
      </c>
      <c r="D79" s="270">
        <f t="shared" si="2"/>
        <v>4740</v>
      </c>
      <c r="E79" s="261">
        <v>1310.8</v>
      </c>
      <c r="F79" s="29">
        <v>66</v>
      </c>
      <c r="G79" s="39">
        <f t="shared" si="0"/>
        <v>86512.8</v>
      </c>
      <c r="H79" s="752">
        <v>42966</v>
      </c>
      <c r="I79" s="813" t="s">
        <v>1172</v>
      </c>
      <c r="J79" s="8"/>
      <c r="L79" s="195"/>
      <c r="M79" s="195"/>
      <c r="N79" s="195"/>
    </row>
    <row r="80" spans="1:14" x14ac:dyDescent="0.25">
      <c r="A80" s="290" t="s">
        <v>1220</v>
      </c>
      <c r="B80" s="188" t="s">
        <v>1183</v>
      </c>
      <c r="C80" s="678">
        <v>42961</v>
      </c>
      <c r="D80" s="270">
        <f t="shared" si="2"/>
        <v>4741</v>
      </c>
      <c r="E80" s="261">
        <v>533.9</v>
      </c>
      <c r="F80" s="29">
        <v>55</v>
      </c>
      <c r="G80" s="39">
        <f t="shared" si="0"/>
        <v>29364.5</v>
      </c>
      <c r="H80" s="752">
        <v>42965</v>
      </c>
      <c r="I80" s="813" t="s">
        <v>1172</v>
      </c>
      <c r="J80" s="8"/>
      <c r="L80" s="195"/>
      <c r="M80" s="195"/>
      <c r="N80" s="195"/>
    </row>
    <row r="81" spans="1:14" x14ac:dyDescent="0.25">
      <c r="A81" s="290" t="s">
        <v>1173</v>
      </c>
      <c r="B81" s="189" t="s">
        <v>1533</v>
      </c>
      <c r="C81" s="678">
        <v>42965</v>
      </c>
      <c r="D81" s="270">
        <f t="shared" si="2"/>
        <v>4742</v>
      </c>
      <c r="E81" s="261">
        <v>239.6</v>
      </c>
      <c r="F81" s="29">
        <v>48</v>
      </c>
      <c r="G81" s="39">
        <f>F81*E81+152*58+136*27</f>
        <v>23988.799999999999</v>
      </c>
      <c r="H81" s="752">
        <v>42967</v>
      </c>
      <c r="I81" s="813" t="s">
        <v>1172</v>
      </c>
      <c r="J81" s="8"/>
      <c r="L81" s="195"/>
      <c r="M81" s="195"/>
      <c r="N81" s="195"/>
    </row>
    <row r="82" spans="1:14" x14ac:dyDescent="0.25">
      <c r="A82" s="290" t="s">
        <v>1206</v>
      </c>
      <c r="B82" s="189" t="s">
        <v>1207</v>
      </c>
      <c r="C82" s="678">
        <v>42966</v>
      </c>
      <c r="D82" s="270">
        <f t="shared" si="2"/>
        <v>4743</v>
      </c>
      <c r="E82" s="261">
        <v>199.6</v>
      </c>
      <c r="F82" s="29">
        <v>69</v>
      </c>
      <c r="G82" s="39">
        <f t="shared" si="0"/>
        <v>13772.4</v>
      </c>
      <c r="H82" s="752">
        <v>42966</v>
      </c>
      <c r="I82" s="813" t="s">
        <v>1172</v>
      </c>
      <c r="J82" s="8"/>
      <c r="L82" s="195"/>
      <c r="M82" s="195"/>
      <c r="N82" s="195"/>
    </row>
    <row r="83" spans="1:14" x14ac:dyDescent="0.25">
      <c r="A83" s="290" t="s">
        <v>1173</v>
      </c>
      <c r="B83" s="188" t="s">
        <v>1533</v>
      </c>
      <c r="C83" s="678">
        <v>42966</v>
      </c>
      <c r="D83" s="270">
        <f t="shared" si="2"/>
        <v>4744</v>
      </c>
      <c r="E83" s="261">
        <v>295.89999999999998</v>
      </c>
      <c r="F83" s="29">
        <v>48</v>
      </c>
      <c r="G83" s="39">
        <f>F83*E83+61.3*27</f>
        <v>15858.3</v>
      </c>
      <c r="H83" s="752">
        <v>42967</v>
      </c>
      <c r="I83" s="813" t="s">
        <v>1172</v>
      </c>
      <c r="L83" s="195"/>
      <c r="M83" s="195"/>
      <c r="N83" s="195"/>
    </row>
    <row r="84" spans="1:14" x14ac:dyDescent="0.25">
      <c r="A84" s="290" t="s">
        <v>1171</v>
      </c>
      <c r="B84" s="188" t="s">
        <v>206</v>
      </c>
      <c r="C84" s="678">
        <v>42966</v>
      </c>
      <c r="D84" s="270">
        <f t="shared" si="2"/>
        <v>4745</v>
      </c>
      <c r="E84" s="261">
        <v>1727.1</v>
      </c>
      <c r="F84" s="29">
        <v>68</v>
      </c>
      <c r="G84" s="39">
        <f>F84*E84+215.5*66</f>
        <v>131665.79999999999</v>
      </c>
      <c r="H84" s="752">
        <v>42968</v>
      </c>
      <c r="I84" s="813" t="s">
        <v>1172</v>
      </c>
      <c r="L84" s="195"/>
      <c r="M84" s="195"/>
      <c r="N84" s="195"/>
    </row>
    <row r="85" spans="1:14" x14ac:dyDescent="0.25">
      <c r="A85" s="290" t="s">
        <v>1171</v>
      </c>
      <c r="B85" s="188" t="s">
        <v>206</v>
      </c>
      <c r="C85" s="678">
        <v>42968</v>
      </c>
      <c r="D85" s="270">
        <f t="shared" si="2"/>
        <v>4746</v>
      </c>
      <c r="E85" s="261">
        <v>853.8</v>
      </c>
      <c r="F85" s="29">
        <v>68</v>
      </c>
      <c r="G85" s="39">
        <f>F85*E85+276.2*66</f>
        <v>76287.599999999991</v>
      </c>
      <c r="H85" s="752">
        <v>42968</v>
      </c>
      <c r="I85" s="813" t="s">
        <v>1172</v>
      </c>
      <c r="L85" s="195"/>
      <c r="M85" s="195"/>
      <c r="N85" s="195"/>
    </row>
    <row r="86" spans="1:14" x14ac:dyDescent="0.25">
      <c r="A86" s="290" t="s">
        <v>1257</v>
      </c>
      <c r="B86" s="188" t="s">
        <v>1222</v>
      </c>
      <c r="C86" s="678">
        <v>42969</v>
      </c>
      <c r="D86" s="270">
        <f t="shared" si="2"/>
        <v>4747</v>
      </c>
      <c r="E86" s="261">
        <v>1026.8</v>
      </c>
      <c r="F86" s="29">
        <v>16</v>
      </c>
      <c r="G86" s="39">
        <f t="shared" si="0"/>
        <v>16428.8</v>
      </c>
      <c r="H86" s="752">
        <v>42969</v>
      </c>
      <c r="I86" s="813" t="s">
        <v>1172</v>
      </c>
      <c r="L86" s="195"/>
      <c r="M86" s="195"/>
      <c r="N86" s="195"/>
    </row>
    <row r="87" spans="1:14" x14ac:dyDescent="0.25">
      <c r="A87" s="290" t="s">
        <v>1182</v>
      </c>
      <c r="B87" s="188" t="s">
        <v>1537</v>
      </c>
      <c r="C87" s="678">
        <v>42969</v>
      </c>
      <c r="D87" s="270">
        <f t="shared" si="2"/>
        <v>4748</v>
      </c>
      <c r="E87" s="261">
        <v>19250.400000000001</v>
      </c>
      <c r="F87" s="29">
        <v>1</v>
      </c>
      <c r="G87" s="39">
        <f t="shared" si="0"/>
        <v>19250.400000000001</v>
      </c>
      <c r="H87" s="752">
        <v>42969</v>
      </c>
      <c r="I87" s="813" t="s">
        <v>1172</v>
      </c>
      <c r="L87" s="195"/>
      <c r="M87" s="195"/>
      <c r="N87" s="195"/>
    </row>
    <row r="88" spans="1:14" x14ac:dyDescent="0.25">
      <c r="A88" s="290" t="s">
        <v>1220</v>
      </c>
      <c r="B88" s="188" t="s">
        <v>1182</v>
      </c>
      <c r="C88" s="678">
        <v>42969</v>
      </c>
      <c r="D88" s="270">
        <f t="shared" si="2"/>
        <v>4749</v>
      </c>
      <c r="E88" s="261">
        <v>53002</v>
      </c>
      <c r="F88" s="29">
        <v>1</v>
      </c>
      <c r="G88" s="39">
        <f t="shared" si="0"/>
        <v>53002</v>
      </c>
      <c r="H88" s="830">
        <v>43000</v>
      </c>
      <c r="I88" s="831" t="s">
        <v>1172</v>
      </c>
      <c r="L88" s="195"/>
      <c r="M88" s="195"/>
      <c r="N88" s="195"/>
    </row>
    <row r="89" spans="1:14" x14ac:dyDescent="0.25">
      <c r="A89" s="290" t="s">
        <v>1171</v>
      </c>
      <c r="B89" s="188" t="s">
        <v>206</v>
      </c>
      <c r="C89" s="678">
        <v>42969</v>
      </c>
      <c r="D89" s="270">
        <f t="shared" si="2"/>
        <v>4750</v>
      </c>
      <c r="E89" s="261">
        <v>841</v>
      </c>
      <c r="F89" s="29">
        <v>68</v>
      </c>
      <c r="G89" s="39">
        <f>F89*E89+250.5*66+66.1*60</f>
        <v>77687</v>
      </c>
      <c r="H89" s="752">
        <v>42971</v>
      </c>
      <c r="I89" s="813" t="s">
        <v>1172</v>
      </c>
      <c r="L89" s="195"/>
      <c r="M89" s="195"/>
      <c r="N89" s="195"/>
    </row>
    <row r="90" spans="1:14" x14ac:dyDescent="0.25">
      <c r="A90" s="290" t="s">
        <v>1173</v>
      </c>
      <c r="B90" s="188" t="s">
        <v>1533</v>
      </c>
      <c r="C90" s="678">
        <v>42969</v>
      </c>
      <c r="D90" s="270">
        <f t="shared" si="2"/>
        <v>4751</v>
      </c>
      <c r="E90" s="261">
        <v>300</v>
      </c>
      <c r="F90" s="29">
        <v>48</v>
      </c>
      <c r="G90" s="39">
        <f>F90*E90+97*27+166.4*60</f>
        <v>27003</v>
      </c>
      <c r="H90" s="752">
        <v>42976</v>
      </c>
      <c r="I90" s="813" t="s">
        <v>1172</v>
      </c>
      <c r="L90" s="195"/>
      <c r="M90" s="195"/>
      <c r="N90" s="195"/>
    </row>
    <row r="91" spans="1:14" x14ac:dyDescent="0.25">
      <c r="A91" s="304" t="s">
        <v>1538</v>
      </c>
      <c r="B91" s="188" t="s">
        <v>1203</v>
      </c>
      <c r="C91" s="681">
        <v>42970</v>
      </c>
      <c r="D91" s="270">
        <f t="shared" si="2"/>
        <v>4752</v>
      </c>
      <c r="E91" s="261">
        <v>82.6</v>
      </c>
      <c r="F91" s="29">
        <v>41</v>
      </c>
      <c r="G91" s="39">
        <f t="shared" ref="G91:G123" si="3">F91*E91</f>
        <v>3386.6</v>
      </c>
      <c r="H91" s="752">
        <v>42970</v>
      </c>
      <c r="I91" s="813" t="s">
        <v>1172</v>
      </c>
      <c r="L91" s="195"/>
      <c r="M91" s="195"/>
      <c r="N91" s="195"/>
    </row>
    <row r="92" spans="1:14" x14ac:dyDescent="0.25">
      <c r="A92" s="290" t="s">
        <v>1180</v>
      </c>
      <c r="B92" s="188" t="s">
        <v>1214</v>
      </c>
      <c r="C92" s="678">
        <v>42970</v>
      </c>
      <c r="D92" s="270">
        <f t="shared" si="2"/>
        <v>4753</v>
      </c>
      <c r="E92" s="261">
        <v>374.8</v>
      </c>
      <c r="F92" s="29">
        <v>38</v>
      </c>
      <c r="G92" s="39">
        <f t="shared" si="3"/>
        <v>14242.4</v>
      </c>
      <c r="H92" s="752">
        <v>42970</v>
      </c>
      <c r="I92" s="813" t="s">
        <v>1172</v>
      </c>
      <c r="L92" s="195"/>
      <c r="M92" s="195"/>
      <c r="N92" s="195"/>
    </row>
    <row r="93" spans="1:14" x14ac:dyDescent="0.25">
      <c r="A93" s="290" t="s">
        <v>1530</v>
      </c>
      <c r="B93" s="188" t="s">
        <v>1233</v>
      </c>
      <c r="C93" s="678">
        <v>42970</v>
      </c>
      <c r="D93" s="270">
        <f t="shared" si="2"/>
        <v>4754</v>
      </c>
      <c r="E93" s="261">
        <v>422.5</v>
      </c>
      <c r="F93" s="29">
        <v>50</v>
      </c>
      <c r="G93" s="39">
        <f t="shared" si="3"/>
        <v>21125</v>
      </c>
      <c r="H93" s="830">
        <v>42992</v>
      </c>
      <c r="I93" s="831" t="s">
        <v>1172</v>
      </c>
      <c r="L93" s="195"/>
      <c r="M93" s="195"/>
      <c r="N93" s="195"/>
    </row>
    <row r="94" spans="1:14" x14ac:dyDescent="0.25">
      <c r="A94" s="290" t="s">
        <v>1171</v>
      </c>
      <c r="B94" s="188" t="s">
        <v>206</v>
      </c>
      <c r="C94" s="678">
        <v>42970</v>
      </c>
      <c r="D94" s="270">
        <f t="shared" si="2"/>
        <v>4755</v>
      </c>
      <c r="E94" s="261">
        <v>715.2</v>
      </c>
      <c r="F94" s="29">
        <v>68</v>
      </c>
      <c r="G94" s="39">
        <f t="shared" si="3"/>
        <v>48633.600000000006</v>
      </c>
      <c r="H94" s="752">
        <v>42973</v>
      </c>
      <c r="I94" s="813" t="s">
        <v>1172</v>
      </c>
      <c r="L94" s="195"/>
      <c r="M94" s="195"/>
      <c r="N94" s="195"/>
    </row>
    <row r="95" spans="1:14" x14ac:dyDescent="0.25">
      <c r="A95" s="290" t="s">
        <v>1220</v>
      </c>
      <c r="B95" s="188" t="s">
        <v>1233</v>
      </c>
      <c r="C95" s="678">
        <v>42970</v>
      </c>
      <c r="D95" s="270">
        <f t="shared" si="2"/>
        <v>4756</v>
      </c>
      <c r="E95" s="261">
        <v>136.80000000000001</v>
      </c>
      <c r="F95" s="29">
        <v>50</v>
      </c>
      <c r="G95" s="39">
        <f t="shared" si="3"/>
        <v>6840.0000000000009</v>
      </c>
      <c r="H95" s="830">
        <v>43000</v>
      </c>
      <c r="I95" s="831" t="s">
        <v>1172</v>
      </c>
      <c r="L95" s="195"/>
      <c r="M95" s="195"/>
      <c r="N95" s="195"/>
    </row>
    <row r="96" spans="1:14" x14ac:dyDescent="0.25">
      <c r="A96" s="290" t="s">
        <v>1208</v>
      </c>
      <c r="B96" s="188" t="s">
        <v>1540</v>
      </c>
      <c r="C96" s="678">
        <v>42970</v>
      </c>
      <c r="D96" s="270">
        <f t="shared" si="2"/>
        <v>4757</v>
      </c>
      <c r="E96" s="261">
        <v>238</v>
      </c>
      <c r="F96" s="29">
        <v>66.5</v>
      </c>
      <c r="G96" s="39">
        <f t="shared" si="3"/>
        <v>15827</v>
      </c>
      <c r="H96" s="752">
        <v>42971</v>
      </c>
      <c r="I96" s="813" t="s">
        <v>1172</v>
      </c>
      <c r="L96" s="195"/>
      <c r="M96" s="195"/>
      <c r="N96" s="195"/>
    </row>
    <row r="97" spans="1:14" x14ac:dyDescent="0.25">
      <c r="A97" s="290" t="s">
        <v>1197</v>
      </c>
      <c r="B97" s="188" t="s">
        <v>1198</v>
      </c>
      <c r="C97" s="678">
        <v>42970</v>
      </c>
      <c r="D97" s="270">
        <f t="shared" si="2"/>
        <v>4758</v>
      </c>
      <c r="E97" s="261">
        <v>101.7</v>
      </c>
      <c r="F97" s="29">
        <v>60</v>
      </c>
      <c r="G97" s="39">
        <f t="shared" si="3"/>
        <v>6102</v>
      </c>
      <c r="H97" s="830">
        <v>42980</v>
      </c>
      <c r="I97" s="831" t="s">
        <v>1172</v>
      </c>
      <c r="L97" s="195"/>
      <c r="M97" s="195"/>
      <c r="N97" s="195"/>
    </row>
    <row r="98" spans="1:14" x14ac:dyDescent="0.25">
      <c r="A98" s="290" t="s">
        <v>1519</v>
      </c>
      <c r="B98" s="188"/>
      <c r="C98" s="678"/>
      <c r="D98" s="270">
        <f t="shared" si="2"/>
        <v>4759</v>
      </c>
      <c r="G98" s="39">
        <f t="shared" si="3"/>
        <v>0</v>
      </c>
      <c r="H98" s="752"/>
      <c r="L98" s="195"/>
      <c r="M98" s="195"/>
      <c r="N98" s="195"/>
    </row>
    <row r="99" spans="1:14" x14ac:dyDescent="0.25">
      <c r="A99" s="304" t="s">
        <v>1197</v>
      </c>
      <c r="B99" s="188" t="s">
        <v>1548</v>
      </c>
      <c r="C99" s="681">
        <v>42971</v>
      </c>
      <c r="D99" s="270">
        <f t="shared" si="2"/>
        <v>4760</v>
      </c>
      <c r="E99" s="261">
        <v>547.9</v>
      </c>
      <c r="F99" s="29">
        <v>50</v>
      </c>
      <c r="G99" s="39">
        <f>F99*E99+67.7*56</f>
        <v>31186.2</v>
      </c>
      <c r="H99" s="830">
        <v>42980</v>
      </c>
      <c r="I99" s="831" t="s">
        <v>1172</v>
      </c>
      <c r="L99" s="195"/>
      <c r="M99" s="195"/>
      <c r="N99" s="195"/>
    </row>
    <row r="100" spans="1:14" x14ac:dyDescent="0.25">
      <c r="A100" s="304" t="s">
        <v>1173</v>
      </c>
      <c r="B100" s="188" t="s">
        <v>1533</v>
      </c>
      <c r="C100" s="681">
        <v>42971</v>
      </c>
      <c r="D100" s="270">
        <f t="shared" si="2"/>
        <v>4761</v>
      </c>
      <c r="E100" s="261">
        <v>351.9</v>
      </c>
      <c r="F100" s="29">
        <v>48</v>
      </c>
      <c r="G100" s="39">
        <f>F100*E100+209*27</f>
        <v>22534.199999999997</v>
      </c>
      <c r="H100" s="752">
        <v>42976</v>
      </c>
      <c r="I100" s="813" t="s">
        <v>1172</v>
      </c>
      <c r="L100" s="195"/>
      <c r="M100" s="195"/>
      <c r="N100" s="195"/>
    </row>
    <row r="101" spans="1:14" x14ac:dyDescent="0.25">
      <c r="A101" s="290" t="s">
        <v>1208</v>
      </c>
      <c r="B101" s="188" t="s">
        <v>206</v>
      </c>
      <c r="C101" s="678">
        <v>42972</v>
      </c>
      <c r="D101" s="270">
        <f t="shared" si="2"/>
        <v>4762</v>
      </c>
      <c r="E101" s="261">
        <v>439</v>
      </c>
      <c r="F101" s="29">
        <v>65</v>
      </c>
      <c r="G101" s="39">
        <f t="shared" si="3"/>
        <v>28535</v>
      </c>
      <c r="H101" s="752">
        <v>42976</v>
      </c>
      <c r="I101" s="813" t="s">
        <v>1172</v>
      </c>
      <c r="L101" s="195"/>
      <c r="M101" s="195"/>
      <c r="N101" s="195"/>
    </row>
    <row r="102" spans="1:14" x14ac:dyDescent="0.25">
      <c r="A102" s="290" t="s">
        <v>1517</v>
      </c>
      <c r="B102" s="188" t="s">
        <v>248</v>
      </c>
      <c r="C102" s="678">
        <v>42972</v>
      </c>
      <c r="D102" s="270">
        <f t="shared" si="2"/>
        <v>4763</v>
      </c>
      <c r="E102" s="261">
        <v>200</v>
      </c>
      <c r="F102" s="29">
        <v>38</v>
      </c>
      <c r="G102" s="39">
        <f t="shared" si="3"/>
        <v>7600</v>
      </c>
      <c r="H102" s="752">
        <v>42972</v>
      </c>
      <c r="I102" s="813" t="s">
        <v>1172</v>
      </c>
      <c r="L102" s="195"/>
      <c r="M102" s="195"/>
      <c r="N102" s="195"/>
    </row>
    <row r="103" spans="1:14" x14ac:dyDescent="0.25">
      <c r="A103" s="290" t="s">
        <v>1519</v>
      </c>
      <c r="B103" s="188"/>
      <c r="C103" s="678"/>
      <c r="D103" s="270">
        <f t="shared" si="2"/>
        <v>4764</v>
      </c>
      <c r="G103" s="39">
        <f t="shared" si="3"/>
        <v>0</v>
      </c>
      <c r="H103" s="752"/>
      <c r="L103" s="195"/>
      <c r="M103" s="195"/>
      <c r="N103" s="195"/>
    </row>
    <row r="104" spans="1:14" x14ac:dyDescent="0.25">
      <c r="A104" s="290" t="s">
        <v>1519</v>
      </c>
      <c r="B104" s="188"/>
      <c r="C104" s="678"/>
      <c r="D104" s="270">
        <f t="shared" si="2"/>
        <v>4765</v>
      </c>
      <c r="G104" s="39">
        <f t="shared" si="3"/>
        <v>0</v>
      </c>
      <c r="H104" s="752"/>
      <c r="L104" s="195"/>
      <c r="M104" s="195"/>
      <c r="N104" s="195"/>
    </row>
    <row r="105" spans="1:14" ht="31.5" x14ac:dyDescent="0.25">
      <c r="A105" s="293" t="s">
        <v>1171</v>
      </c>
      <c r="B105" s="189" t="s">
        <v>206</v>
      </c>
      <c r="C105" s="678">
        <v>42972</v>
      </c>
      <c r="D105" s="270">
        <f t="shared" si="2"/>
        <v>4766</v>
      </c>
      <c r="E105" s="261">
        <v>1318.7</v>
      </c>
      <c r="F105" s="29">
        <v>68</v>
      </c>
      <c r="G105" s="39">
        <f t="shared" si="3"/>
        <v>89671.6</v>
      </c>
      <c r="H105" s="824" t="s">
        <v>1543</v>
      </c>
      <c r="I105" s="823" t="s">
        <v>1172</v>
      </c>
      <c r="L105" s="195"/>
      <c r="M105" s="195"/>
      <c r="N105" s="195"/>
    </row>
    <row r="106" spans="1:14" x14ac:dyDescent="0.25">
      <c r="A106" s="293" t="s">
        <v>1173</v>
      </c>
      <c r="B106" s="189" t="s">
        <v>1533</v>
      </c>
      <c r="C106" s="678">
        <v>42972</v>
      </c>
      <c r="D106" s="270">
        <f t="shared" si="2"/>
        <v>4767</v>
      </c>
      <c r="E106" s="261">
        <v>210.4</v>
      </c>
      <c r="F106" s="29">
        <v>27</v>
      </c>
      <c r="G106" s="39">
        <f>F106*E106+50.2*26.95</f>
        <v>7033.6900000000005</v>
      </c>
      <c r="H106" s="752">
        <v>42976</v>
      </c>
      <c r="I106" s="813" t="s">
        <v>1172</v>
      </c>
      <c r="L106" s="195"/>
      <c r="M106" s="195"/>
      <c r="N106" s="195"/>
    </row>
    <row r="107" spans="1:14" x14ac:dyDescent="0.25">
      <c r="A107" s="293" t="s">
        <v>1197</v>
      </c>
      <c r="B107" s="189" t="s">
        <v>1198</v>
      </c>
      <c r="C107" s="678">
        <v>42973</v>
      </c>
      <c r="D107" s="270">
        <f t="shared" si="2"/>
        <v>4768</v>
      </c>
      <c r="E107" s="261">
        <v>121.2</v>
      </c>
      <c r="F107" s="29">
        <v>56</v>
      </c>
      <c r="G107" s="39">
        <f t="shared" si="3"/>
        <v>6787.2</v>
      </c>
      <c r="H107" s="830">
        <v>42980</v>
      </c>
      <c r="I107" s="831" t="s">
        <v>1172</v>
      </c>
      <c r="L107" s="195"/>
      <c r="M107" s="195"/>
      <c r="N107" s="195"/>
    </row>
    <row r="108" spans="1:14" x14ac:dyDescent="0.25">
      <c r="A108" s="293" t="s">
        <v>1182</v>
      </c>
      <c r="B108" s="189" t="s">
        <v>1183</v>
      </c>
      <c r="C108" s="678">
        <v>42973</v>
      </c>
      <c r="D108" s="270">
        <f t="shared" si="2"/>
        <v>4769</v>
      </c>
      <c r="E108" s="261">
        <v>28686</v>
      </c>
      <c r="F108" s="29">
        <v>1</v>
      </c>
      <c r="G108" s="39">
        <f t="shared" si="3"/>
        <v>28686</v>
      </c>
      <c r="H108" s="752">
        <v>42973</v>
      </c>
      <c r="I108" s="813" t="s">
        <v>1172</v>
      </c>
      <c r="L108" s="195"/>
      <c r="M108" s="195"/>
      <c r="N108" s="195"/>
    </row>
    <row r="109" spans="1:14" x14ac:dyDescent="0.25">
      <c r="A109" s="293" t="s">
        <v>1519</v>
      </c>
      <c r="B109" s="189"/>
      <c r="C109" s="678"/>
      <c r="D109" s="270">
        <f t="shared" si="2"/>
        <v>4770</v>
      </c>
      <c r="G109" s="39">
        <f t="shared" si="3"/>
        <v>0</v>
      </c>
      <c r="H109" s="752"/>
      <c r="L109" s="195"/>
      <c r="M109" s="195"/>
      <c r="N109" s="195"/>
    </row>
    <row r="110" spans="1:14" x14ac:dyDescent="0.25">
      <c r="A110" s="293" t="s">
        <v>1519</v>
      </c>
      <c r="B110" s="189"/>
      <c r="C110" s="678"/>
      <c r="D110" s="270">
        <f t="shared" si="2"/>
        <v>4771</v>
      </c>
      <c r="G110" s="39">
        <f t="shared" si="3"/>
        <v>0</v>
      </c>
      <c r="H110" s="752"/>
      <c r="L110" s="195"/>
      <c r="M110" s="195"/>
      <c r="N110" s="195"/>
    </row>
    <row r="111" spans="1:14" ht="45" x14ac:dyDescent="0.25">
      <c r="A111" s="290" t="s">
        <v>1539</v>
      </c>
      <c r="B111" s="188" t="s">
        <v>206</v>
      </c>
      <c r="C111" s="678">
        <v>42973</v>
      </c>
      <c r="D111" s="270">
        <f t="shared" si="2"/>
        <v>4772</v>
      </c>
      <c r="E111" s="261">
        <v>1748.5</v>
      </c>
      <c r="F111" s="29">
        <v>65</v>
      </c>
      <c r="G111" s="39">
        <f>F111*E111+364.5*64</f>
        <v>136980.5</v>
      </c>
      <c r="H111" s="822" t="s">
        <v>1541</v>
      </c>
      <c r="I111" s="823" t="s">
        <v>1172</v>
      </c>
      <c r="L111" s="195"/>
      <c r="M111" s="195"/>
      <c r="N111" s="195"/>
    </row>
    <row r="112" spans="1:14" ht="31.5" x14ac:dyDescent="0.25">
      <c r="A112" s="290" t="s">
        <v>1171</v>
      </c>
      <c r="B112" s="188" t="s">
        <v>206</v>
      </c>
      <c r="C112" s="678">
        <v>42973</v>
      </c>
      <c r="D112" s="270">
        <f t="shared" si="2"/>
        <v>4773</v>
      </c>
      <c r="E112" s="261">
        <v>2052.4</v>
      </c>
      <c r="F112" s="29">
        <v>68</v>
      </c>
      <c r="G112" s="39">
        <f>F112*E112</f>
        <v>139563.20000000001</v>
      </c>
      <c r="H112" s="826" t="s">
        <v>1544</v>
      </c>
      <c r="I112" s="827" t="s">
        <v>1172</v>
      </c>
      <c r="J112" s="747">
        <f>70000+30000+39563</f>
        <v>139563</v>
      </c>
      <c r="L112" s="195"/>
      <c r="M112" s="195"/>
      <c r="N112" s="195"/>
    </row>
    <row r="113" spans="1:14" ht="31.5" x14ac:dyDescent="0.25">
      <c r="A113" s="290" t="s">
        <v>1547</v>
      </c>
      <c r="B113" s="188" t="s">
        <v>1405</v>
      </c>
      <c r="C113" s="833">
        <v>42976</v>
      </c>
      <c r="D113" s="270">
        <f t="shared" si="2"/>
        <v>4774</v>
      </c>
      <c r="E113" s="261">
        <v>1313.2</v>
      </c>
      <c r="F113" s="29">
        <v>66</v>
      </c>
      <c r="G113" s="39">
        <f t="shared" si="3"/>
        <v>86671.2</v>
      </c>
      <c r="H113" s="834" t="s">
        <v>1550</v>
      </c>
      <c r="I113" s="831" t="s">
        <v>1172</v>
      </c>
      <c r="J113" s="751">
        <f>82950+3721</f>
        <v>86671</v>
      </c>
      <c r="L113" s="195"/>
      <c r="M113" s="195"/>
      <c r="N113" s="195"/>
    </row>
    <row r="114" spans="1:14" x14ac:dyDescent="0.25">
      <c r="A114" s="290" t="s">
        <v>1173</v>
      </c>
      <c r="B114" s="188" t="s">
        <v>1533</v>
      </c>
      <c r="C114" s="678">
        <v>42976</v>
      </c>
      <c r="D114" s="270">
        <f t="shared" si="2"/>
        <v>4775</v>
      </c>
      <c r="E114" s="261">
        <v>140</v>
      </c>
      <c r="F114" s="29">
        <v>48</v>
      </c>
      <c r="G114" s="39">
        <f t="shared" si="3"/>
        <v>6720</v>
      </c>
      <c r="H114" s="830">
        <v>42979</v>
      </c>
      <c r="I114" s="831" t="s">
        <v>1172</v>
      </c>
      <c r="L114" s="195"/>
      <c r="M114" s="195"/>
      <c r="N114" s="195"/>
    </row>
    <row r="115" spans="1:14" x14ac:dyDescent="0.25">
      <c r="A115" s="290" t="s">
        <v>1448</v>
      </c>
      <c r="B115" s="188" t="s">
        <v>1195</v>
      </c>
      <c r="C115" s="678">
        <v>42976</v>
      </c>
      <c r="D115" s="270">
        <f t="shared" si="2"/>
        <v>4776</v>
      </c>
      <c r="E115" s="261">
        <v>110</v>
      </c>
      <c r="F115" s="29">
        <v>60</v>
      </c>
      <c r="G115" s="39">
        <f t="shared" si="3"/>
        <v>6600</v>
      </c>
      <c r="H115" s="830">
        <v>42979</v>
      </c>
      <c r="I115" s="831" t="s">
        <v>1172</v>
      </c>
      <c r="L115" s="195"/>
      <c r="M115" s="195"/>
      <c r="N115" s="195"/>
    </row>
    <row r="116" spans="1:14" x14ac:dyDescent="0.25">
      <c r="A116" s="290" t="s">
        <v>1171</v>
      </c>
      <c r="B116" s="188" t="s">
        <v>206</v>
      </c>
      <c r="C116" s="678">
        <v>42976</v>
      </c>
      <c r="D116" s="270">
        <f t="shared" si="2"/>
        <v>4777</v>
      </c>
      <c r="E116" s="261">
        <v>1079.5</v>
      </c>
      <c r="F116" s="29">
        <v>68</v>
      </c>
      <c r="G116" s="39">
        <f t="shared" si="3"/>
        <v>73406</v>
      </c>
      <c r="H116" s="752">
        <v>42977</v>
      </c>
      <c r="I116" s="813" t="s">
        <v>1172</v>
      </c>
      <c r="L116" s="195"/>
      <c r="M116" s="195"/>
      <c r="N116" s="195"/>
    </row>
    <row r="117" spans="1:14" x14ac:dyDescent="0.25">
      <c r="A117" s="290" t="s">
        <v>1542</v>
      </c>
      <c r="B117" s="188" t="s">
        <v>1284</v>
      </c>
      <c r="C117" s="678">
        <v>42976</v>
      </c>
      <c r="D117" s="270">
        <f t="shared" si="2"/>
        <v>4778</v>
      </c>
      <c r="E117" s="261">
        <v>510.6</v>
      </c>
      <c r="F117" s="29">
        <v>23</v>
      </c>
      <c r="G117" s="39">
        <f t="shared" si="3"/>
        <v>11743.800000000001</v>
      </c>
      <c r="H117" s="752">
        <v>42976</v>
      </c>
      <c r="I117" s="813" t="s">
        <v>1172</v>
      </c>
      <c r="L117" s="195"/>
      <c r="M117" s="195"/>
      <c r="N117" s="195"/>
    </row>
    <row r="118" spans="1:14" x14ac:dyDescent="0.25">
      <c r="A118" s="290" t="s">
        <v>1220</v>
      </c>
      <c r="B118" s="188" t="s">
        <v>1182</v>
      </c>
      <c r="C118" s="678">
        <v>42976</v>
      </c>
      <c r="D118" s="270">
        <f t="shared" si="2"/>
        <v>4779</v>
      </c>
      <c r="E118" s="261">
        <v>14880</v>
      </c>
      <c r="F118" s="29">
        <v>1</v>
      </c>
      <c r="G118" s="39">
        <f t="shared" si="3"/>
        <v>14880</v>
      </c>
      <c r="H118" s="830">
        <v>43000</v>
      </c>
      <c r="I118" s="831" t="s">
        <v>1172</v>
      </c>
      <c r="L118" s="195"/>
      <c r="M118" s="195"/>
      <c r="N118" s="195"/>
    </row>
    <row r="119" spans="1:14" x14ac:dyDescent="0.25">
      <c r="A119" s="290" t="s">
        <v>1197</v>
      </c>
      <c r="B119" s="188" t="s">
        <v>1233</v>
      </c>
      <c r="C119" s="678">
        <v>42977</v>
      </c>
      <c r="D119" s="270">
        <f t="shared" si="2"/>
        <v>4780</v>
      </c>
      <c r="E119" s="261">
        <v>210.1</v>
      </c>
      <c r="F119" s="29">
        <v>50</v>
      </c>
      <c r="G119" s="39">
        <f t="shared" si="3"/>
        <v>10505</v>
      </c>
      <c r="H119" s="830">
        <v>42984</v>
      </c>
      <c r="I119" s="831" t="s">
        <v>1172</v>
      </c>
      <c r="L119" s="195"/>
      <c r="M119" s="195"/>
      <c r="N119" s="195"/>
    </row>
    <row r="120" spans="1:14" x14ac:dyDescent="0.25">
      <c r="A120" s="290" t="s">
        <v>1173</v>
      </c>
      <c r="B120" s="188" t="s">
        <v>1533</v>
      </c>
      <c r="C120" s="678">
        <v>42977</v>
      </c>
      <c r="D120" s="270">
        <f t="shared" si="2"/>
        <v>4781</v>
      </c>
      <c r="E120" s="261">
        <v>100</v>
      </c>
      <c r="F120" s="29">
        <v>48</v>
      </c>
      <c r="G120" s="39">
        <f>F120*E120+20*27</f>
        <v>5340</v>
      </c>
      <c r="H120" s="830">
        <v>42979</v>
      </c>
      <c r="I120" s="831" t="s">
        <v>1172</v>
      </c>
      <c r="L120" s="195"/>
      <c r="M120" s="195"/>
      <c r="N120" s="195"/>
    </row>
    <row r="121" spans="1:14" x14ac:dyDescent="0.25">
      <c r="A121" s="290" t="s">
        <v>1171</v>
      </c>
      <c r="B121" s="188" t="s">
        <v>206</v>
      </c>
      <c r="C121" s="678">
        <v>42977</v>
      </c>
      <c r="D121" s="270">
        <f t="shared" si="2"/>
        <v>4782</v>
      </c>
      <c r="E121" s="261">
        <v>876.6</v>
      </c>
      <c r="F121" s="29">
        <v>65</v>
      </c>
      <c r="G121" s="39">
        <f t="shared" si="3"/>
        <v>56979</v>
      </c>
      <c r="H121" s="830">
        <v>42982</v>
      </c>
      <c r="I121" s="831" t="s">
        <v>1172</v>
      </c>
      <c r="L121" s="195"/>
      <c r="M121" s="195"/>
      <c r="N121" s="195"/>
    </row>
    <row r="122" spans="1:14" x14ac:dyDescent="0.25">
      <c r="A122" s="290" t="s">
        <v>1208</v>
      </c>
      <c r="B122" s="188" t="s">
        <v>1405</v>
      </c>
      <c r="C122" s="678">
        <v>42977</v>
      </c>
      <c r="D122" s="270">
        <f t="shared" si="2"/>
        <v>4783</v>
      </c>
      <c r="E122" s="261">
        <v>368.2</v>
      </c>
      <c r="F122" s="29">
        <v>60</v>
      </c>
      <c r="G122" s="39">
        <f t="shared" si="3"/>
        <v>22092</v>
      </c>
      <c r="H122" s="830">
        <v>42979</v>
      </c>
      <c r="I122" s="831" t="s">
        <v>1172</v>
      </c>
      <c r="L122" s="195"/>
      <c r="M122" s="195"/>
      <c r="N122" s="195"/>
    </row>
    <row r="123" spans="1:14" ht="16.5" thickBot="1" x14ac:dyDescent="0.3">
      <c r="A123" s="290" t="s">
        <v>1180</v>
      </c>
      <c r="B123" s="188" t="s">
        <v>1214</v>
      </c>
      <c r="C123" s="678">
        <v>42976</v>
      </c>
      <c r="D123" s="270">
        <f t="shared" si="2"/>
        <v>4784</v>
      </c>
      <c r="E123" s="261">
        <v>381.5</v>
      </c>
      <c r="F123" s="825">
        <v>40</v>
      </c>
      <c r="G123" s="39">
        <f t="shared" si="3"/>
        <v>15260</v>
      </c>
      <c r="H123" s="752">
        <v>42978</v>
      </c>
      <c r="I123" s="813" t="s">
        <v>1172</v>
      </c>
      <c r="L123" s="195"/>
      <c r="M123" s="195"/>
      <c r="N123" s="195"/>
    </row>
    <row r="124" spans="1:14" ht="19.5" thickBot="1" x14ac:dyDescent="0.35">
      <c r="A124" s="313"/>
      <c r="B124" s="188"/>
      <c r="C124" s="682"/>
      <c r="D124" s="314"/>
      <c r="E124" s="891" t="s">
        <v>30</v>
      </c>
      <c r="F124" s="892"/>
      <c r="G124" s="214">
        <f>SUM(G24:G122)</f>
        <v>2864897.540000001</v>
      </c>
      <c r="H124" s="785"/>
    </row>
    <row r="125" spans="1:14" x14ac:dyDescent="0.25">
      <c r="A125" s="313"/>
      <c r="B125" s="188"/>
      <c r="C125" s="682"/>
      <c r="D125" s="314"/>
      <c r="E125" s="311"/>
      <c r="F125" s="316"/>
      <c r="G125" s="39"/>
      <c r="H125" s="785"/>
    </row>
    <row r="126" spans="1:14" x14ac:dyDescent="0.25">
      <c r="A126" s="313"/>
      <c r="B126" s="188"/>
      <c r="C126" s="682"/>
      <c r="D126" s="314"/>
      <c r="E126" s="311"/>
      <c r="F126" s="316"/>
      <c r="G126" s="39"/>
      <c r="H126" s="785"/>
    </row>
    <row r="127" spans="1:14" x14ac:dyDescent="0.25">
      <c r="A127" s="313"/>
      <c r="B127" s="188"/>
      <c r="C127" s="682"/>
      <c r="D127" s="314"/>
      <c r="E127" s="311"/>
      <c r="F127" s="316"/>
      <c r="G127" s="39"/>
      <c r="H127" s="785"/>
    </row>
    <row r="128" spans="1:14" ht="18.75" x14ac:dyDescent="0.25">
      <c r="A128" s="313"/>
      <c r="B128" s="188"/>
      <c r="C128" s="682"/>
      <c r="D128" s="317"/>
      <c r="E128" s="318"/>
      <c r="F128" s="319"/>
      <c r="G128" s="320"/>
      <c r="H128" s="785"/>
    </row>
    <row r="129" spans="1:11" ht="18.75" x14ac:dyDescent="0.25">
      <c r="A129" s="313"/>
      <c r="B129" s="188"/>
      <c r="C129" s="682"/>
      <c r="D129" s="317"/>
      <c r="E129" s="318"/>
      <c r="F129" s="319"/>
      <c r="G129" s="320"/>
      <c r="H129" s="785"/>
    </row>
    <row r="130" spans="1:11" x14ac:dyDescent="0.25">
      <c r="A130" s="313"/>
      <c r="B130" s="188"/>
      <c r="C130" s="682"/>
      <c r="D130" s="317"/>
      <c r="E130" s="321"/>
      <c r="F130" s="322"/>
      <c r="G130" s="323"/>
      <c r="H130" s="785"/>
      <c r="K130"/>
    </row>
    <row r="131" spans="1:11" x14ac:dyDescent="0.25">
      <c r="A131" s="313"/>
      <c r="B131" s="188"/>
      <c r="C131" s="682"/>
      <c r="D131" s="317"/>
      <c r="E131" s="321"/>
      <c r="F131" s="322"/>
      <c r="G131" s="323"/>
      <c r="H131" s="785"/>
      <c r="K131"/>
    </row>
    <row r="132" spans="1:11" x14ac:dyDescent="0.25">
      <c r="A132" s="313"/>
      <c r="B132" s="188"/>
      <c r="C132" s="682"/>
      <c r="D132" s="317"/>
      <c r="E132" s="321"/>
      <c r="F132" s="322"/>
      <c r="G132" s="323"/>
      <c r="H132" s="785"/>
      <c r="K132"/>
    </row>
    <row r="133" spans="1:11" x14ac:dyDescent="0.25">
      <c r="A133" s="313"/>
      <c r="B133" s="188"/>
      <c r="C133" s="682"/>
      <c r="D133" s="317"/>
      <c r="E133" s="321"/>
      <c r="F133" s="322"/>
      <c r="G133" s="323"/>
      <c r="H133" s="785"/>
      <c r="K133"/>
    </row>
    <row r="134" spans="1:11" x14ac:dyDescent="0.25">
      <c r="A134" s="313"/>
      <c r="B134" s="188"/>
      <c r="C134" s="682"/>
      <c r="D134" s="317"/>
      <c r="E134" s="321"/>
      <c r="F134" s="322"/>
      <c r="G134" s="323"/>
      <c r="H134" s="785"/>
      <c r="K134"/>
    </row>
    <row r="135" spans="1:11" x14ac:dyDescent="0.25">
      <c r="A135" s="313"/>
      <c r="B135" s="188"/>
      <c r="C135" s="682"/>
      <c r="D135" s="317"/>
      <c r="E135" s="321"/>
      <c r="F135" s="322"/>
      <c r="G135" s="323"/>
      <c r="H135" s="785"/>
      <c r="K135"/>
    </row>
    <row r="136" spans="1:11" x14ac:dyDescent="0.25">
      <c r="A136" s="313"/>
      <c r="B136" s="188"/>
      <c r="C136" s="682"/>
      <c r="D136" s="317"/>
      <c r="E136" s="321"/>
      <c r="F136" s="322"/>
      <c r="G136" s="323"/>
      <c r="H136" s="785"/>
      <c r="K136"/>
    </row>
    <row r="137" spans="1:11" x14ac:dyDescent="0.25">
      <c r="A137" s="313"/>
      <c r="B137" s="324"/>
      <c r="C137" s="682"/>
      <c r="D137" s="260"/>
      <c r="E137" s="325"/>
      <c r="F137" s="326"/>
      <c r="G137" s="39"/>
      <c r="H137" s="785"/>
      <c r="K137"/>
    </row>
    <row r="138" spans="1:11" x14ac:dyDescent="0.25">
      <c r="A138" s="313"/>
      <c r="B138" s="324"/>
      <c r="C138" s="682"/>
      <c r="D138" s="260"/>
      <c r="E138" s="325"/>
      <c r="F138" s="326"/>
      <c r="G138" s="39"/>
      <c r="H138" s="785"/>
      <c r="K138"/>
    </row>
    <row r="139" spans="1:11" x14ac:dyDescent="0.25">
      <c r="A139" s="313"/>
      <c r="B139" s="324"/>
      <c r="C139" s="682"/>
      <c r="D139" s="260"/>
      <c r="E139" s="325"/>
      <c r="F139" s="326"/>
      <c r="G139" s="39"/>
      <c r="H139" s="785"/>
      <c r="K139"/>
    </row>
    <row r="140" spans="1:11" x14ac:dyDescent="0.25">
      <c r="A140" s="313"/>
      <c r="B140" s="324"/>
      <c r="C140" s="682"/>
      <c r="D140" s="260"/>
      <c r="E140" s="325"/>
      <c r="F140" s="326"/>
      <c r="G140" s="39"/>
      <c r="H140" s="785"/>
      <c r="K140"/>
    </row>
    <row r="141" spans="1:11" x14ac:dyDescent="0.25">
      <c r="A141" s="313"/>
      <c r="B141" s="324"/>
      <c r="C141" s="682"/>
      <c r="D141" s="260"/>
      <c r="E141" s="325"/>
      <c r="F141" s="326"/>
      <c r="G141" s="39"/>
      <c r="H141" s="785"/>
      <c r="K141"/>
    </row>
    <row r="142" spans="1:11" x14ac:dyDescent="0.25">
      <c r="A142" s="313"/>
      <c r="B142" s="324"/>
      <c r="C142" s="682"/>
      <c r="D142" s="260"/>
      <c r="E142" s="325"/>
      <c r="F142" s="326"/>
      <c r="G142" s="39"/>
      <c r="H142" s="785"/>
      <c r="K142"/>
    </row>
    <row r="143" spans="1:11" x14ac:dyDescent="0.25">
      <c r="A143" s="313"/>
      <c r="B143" s="324"/>
      <c r="C143" s="682"/>
      <c r="D143" s="260"/>
      <c r="E143" s="325"/>
      <c r="F143" s="326"/>
      <c r="G143" s="39"/>
      <c r="H143" s="785"/>
      <c r="K143"/>
    </row>
    <row r="144" spans="1:11" x14ac:dyDescent="0.25">
      <c r="A144" s="313"/>
      <c r="B144" s="324"/>
      <c r="C144" s="682"/>
      <c r="D144" s="260"/>
      <c r="E144" s="325"/>
      <c r="F144" s="326"/>
      <c r="G144" s="39"/>
      <c r="H144" s="785"/>
      <c r="K144"/>
    </row>
    <row r="145" spans="1:11" x14ac:dyDescent="0.25">
      <c r="A145" s="313"/>
      <c r="B145" s="324"/>
      <c r="C145" s="682"/>
      <c r="D145" s="260"/>
      <c r="E145" s="325"/>
      <c r="F145" s="326"/>
      <c r="G145" s="39"/>
      <c r="H145" s="785"/>
      <c r="K145"/>
    </row>
    <row r="146" spans="1:11" x14ac:dyDescent="0.25">
      <c r="A146" s="313"/>
      <c r="B146" s="324"/>
      <c r="C146" s="682"/>
      <c r="D146" s="260"/>
      <c r="E146" s="325"/>
      <c r="F146" s="326"/>
      <c r="G146" s="39"/>
      <c r="H146" s="785"/>
      <c r="K146"/>
    </row>
    <row r="147" spans="1:11" x14ac:dyDescent="0.25">
      <c r="A147" s="313"/>
      <c r="B147" s="324"/>
      <c r="C147" s="682"/>
      <c r="D147" s="260"/>
      <c r="E147" s="327"/>
      <c r="F147" s="328"/>
      <c r="G147" s="39"/>
      <c r="H147" s="785"/>
      <c r="K147"/>
    </row>
    <row r="148" spans="1:11" x14ac:dyDescent="0.25">
      <c r="A148" s="183"/>
      <c r="B148" s="324"/>
      <c r="C148" s="684"/>
      <c r="D148" s="260"/>
      <c r="E148" s="327"/>
      <c r="F148" s="328"/>
      <c r="G148" s="39"/>
      <c r="H148" s="785"/>
      <c r="K148"/>
    </row>
    <row r="149" spans="1:11" x14ac:dyDescent="0.25">
      <c r="B149" s="324"/>
      <c r="C149" s="684"/>
      <c r="D149" s="260"/>
      <c r="E149" s="327"/>
      <c r="F149" s="328"/>
      <c r="G149" s="39"/>
      <c r="H149" s="785"/>
      <c r="K149"/>
    </row>
    <row r="150" spans="1:11" x14ac:dyDescent="0.25">
      <c r="B150" s="324"/>
      <c r="C150" s="684"/>
      <c r="D150" s="260"/>
      <c r="E150" s="327"/>
      <c r="F150" s="328"/>
      <c r="G150" s="39"/>
      <c r="H150" s="785"/>
      <c r="K150"/>
    </row>
    <row r="151" spans="1:11" x14ac:dyDescent="0.25">
      <c r="B151" s="324"/>
      <c r="C151" s="684"/>
      <c r="D151" s="260"/>
      <c r="E151" s="327"/>
      <c r="F151" s="328"/>
      <c r="G151" s="39"/>
      <c r="H151" s="785"/>
      <c r="K151"/>
    </row>
    <row r="152" spans="1:11" x14ac:dyDescent="0.25">
      <c r="B152" s="324"/>
      <c r="C152" s="684"/>
      <c r="D152" s="260"/>
      <c r="E152" s="327"/>
      <c r="F152" s="328"/>
      <c r="G152" s="39"/>
      <c r="H152" s="785"/>
      <c r="K152"/>
    </row>
    <row r="153" spans="1:11" x14ac:dyDescent="0.25">
      <c r="A153" s="290"/>
      <c r="B153" s="324"/>
      <c r="C153" s="684"/>
      <c r="D153" s="260"/>
      <c r="E153" s="327"/>
      <c r="F153" s="328"/>
      <c r="G153" s="27"/>
      <c r="H153" s="785"/>
      <c r="K153"/>
    </row>
    <row r="154" spans="1:11" x14ac:dyDescent="0.25">
      <c r="B154" s="324"/>
      <c r="C154" s="684"/>
      <c r="D154" s="260"/>
      <c r="E154" s="327"/>
      <c r="F154" s="328"/>
      <c r="G154" s="330"/>
      <c r="H154" s="785"/>
      <c r="K154"/>
    </row>
    <row r="155" spans="1:11" x14ac:dyDescent="0.25">
      <c r="B155" s="188"/>
      <c r="C155" s="684"/>
      <c r="D155" s="331"/>
      <c r="E155" s="311"/>
      <c r="F155" s="316"/>
      <c r="G155" s="330"/>
      <c r="H155" s="785"/>
      <c r="K155"/>
    </row>
    <row r="156" spans="1:11" x14ac:dyDescent="0.25">
      <c r="B156" s="188"/>
      <c r="C156" s="684"/>
      <c r="D156" s="331"/>
      <c r="E156" s="311"/>
      <c r="F156" s="316"/>
      <c r="G156" s="330"/>
      <c r="H156" s="785"/>
      <c r="K156"/>
    </row>
    <row r="157" spans="1:11" x14ac:dyDescent="0.25">
      <c r="B157" s="188"/>
      <c r="C157" s="684"/>
      <c r="D157" s="331"/>
      <c r="E157" s="311"/>
      <c r="F157" s="316"/>
      <c r="G157" s="330"/>
      <c r="H157" s="785"/>
      <c r="K157"/>
    </row>
    <row r="158" spans="1:11" x14ac:dyDescent="0.25">
      <c r="B158" s="188"/>
      <c r="C158" s="684"/>
      <c r="D158" s="331"/>
      <c r="E158" s="311"/>
      <c r="F158" s="316"/>
      <c r="G158" s="330"/>
      <c r="H158" s="785"/>
      <c r="K158"/>
    </row>
    <row r="159" spans="1:11" x14ac:dyDescent="0.25">
      <c r="B159" s="188"/>
      <c r="C159" s="684"/>
      <c r="D159" s="331"/>
      <c r="E159" s="311"/>
      <c r="F159" s="316"/>
      <c r="G159" s="330"/>
      <c r="H159" s="785"/>
      <c r="K159"/>
    </row>
    <row r="160" spans="1:11" x14ac:dyDescent="0.25">
      <c r="B160" s="188"/>
      <c r="C160" s="684"/>
      <c r="D160" s="331"/>
      <c r="E160" s="311"/>
      <c r="F160" s="316"/>
      <c r="G160" s="330"/>
      <c r="H160" s="785"/>
      <c r="K160"/>
    </row>
    <row r="161" spans="2:11" x14ac:dyDescent="0.25">
      <c r="B161" s="188"/>
      <c r="C161" s="684"/>
      <c r="D161" s="331"/>
      <c r="E161" s="311"/>
      <c r="F161" s="316"/>
      <c r="G161" s="330"/>
      <c r="H161" s="785"/>
      <c r="K161"/>
    </row>
  </sheetData>
  <mergeCells count="2">
    <mergeCell ref="A1:G1"/>
    <mergeCell ref="E124:F12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-0.249977111117893"/>
  </sheetPr>
  <dimension ref="A1:GZ112"/>
  <sheetViews>
    <sheetView topLeftCell="J1" workbookViewId="0">
      <pane xSplit="4" ySplit="2" topLeftCell="N9" activePane="bottomRight" state="frozen"/>
      <selection activeCell="J1" sqref="J1"/>
      <selection pane="topRight" activeCell="N1" sqref="N1"/>
      <selection pane="bottomLeft" activeCell="J3" sqref="J3"/>
      <selection pane="bottomRight" activeCell="L16" sqref="L1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196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737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386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387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39" t="s">
        <v>16</v>
      </c>
      <c r="L3" s="540" t="s">
        <v>17</v>
      </c>
      <c r="M3" s="541" t="s">
        <v>18</v>
      </c>
      <c r="N3" s="542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388"/>
      <c r="GZ3" s="55"/>
    </row>
    <row r="4" spans="1:208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740</v>
      </c>
      <c r="K4" s="449" t="s">
        <v>93</v>
      </c>
      <c r="L4" s="538">
        <v>11860</v>
      </c>
      <c r="M4" s="102">
        <v>42979</v>
      </c>
      <c r="N4" s="103" t="s">
        <v>797</v>
      </c>
      <c r="O4" s="351">
        <v>11640</v>
      </c>
      <c r="P4" s="60">
        <f t="shared" ref="P4:P72" si="0">O4-L4</f>
        <v>-220</v>
      </c>
      <c r="Q4" s="333">
        <v>28.5</v>
      </c>
      <c r="R4" s="567"/>
      <c r="S4" s="567"/>
      <c r="T4" s="39">
        <f>Q4*O4</f>
        <v>331740</v>
      </c>
      <c r="U4" s="61" t="s">
        <v>72</v>
      </c>
      <c r="V4" s="62">
        <v>43003</v>
      </c>
      <c r="W4" s="63">
        <v>7540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508">
        <v>43003</v>
      </c>
      <c r="GU4" s="29">
        <v>17584</v>
      </c>
      <c r="GV4" s="221" t="s">
        <v>760</v>
      </c>
      <c r="GW4" s="31"/>
      <c r="GX4" s="31"/>
      <c r="GY4" s="183" t="s">
        <v>877</v>
      </c>
      <c r="GZ4" s="219">
        <v>2088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631</v>
      </c>
      <c r="K5" s="407" t="s">
        <v>59</v>
      </c>
      <c r="L5" s="77">
        <v>18530</v>
      </c>
      <c r="M5" s="71">
        <v>42979</v>
      </c>
      <c r="N5" s="56" t="s">
        <v>798</v>
      </c>
      <c r="O5" s="27">
        <v>27100</v>
      </c>
      <c r="P5" s="60">
        <f t="shared" si="0"/>
        <v>8570</v>
      </c>
      <c r="Q5" s="29">
        <v>28.5</v>
      </c>
      <c r="R5" s="57"/>
      <c r="S5" s="57"/>
      <c r="T5" s="39">
        <f>Q5*O5</f>
        <v>772350</v>
      </c>
      <c r="U5" s="336" t="s">
        <v>72</v>
      </c>
      <c r="V5" s="166">
        <v>43004</v>
      </c>
      <c r="W5" s="86">
        <v>17342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43004</v>
      </c>
      <c r="GU5" s="64">
        <v>22176</v>
      </c>
      <c r="GV5" s="65" t="s">
        <v>761</v>
      </c>
      <c r="GW5" s="66"/>
      <c r="GX5" s="66"/>
      <c r="GY5" s="390" t="s">
        <v>877</v>
      </c>
      <c r="GZ5" s="86">
        <v>3944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739</v>
      </c>
      <c r="K6" s="407" t="s">
        <v>210</v>
      </c>
      <c r="L6" s="77">
        <v>34990</v>
      </c>
      <c r="M6" s="71">
        <v>42981</v>
      </c>
      <c r="N6" s="56" t="s">
        <v>801</v>
      </c>
      <c r="O6" s="27">
        <v>29370</v>
      </c>
      <c r="P6" s="60">
        <f t="shared" si="0"/>
        <v>-5620</v>
      </c>
      <c r="Q6" s="29">
        <v>28</v>
      </c>
      <c r="R6" s="57"/>
      <c r="S6" s="57"/>
      <c r="T6" s="39">
        <f t="shared" ref="T6:T74" si="1">Q6*O6</f>
        <v>822360</v>
      </c>
      <c r="U6" s="336" t="s">
        <v>72</v>
      </c>
      <c r="V6" s="166">
        <v>43005</v>
      </c>
      <c r="W6" s="86">
        <v>19604</v>
      </c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>
        <v>43005</v>
      </c>
      <c r="GU6" s="64"/>
      <c r="GV6" s="65"/>
      <c r="GW6" s="66"/>
      <c r="GX6" s="66"/>
      <c r="GY6" s="390" t="s">
        <v>877</v>
      </c>
      <c r="GZ6" s="86">
        <v>4176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96</v>
      </c>
      <c r="K7" s="407" t="s">
        <v>67</v>
      </c>
      <c r="L7" s="70">
        <v>18740</v>
      </c>
      <c r="M7" s="71">
        <v>42982</v>
      </c>
      <c r="N7" s="56" t="s">
        <v>803</v>
      </c>
      <c r="O7" s="72">
        <v>23415</v>
      </c>
      <c r="P7" s="60">
        <f t="shared" si="0"/>
        <v>4675</v>
      </c>
      <c r="Q7" s="64">
        <v>28</v>
      </c>
      <c r="R7" s="57"/>
      <c r="S7" s="57"/>
      <c r="T7" s="39">
        <f t="shared" si="1"/>
        <v>655620</v>
      </c>
      <c r="U7" s="82" t="s">
        <v>72</v>
      </c>
      <c r="V7" s="339">
        <v>43006</v>
      </c>
      <c r="W7" s="340">
        <v>15004.6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43006</v>
      </c>
      <c r="GU7" s="73">
        <v>22176</v>
      </c>
      <c r="GV7" s="65" t="s">
        <v>773</v>
      </c>
      <c r="GW7" s="74"/>
      <c r="GX7" s="74"/>
      <c r="GY7" s="167" t="s">
        <v>877</v>
      </c>
      <c r="GZ7" s="75">
        <v>3480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741</v>
      </c>
      <c r="K8" s="407" t="s">
        <v>59</v>
      </c>
      <c r="L8" s="77">
        <v>18810</v>
      </c>
      <c r="M8" s="71">
        <v>42983</v>
      </c>
      <c r="N8" s="56" t="s">
        <v>807</v>
      </c>
      <c r="O8" s="78">
        <v>27090</v>
      </c>
      <c r="P8" s="60">
        <f t="shared" si="0"/>
        <v>8280</v>
      </c>
      <c r="Q8" s="79">
        <v>28</v>
      </c>
      <c r="R8" s="80"/>
      <c r="S8" s="81"/>
      <c r="T8" s="39">
        <f t="shared" si="1"/>
        <v>758520</v>
      </c>
      <c r="U8" s="82" t="s">
        <v>72</v>
      </c>
      <c r="V8" s="339">
        <v>43007</v>
      </c>
      <c r="W8" s="340">
        <v>17342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515">
        <v>43007</v>
      </c>
      <c r="GU8" s="73"/>
      <c r="GV8" s="84"/>
      <c r="GW8" s="74"/>
      <c r="GX8" s="74"/>
      <c r="GY8" s="167" t="s">
        <v>877</v>
      </c>
      <c r="GZ8" s="86">
        <v>3480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742</v>
      </c>
      <c r="K9" s="407" t="s">
        <v>46</v>
      </c>
      <c r="L9" s="77">
        <v>11450</v>
      </c>
      <c r="M9" s="71">
        <v>42983</v>
      </c>
      <c r="N9" s="56" t="s">
        <v>802</v>
      </c>
      <c r="O9" s="78">
        <v>11400</v>
      </c>
      <c r="P9" s="60">
        <f t="shared" si="0"/>
        <v>-50</v>
      </c>
      <c r="Q9" s="79">
        <v>28</v>
      </c>
      <c r="R9" s="64"/>
      <c r="S9" s="89"/>
      <c r="T9" s="39">
        <f t="shared" si="1"/>
        <v>319200</v>
      </c>
      <c r="U9" s="90" t="s">
        <v>72</v>
      </c>
      <c r="V9" s="83">
        <v>43005</v>
      </c>
      <c r="W9" s="91">
        <v>7540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97">
        <v>43005</v>
      </c>
      <c r="GU9" s="98">
        <v>17584</v>
      </c>
      <c r="GV9" s="65" t="s">
        <v>774</v>
      </c>
      <c r="GW9" s="74"/>
      <c r="GX9" s="74"/>
      <c r="GY9" s="167" t="s">
        <v>877</v>
      </c>
      <c r="GZ9" s="86">
        <v>2088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96</v>
      </c>
      <c r="K10" s="407" t="s">
        <v>313</v>
      </c>
      <c r="L10" s="77">
        <v>16730</v>
      </c>
      <c r="M10" s="71">
        <v>42985</v>
      </c>
      <c r="N10" s="380" t="s">
        <v>823</v>
      </c>
      <c r="O10" s="78">
        <v>21560</v>
      </c>
      <c r="P10" s="60">
        <f t="shared" si="0"/>
        <v>4830</v>
      </c>
      <c r="Q10" s="79">
        <v>28</v>
      </c>
      <c r="R10" s="64"/>
      <c r="S10" s="89"/>
      <c r="T10" s="39">
        <f t="shared" si="1"/>
        <v>603680</v>
      </c>
      <c r="U10" s="352" t="s">
        <v>72</v>
      </c>
      <c r="V10" s="408">
        <v>43010</v>
      </c>
      <c r="W10" s="367">
        <v>15080</v>
      </c>
      <c r="X10" s="355"/>
      <c r="Y10" s="356"/>
      <c r="Z10" s="357"/>
      <c r="AA10" s="358"/>
      <c r="AB10" s="357"/>
      <c r="AC10" s="359"/>
      <c r="AD10" s="360"/>
      <c r="AE10" s="355"/>
      <c r="AF10" s="355"/>
      <c r="AG10" s="355"/>
      <c r="AH10" s="356"/>
      <c r="AI10" s="357"/>
      <c r="AJ10" s="358"/>
      <c r="AK10" s="357"/>
      <c r="AL10" s="359"/>
      <c r="AM10" s="360"/>
      <c r="AN10" s="355"/>
      <c r="AO10" s="355"/>
      <c r="AP10" s="355"/>
      <c r="AQ10" s="356"/>
      <c r="AR10" s="357"/>
      <c r="AS10" s="358"/>
      <c r="AT10" s="357"/>
      <c r="AU10" s="359"/>
      <c r="AV10" s="360"/>
      <c r="AW10" s="355"/>
      <c r="AX10" s="355"/>
      <c r="AY10" s="355"/>
      <c r="AZ10" s="356"/>
      <c r="BA10" s="357"/>
      <c r="BB10" s="358"/>
      <c r="BC10" s="357"/>
      <c r="BD10" s="359"/>
      <c r="BE10" s="360"/>
      <c r="BF10" s="355"/>
      <c r="BG10" s="355"/>
      <c r="BH10" s="355"/>
      <c r="BI10" s="356"/>
      <c r="BJ10" s="357"/>
      <c r="BK10" s="358"/>
      <c r="BL10" s="357"/>
      <c r="BM10" s="359"/>
      <c r="BN10" s="360"/>
      <c r="BO10" s="355"/>
      <c r="BP10" s="355"/>
      <c r="BQ10" s="355"/>
      <c r="BR10" s="356"/>
      <c r="BS10" s="357"/>
      <c r="BT10" s="358"/>
      <c r="BU10" s="357"/>
      <c r="BV10" s="359"/>
      <c r="BW10" s="360"/>
      <c r="BX10" s="355"/>
      <c r="BY10" s="355"/>
      <c r="BZ10" s="355"/>
      <c r="CA10" s="356"/>
      <c r="CB10" s="357"/>
      <c r="CC10" s="358"/>
      <c r="CD10" s="357"/>
      <c r="CE10" s="359"/>
      <c r="CF10" s="360"/>
      <c r="CG10" s="355"/>
      <c r="CH10" s="355"/>
      <c r="CI10" s="355"/>
      <c r="CJ10" s="356"/>
      <c r="CK10" s="357"/>
      <c r="CL10" s="358"/>
      <c r="CM10" s="357"/>
      <c r="CN10" s="359"/>
      <c r="CO10" s="360"/>
      <c r="CP10" s="355"/>
      <c r="CQ10" s="355"/>
      <c r="CR10" s="355"/>
      <c r="CS10" s="356"/>
      <c r="CT10" s="357"/>
      <c r="CU10" s="358"/>
      <c r="CV10" s="361"/>
      <c r="CW10" s="359"/>
      <c r="CX10" s="360"/>
      <c r="CY10" s="355"/>
      <c r="CZ10" s="355"/>
      <c r="DA10" s="355"/>
      <c r="DB10" s="356"/>
      <c r="DC10" s="357"/>
      <c r="DD10" s="358"/>
      <c r="DE10" s="357"/>
      <c r="DF10" s="359"/>
      <c r="DG10" s="360"/>
      <c r="DH10" s="355"/>
      <c r="DI10" s="355"/>
      <c r="DJ10" s="355"/>
      <c r="DK10" s="356"/>
      <c r="DL10" s="357"/>
      <c r="DM10" s="358"/>
      <c r="DN10" s="357"/>
      <c r="DO10" s="359"/>
      <c r="DP10" s="360"/>
      <c r="DQ10" s="355"/>
      <c r="DR10" s="355"/>
      <c r="DS10" s="355"/>
      <c r="DT10" s="356"/>
      <c r="DU10" s="357"/>
      <c r="DV10" s="358"/>
      <c r="DW10" s="357"/>
      <c r="DX10" s="359"/>
      <c r="DY10" s="360"/>
      <c r="DZ10" s="355"/>
      <c r="EA10" s="355"/>
      <c r="EB10" s="355"/>
      <c r="EC10" s="356"/>
      <c r="ED10" s="357"/>
      <c r="EE10" s="358"/>
      <c r="EF10" s="357"/>
      <c r="EG10" s="359"/>
      <c r="EH10" s="360"/>
      <c r="EI10" s="355"/>
      <c r="EJ10" s="355"/>
      <c r="EK10" s="355"/>
      <c r="EL10" s="356"/>
      <c r="EM10" s="357"/>
      <c r="EN10" s="358"/>
      <c r="EO10" s="357"/>
      <c r="EP10" s="359"/>
      <c r="EQ10" s="360"/>
      <c r="ER10" s="355"/>
      <c r="ES10" s="355"/>
      <c r="ET10" s="355"/>
      <c r="EU10" s="356"/>
      <c r="EV10" s="357"/>
      <c r="EW10" s="358"/>
      <c r="EX10" s="357"/>
      <c r="EY10" s="359"/>
      <c r="EZ10" s="360"/>
      <c r="FA10" s="355"/>
      <c r="FB10" s="355"/>
      <c r="FC10" s="355"/>
      <c r="FD10" s="356"/>
      <c r="FE10" s="357"/>
      <c r="FF10" s="358"/>
      <c r="FG10" s="357"/>
      <c r="FH10" s="359"/>
      <c r="FI10" s="360"/>
      <c r="FJ10" s="355"/>
      <c r="FK10" s="355"/>
      <c r="FL10" s="355"/>
      <c r="FM10" s="356"/>
      <c r="FN10" s="357"/>
      <c r="FO10" s="358"/>
      <c r="FP10" s="357"/>
      <c r="FQ10" s="359"/>
      <c r="FR10" s="360"/>
      <c r="FS10" s="355"/>
      <c r="FT10" s="355"/>
      <c r="FU10" s="355"/>
      <c r="FV10" s="356"/>
      <c r="FW10" s="357"/>
      <c r="FX10" s="358"/>
      <c r="FY10" s="357"/>
      <c r="FZ10" s="359"/>
      <c r="GA10" s="360"/>
      <c r="GB10" s="355"/>
      <c r="GC10" s="355"/>
      <c r="GD10" s="355"/>
      <c r="GE10" s="356"/>
      <c r="GF10" s="357"/>
      <c r="GG10" s="358"/>
      <c r="GH10" s="357"/>
      <c r="GI10" s="359"/>
      <c r="GJ10" s="360"/>
      <c r="GK10" s="355"/>
      <c r="GL10" s="355"/>
      <c r="GM10" s="355"/>
      <c r="GN10" s="356"/>
      <c r="GO10" s="357"/>
      <c r="GP10" s="358"/>
      <c r="GQ10" s="357"/>
      <c r="GR10" s="359"/>
      <c r="GS10" s="360"/>
      <c r="GT10" s="362">
        <v>43010</v>
      </c>
      <c r="GU10" s="98">
        <v>17584</v>
      </c>
      <c r="GV10" s="65" t="s">
        <v>775</v>
      </c>
      <c r="GW10" s="74"/>
      <c r="GX10" s="74"/>
      <c r="GY10" s="167" t="s">
        <v>877</v>
      </c>
      <c r="GZ10" s="86">
        <v>3480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743</v>
      </c>
      <c r="K11" s="407" t="s">
        <v>35</v>
      </c>
      <c r="L11" s="70">
        <v>11130</v>
      </c>
      <c r="M11" s="71">
        <v>42985</v>
      </c>
      <c r="N11" s="380" t="s">
        <v>822</v>
      </c>
      <c r="O11" s="72">
        <v>14460</v>
      </c>
      <c r="P11" s="60">
        <f t="shared" si="0"/>
        <v>3330</v>
      </c>
      <c r="Q11" s="64">
        <v>28</v>
      </c>
      <c r="R11" s="64"/>
      <c r="S11" s="99"/>
      <c r="T11" s="39">
        <f t="shared" si="1"/>
        <v>404880</v>
      </c>
      <c r="U11" s="352" t="s">
        <v>72</v>
      </c>
      <c r="V11" s="408">
        <v>43010</v>
      </c>
      <c r="W11" s="367">
        <v>9802</v>
      </c>
      <c r="X11" s="355"/>
      <c r="Y11" s="356"/>
      <c r="Z11" s="357"/>
      <c r="AA11" s="358"/>
      <c r="AB11" s="357"/>
      <c r="AC11" s="359"/>
      <c r="AD11" s="360"/>
      <c r="AE11" s="355"/>
      <c r="AF11" s="355"/>
      <c r="AG11" s="355"/>
      <c r="AH11" s="356"/>
      <c r="AI11" s="357"/>
      <c r="AJ11" s="358"/>
      <c r="AK11" s="357"/>
      <c r="AL11" s="359"/>
      <c r="AM11" s="360"/>
      <c r="AN11" s="355"/>
      <c r="AO11" s="355"/>
      <c r="AP11" s="355"/>
      <c r="AQ11" s="356"/>
      <c r="AR11" s="357"/>
      <c r="AS11" s="358"/>
      <c r="AT11" s="357"/>
      <c r="AU11" s="359"/>
      <c r="AV11" s="360"/>
      <c r="AW11" s="355"/>
      <c r="AX11" s="355"/>
      <c r="AY11" s="355"/>
      <c r="AZ11" s="356"/>
      <c r="BA11" s="357"/>
      <c r="BB11" s="358"/>
      <c r="BC11" s="357"/>
      <c r="BD11" s="359"/>
      <c r="BE11" s="360"/>
      <c r="BF11" s="355"/>
      <c r="BG11" s="355"/>
      <c r="BH11" s="355"/>
      <c r="BI11" s="356"/>
      <c r="BJ11" s="357"/>
      <c r="BK11" s="358"/>
      <c r="BL11" s="357"/>
      <c r="BM11" s="359"/>
      <c r="BN11" s="360"/>
      <c r="BO11" s="355"/>
      <c r="BP11" s="355"/>
      <c r="BQ11" s="355"/>
      <c r="BR11" s="356"/>
      <c r="BS11" s="357"/>
      <c r="BT11" s="358"/>
      <c r="BU11" s="357"/>
      <c r="BV11" s="359"/>
      <c r="BW11" s="360"/>
      <c r="BX11" s="355"/>
      <c r="BY11" s="355"/>
      <c r="BZ11" s="355"/>
      <c r="CA11" s="356"/>
      <c r="CB11" s="357"/>
      <c r="CC11" s="358"/>
      <c r="CD11" s="357"/>
      <c r="CE11" s="359"/>
      <c r="CF11" s="360"/>
      <c r="CG11" s="355"/>
      <c r="CH11" s="355"/>
      <c r="CI11" s="355"/>
      <c r="CJ11" s="356"/>
      <c r="CK11" s="357"/>
      <c r="CL11" s="358"/>
      <c r="CM11" s="357"/>
      <c r="CN11" s="359"/>
      <c r="CO11" s="360"/>
      <c r="CP11" s="355"/>
      <c r="CQ11" s="355"/>
      <c r="CR11" s="355"/>
      <c r="CS11" s="356"/>
      <c r="CT11" s="357"/>
      <c r="CU11" s="358"/>
      <c r="CV11" s="361"/>
      <c r="CW11" s="359"/>
      <c r="CX11" s="360"/>
      <c r="CY11" s="355"/>
      <c r="CZ11" s="355"/>
      <c r="DA11" s="355"/>
      <c r="DB11" s="356"/>
      <c r="DC11" s="357"/>
      <c r="DD11" s="358"/>
      <c r="DE11" s="357"/>
      <c r="DF11" s="359"/>
      <c r="DG11" s="360"/>
      <c r="DH11" s="355"/>
      <c r="DI11" s="355"/>
      <c r="DJ11" s="355"/>
      <c r="DK11" s="356"/>
      <c r="DL11" s="357"/>
      <c r="DM11" s="358"/>
      <c r="DN11" s="357"/>
      <c r="DO11" s="359"/>
      <c r="DP11" s="360"/>
      <c r="DQ11" s="355"/>
      <c r="DR11" s="355"/>
      <c r="DS11" s="355"/>
      <c r="DT11" s="356"/>
      <c r="DU11" s="357"/>
      <c r="DV11" s="358"/>
      <c r="DW11" s="357"/>
      <c r="DX11" s="359"/>
      <c r="DY11" s="360"/>
      <c r="DZ11" s="355"/>
      <c r="EA11" s="355"/>
      <c r="EB11" s="355"/>
      <c r="EC11" s="356"/>
      <c r="ED11" s="357"/>
      <c r="EE11" s="358"/>
      <c r="EF11" s="357"/>
      <c r="EG11" s="359"/>
      <c r="EH11" s="360"/>
      <c r="EI11" s="355"/>
      <c r="EJ11" s="355"/>
      <c r="EK11" s="355"/>
      <c r="EL11" s="356"/>
      <c r="EM11" s="357"/>
      <c r="EN11" s="358"/>
      <c r="EO11" s="357"/>
      <c r="EP11" s="359"/>
      <c r="EQ11" s="360"/>
      <c r="ER11" s="355"/>
      <c r="ES11" s="355"/>
      <c r="ET11" s="355"/>
      <c r="EU11" s="356"/>
      <c r="EV11" s="357"/>
      <c r="EW11" s="358"/>
      <c r="EX11" s="357"/>
      <c r="EY11" s="359"/>
      <c r="EZ11" s="360"/>
      <c r="FA11" s="355"/>
      <c r="FB11" s="355"/>
      <c r="FC11" s="355"/>
      <c r="FD11" s="356"/>
      <c r="FE11" s="357"/>
      <c r="FF11" s="358"/>
      <c r="FG11" s="357"/>
      <c r="FH11" s="359"/>
      <c r="FI11" s="360"/>
      <c r="FJ11" s="355"/>
      <c r="FK11" s="355"/>
      <c r="FL11" s="355"/>
      <c r="FM11" s="356"/>
      <c r="FN11" s="357"/>
      <c r="FO11" s="358"/>
      <c r="FP11" s="357"/>
      <c r="FQ11" s="359"/>
      <c r="FR11" s="360"/>
      <c r="FS11" s="355"/>
      <c r="FT11" s="355"/>
      <c r="FU11" s="355"/>
      <c r="FV11" s="356"/>
      <c r="FW11" s="357"/>
      <c r="FX11" s="358"/>
      <c r="FY11" s="357"/>
      <c r="FZ11" s="359"/>
      <c r="GA11" s="360"/>
      <c r="GB11" s="355"/>
      <c r="GC11" s="355"/>
      <c r="GD11" s="355"/>
      <c r="GE11" s="356"/>
      <c r="GF11" s="357"/>
      <c r="GG11" s="358"/>
      <c r="GH11" s="357"/>
      <c r="GI11" s="359"/>
      <c r="GJ11" s="360"/>
      <c r="GK11" s="355"/>
      <c r="GL11" s="355"/>
      <c r="GM11" s="355"/>
      <c r="GN11" s="356"/>
      <c r="GO11" s="357"/>
      <c r="GP11" s="358"/>
      <c r="GQ11" s="357"/>
      <c r="GR11" s="359"/>
      <c r="GS11" s="360"/>
      <c r="GT11" s="362">
        <v>43010</v>
      </c>
      <c r="GU11" s="98"/>
      <c r="GV11" s="65"/>
      <c r="GW11" s="74"/>
      <c r="GX11" s="74"/>
      <c r="GY11" s="167" t="s">
        <v>877</v>
      </c>
      <c r="GZ11" s="86">
        <v>2088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481</v>
      </c>
      <c r="K12" s="449" t="s">
        <v>37</v>
      </c>
      <c r="L12" s="101">
        <v>17360</v>
      </c>
      <c r="M12" s="102">
        <v>42986</v>
      </c>
      <c r="N12" s="416" t="s">
        <v>599</v>
      </c>
      <c r="O12" s="104">
        <v>22140</v>
      </c>
      <c r="P12" s="60">
        <f t="shared" si="0"/>
        <v>4780</v>
      </c>
      <c r="Q12" s="29">
        <v>28</v>
      </c>
      <c r="R12" s="105"/>
      <c r="S12" s="106"/>
      <c r="T12" s="39">
        <f t="shared" si="1"/>
        <v>619920</v>
      </c>
      <c r="U12" s="409" t="s">
        <v>72</v>
      </c>
      <c r="V12" s="410">
        <v>43010</v>
      </c>
      <c r="W12" s="354">
        <v>15080</v>
      </c>
      <c r="X12" s="355"/>
      <c r="Y12" s="356"/>
      <c r="Z12" s="357"/>
      <c r="AA12" s="358"/>
      <c r="AB12" s="357"/>
      <c r="AC12" s="359"/>
      <c r="AD12" s="360"/>
      <c r="AE12" s="355"/>
      <c r="AF12" s="355"/>
      <c r="AG12" s="355"/>
      <c r="AH12" s="356"/>
      <c r="AI12" s="357"/>
      <c r="AJ12" s="358"/>
      <c r="AK12" s="357"/>
      <c r="AL12" s="359"/>
      <c r="AM12" s="360"/>
      <c r="AN12" s="355"/>
      <c r="AO12" s="355"/>
      <c r="AP12" s="355"/>
      <c r="AQ12" s="356"/>
      <c r="AR12" s="357"/>
      <c r="AS12" s="358"/>
      <c r="AT12" s="357"/>
      <c r="AU12" s="359"/>
      <c r="AV12" s="360"/>
      <c r="AW12" s="355"/>
      <c r="AX12" s="355"/>
      <c r="AY12" s="355"/>
      <c r="AZ12" s="356"/>
      <c r="BA12" s="357"/>
      <c r="BB12" s="358"/>
      <c r="BC12" s="357"/>
      <c r="BD12" s="359"/>
      <c r="BE12" s="360"/>
      <c r="BF12" s="355"/>
      <c r="BG12" s="355"/>
      <c r="BH12" s="355"/>
      <c r="BI12" s="356"/>
      <c r="BJ12" s="357"/>
      <c r="BK12" s="358"/>
      <c r="BL12" s="357"/>
      <c r="BM12" s="359"/>
      <c r="BN12" s="360"/>
      <c r="BO12" s="355"/>
      <c r="BP12" s="355"/>
      <c r="BQ12" s="355"/>
      <c r="BR12" s="356"/>
      <c r="BS12" s="357"/>
      <c r="BT12" s="358"/>
      <c r="BU12" s="357"/>
      <c r="BV12" s="359"/>
      <c r="BW12" s="360"/>
      <c r="BX12" s="355"/>
      <c r="BY12" s="355"/>
      <c r="BZ12" s="355"/>
      <c r="CA12" s="356"/>
      <c r="CB12" s="357"/>
      <c r="CC12" s="358"/>
      <c r="CD12" s="357"/>
      <c r="CE12" s="359"/>
      <c r="CF12" s="360"/>
      <c r="CG12" s="355"/>
      <c r="CH12" s="355"/>
      <c r="CI12" s="355"/>
      <c r="CJ12" s="356"/>
      <c r="CK12" s="357"/>
      <c r="CL12" s="358"/>
      <c r="CM12" s="357"/>
      <c r="CN12" s="359"/>
      <c r="CO12" s="360"/>
      <c r="CP12" s="355"/>
      <c r="CQ12" s="355"/>
      <c r="CR12" s="355"/>
      <c r="CS12" s="356"/>
      <c r="CT12" s="357"/>
      <c r="CU12" s="358"/>
      <c r="CV12" s="361"/>
      <c r="CW12" s="359"/>
      <c r="CX12" s="360"/>
      <c r="CY12" s="355"/>
      <c r="CZ12" s="355"/>
      <c r="DA12" s="355"/>
      <c r="DB12" s="356"/>
      <c r="DC12" s="357"/>
      <c r="DD12" s="358"/>
      <c r="DE12" s="357"/>
      <c r="DF12" s="359"/>
      <c r="DG12" s="360"/>
      <c r="DH12" s="355"/>
      <c r="DI12" s="355"/>
      <c r="DJ12" s="355"/>
      <c r="DK12" s="356"/>
      <c r="DL12" s="357"/>
      <c r="DM12" s="358"/>
      <c r="DN12" s="357"/>
      <c r="DO12" s="359"/>
      <c r="DP12" s="360"/>
      <c r="DQ12" s="355"/>
      <c r="DR12" s="355"/>
      <c r="DS12" s="355"/>
      <c r="DT12" s="356"/>
      <c r="DU12" s="357"/>
      <c r="DV12" s="358"/>
      <c r="DW12" s="357"/>
      <c r="DX12" s="359"/>
      <c r="DY12" s="360"/>
      <c r="DZ12" s="355"/>
      <c r="EA12" s="355"/>
      <c r="EB12" s="355"/>
      <c r="EC12" s="356"/>
      <c r="ED12" s="357"/>
      <c r="EE12" s="358"/>
      <c r="EF12" s="357"/>
      <c r="EG12" s="359"/>
      <c r="EH12" s="360"/>
      <c r="EI12" s="355"/>
      <c r="EJ12" s="355"/>
      <c r="EK12" s="355"/>
      <c r="EL12" s="356"/>
      <c r="EM12" s="357"/>
      <c r="EN12" s="358"/>
      <c r="EO12" s="357"/>
      <c r="EP12" s="359"/>
      <c r="EQ12" s="360"/>
      <c r="ER12" s="355"/>
      <c r="ES12" s="355"/>
      <c r="ET12" s="355"/>
      <c r="EU12" s="356"/>
      <c r="EV12" s="357"/>
      <c r="EW12" s="358"/>
      <c r="EX12" s="357"/>
      <c r="EY12" s="359"/>
      <c r="EZ12" s="360"/>
      <c r="FA12" s="355"/>
      <c r="FB12" s="355"/>
      <c r="FC12" s="355"/>
      <c r="FD12" s="356"/>
      <c r="FE12" s="357"/>
      <c r="FF12" s="358"/>
      <c r="FG12" s="357"/>
      <c r="FH12" s="359"/>
      <c r="FI12" s="360"/>
      <c r="FJ12" s="355"/>
      <c r="FK12" s="355"/>
      <c r="FL12" s="355"/>
      <c r="FM12" s="356"/>
      <c r="FN12" s="357"/>
      <c r="FO12" s="358"/>
      <c r="FP12" s="357"/>
      <c r="FQ12" s="359"/>
      <c r="FR12" s="360"/>
      <c r="FS12" s="355"/>
      <c r="FT12" s="355"/>
      <c r="FU12" s="355"/>
      <c r="FV12" s="356"/>
      <c r="FW12" s="357"/>
      <c r="FX12" s="358"/>
      <c r="FY12" s="357"/>
      <c r="FZ12" s="359"/>
      <c r="GA12" s="360"/>
      <c r="GB12" s="355"/>
      <c r="GC12" s="355"/>
      <c r="GD12" s="355"/>
      <c r="GE12" s="356"/>
      <c r="GF12" s="357"/>
      <c r="GG12" s="358"/>
      <c r="GH12" s="357"/>
      <c r="GI12" s="359"/>
      <c r="GJ12" s="360"/>
      <c r="GK12" s="355"/>
      <c r="GL12" s="355"/>
      <c r="GM12" s="355"/>
      <c r="GN12" s="356"/>
      <c r="GO12" s="357"/>
      <c r="GP12" s="358"/>
      <c r="GQ12" s="357"/>
      <c r="GR12" s="359"/>
      <c r="GS12" s="360"/>
      <c r="GT12" s="362">
        <v>43010</v>
      </c>
      <c r="GU12" s="98">
        <v>22176</v>
      </c>
      <c r="GV12" s="65" t="s">
        <v>777</v>
      </c>
      <c r="GW12" s="74"/>
      <c r="GX12" s="74"/>
      <c r="GY12" s="167" t="s">
        <v>877</v>
      </c>
      <c r="GZ12" s="86">
        <v>3480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68" t="s">
        <v>744</v>
      </c>
      <c r="K13" s="449" t="s">
        <v>35</v>
      </c>
      <c r="L13" s="101">
        <v>11400</v>
      </c>
      <c r="M13" s="102">
        <v>42986</v>
      </c>
      <c r="N13" s="416" t="s">
        <v>836</v>
      </c>
      <c r="O13" s="104">
        <v>14320</v>
      </c>
      <c r="P13" s="60">
        <f t="shared" si="0"/>
        <v>2920</v>
      </c>
      <c r="Q13" s="29">
        <v>28</v>
      </c>
      <c r="R13" s="105"/>
      <c r="S13" s="106"/>
      <c r="T13" s="39">
        <f t="shared" si="1"/>
        <v>400960</v>
      </c>
      <c r="U13" s="409" t="s">
        <v>72</v>
      </c>
      <c r="V13" s="410">
        <v>43011</v>
      </c>
      <c r="W13" s="354">
        <v>9802</v>
      </c>
      <c r="X13" s="355"/>
      <c r="Y13" s="356"/>
      <c r="Z13" s="357"/>
      <c r="AA13" s="358"/>
      <c r="AB13" s="357"/>
      <c r="AC13" s="359"/>
      <c r="AD13" s="360"/>
      <c r="AE13" s="355"/>
      <c r="AF13" s="355"/>
      <c r="AG13" s="355"/>
      <c r="AH13" s="356"/>
      <c r="AI13" s="357"/>
      <c r="AJ13" s="358"/>
      <c r="AK13" s="357"/>
      <c r="AL13" s="359"/>
      <c r="AM13" s="360"/>
      <c r="AN13" s="355"/>
      <c r="AO13" s="355"/>
      <c r="AP13" s="355"/>
      <c r="AQ13" s="356"/>
      <c r="AR13" s="357"/>
      <c r="AS13" s="358"/>
      <c r="AT13" s="357"/>
      <c r="AU13" s="359"/>
      <c r="AV13" s="360"/>
      <c r="AW13" s="355"/>
      <c r="AX13" s="355"/>
      <c r="AY13" s="355"/>
      <c r="AZ13" s="356"/>
      <c r="BA13" s="357"/>
      <c r="BB13" s="358"/>
      <c r="BC13" s="357"/>
      <c r="BD13" s="359"/>
      <c r="BE13" s="360"/>
      <c r="BF13" s="355"/>
      <c r="BG13" s="355"/>
      <c r="BH13" s="355"/>
      <c r="BI13" s="356"/>
      <c r="BJ13" s="357"/>
      <c r="BK13" s="358"/>
      <c r="BL13" s="357"/>
      <c r="BM13" s="359"/>
      <c r="BN13" s="360"/>
      <c r="BO13" s="355"/>
      <c r="BP13" s="355"/>
      <c r="BQ13" s="355"/>
      <c r="BR13" s="356"/>
      <c r="BS13" s="357"/>
      <c r="BT13" s="358"/>
      <c r="BU13" s="357"/>
      <c r="BV13" s="359"/>
      <c r="BW13" s="360"/>
      <c r="BX13" s="355"/>
      <c r="BY13" s="355"/>
      <c r="BZ13" s="355"/>
      <c r="CA13" s="356"/>
      <c r="CB13" s="357"/>
      <c r="CC13" s="358"/>
      <c r="CD13" s="357"/>
      <c r="CE13" s="359"/>
      <c r="CF13" s="360"/>
      <c r="CG13" s="355"/>
      <c r="CH13" s="355"/>
      <c r="CI13" s="355"/>
      <c r="CJ13" s="356"/>
      <c r="CK13" s="357"/>
      <c r="CL13" s="358"/>
      <c r="CM13" s="357"/>
      <c r="CN13" s="359"/>
      <c r="CO13" s="360"/>
      <c r="CP13" s="355"/>
      <c r="CQ13" s="355"/>
      <c r="CR13" s="355"/>
      <c r="CS13" s="356"/>
      <c r="CT13" s="357"/>
      <c r="CU13" s="358"/>
      <c r="CV13" s="361"/>
      <c r="CW13" s="359"/>
      <c r="CX13" s="360"/>
      <c r="CY13" s="355"/>
      <c r="CZ13" s="355"/>
      <c r="DA13" s="355"/>
      <c r="DB13" s="356"/>
      <c r="DC13" s="357"/>
      <c r="DD13" s="358"/>
      <c r="DE13" s="357"/>
      <c r="DF13" s="359"/>
      <c r="DG13" s="360"/>
      <c r="DH13" s="355"/>
      <c r="DI13" s="355"/>
      <c r="DJ13" s="355"/>
      <c r="DK13" s="356"/>
      <c r="DL13" s="357"/>
      <c r="DM13" s="358"/>
      <c r="DN13" s="357"/>
      <c r="DO13" s="359"/>
      <c r="DP13" s="360"/>
      <c r="DQ13" s="355"/>
      <c r="DR13" s="355"/>
      <c r="DS13" s="355"/>
      <c r="DT13" s="356"/>
      <c r="DU13" s="357"/>
      <c r="DV13" s="358"/>
      <c r="DW13" s="357"/>
      <c r="DX13" s="359"/>
      <c r="DY13" s="360"/>
      <c r="DZ13" s="355"/>
      <c r="EA13" s="355"/>
      <c r="EB13" s="355"/>
      <c r="EC13" s="356"/>
      <c r="ED13" s="357"/>
      <c r="EE13" s="358"/>
      <c r="EF13" s="357"/>
      <c r="EG13" s="359"/>
      <c r="EH13" s="360"/>
      <c r="EI13" s="355"/>
      <c r="EJ13" s="355"/>
      <c r="EK13" s="355"/>
      <c r="EL13" s="356"/>
      <c r="EM13" s="357"/>
      <c r="EN13" s="358"/>
      <c r="EO13" s="357"/>
      <c r="EP13" s="359"/>
      <c r="EQ13" s="360"/>
      <c r="ER13" s="355"/>
      <c r="ES13" s="355"/>
      <c r="ET13" s="355"/>
      <c r="EU13" s="356"/>
      <c r="EV13" s="357"/>
      <c r="EW13" s="358"/>
      <c r="EX13" s="357"/>
      <c r="EY13" s="359"/>
      <c r="EZ13" s="360"/>
      <c r="FA13" s="355"/>
      <c r="FB13" s="355"/>
      <c r="FC13" s="355"/>
      <c r="FD13" s="356"/>
      <c r="FE13" s="357"/>
      <c r="FF13" s="358"/>
      <c r="FG13" s="357"/>
      <c r="FH13" s="359"/>
      <c r="FI13" s="360"/>
      <c r="FJ13" s="355"/>
      <c r="FK13" s="355"/>
      <c r="FL13" s="355"/>
      <c r="FM13" s="356"/>
      <c r="FN13" s="357"/>
      <c r="FO13" s="358"/>
      <c r="FP13" s="357"/>
      <c r="FQ13" s="359"/>
      <c r="FR13" s="360"/>
      <c r="FS13" s="355"/>
      <c r="FT13" s="355"/>
      <c r="FU13" s="355"/>
      <c r="FV13" s="356"/>
      <c r="FW13" s="357"/>
      <c r="FX13" s="358"/>
      <c r="FY13" s="357"/>
      <c r="FZ13" s="359"/>
      <c r="GA13" s="360"/>
      <c r="GB13" s="355"/>
      <c r="GC13" s="355"/>
      <c r="GD13" s="355"/>
      <c r="GE13" s="356"/>
      <c r="GF13" s="357"/>
      <c r="GG13" s="358"/>
      <c r="GH13" s="357"/>
      <c r="GI13" s="359"/>
      <c r="GJ13" s="360"/>
      <c r="GK13" s="355"/>
      <c r="GL13" s="355"/>
      <c r="GM13" s="355"/>
      <c r="GN13" s="356"/>
      <c r="GO13" s="357"/>
      <c r="GP13" s="358"/>
      <c r="GQ13" s="357"/>
      <c r="GR13" s="359"/>
      <c r="GS13" s="360"/>
      <c r="GT13" s="362">
        <v>43011</v>
      </c>
      <c r="GU13" s="98">
        <v>17584</v>
      </c>
      <c r="GV13" s="65" t="s">
        <v>776</v>
      </c>
      <c r="GW13" s="74"/>
      <c r="GX13" s="74"/>
      <c r="GY13" s="167" t="s">
        <v>877</v>
      </c>
      <c r="GZ13" s="86">
        <v>2088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96</v>
      </c>
      <c r="K14" s="449" t="s">
        <v>37</v>
      </c>
      <c r="L14" s="101">
        <v>18680</v>
      </c>
      <c r="M14" s="102">
        <v>42988</v>
      </c>
      <c r="N14" s="416" t="s">
        <v>835</v>
      </c>
      <c r="O14" s="104">
        <v>23545</v>
      </c>
      <c r="P14" s="60">
        <f t="shared" si="0"/>
        <v>4865</v>
      </c>
      <c r="Q14" s="29">
        <v>27.5</v>
      </c>
      <c r="R14" s="105"/>
      <c r="S14" s="106"/>
      <c r="T14" s="39">
        <f t="shared" si="1"/>
        <v>647487.5</v>
      </c>
      <c r="U14" s="409" t="s">
        <v>72</v>
      </c>
      <c r="V14" s="410">
        <v>43011</v>
      </c>
      <c r="W14" s="354">
        <v>15080</v>
      </c>
      <c r="X14" s="355"/>
      <c r="Y14" s="356"/>
      <c r="Z14" s="357"/>
      <c r="AA14" s="358"/>
      <c r="AB14" s="357"/>
      <c r="AC14" s="359"/>
      <c r="AD14" s="360"/>
      <c r="AE14" s="355"/>
      <c r="AF14" s="355"/>
      <c r="AG14" s="355"/>
      <c r="AH14" s="356"/>
      <c r="AI14" s="357"/>
      <c r="AJ14" s="358"/>
      <c r="AK14" s="357"/>
      <c r="AL14" s="359"/>
      <c r="AM14" s="360"/>
      <c r="AN14" s="355"/>
      <c r="AO14" s="355"/>
      <c r="AP14" s="355"/>
      <c r="AQ14" s="356"/>
      <c r="AR14" s="357"/>
      <c r="AS14" s="358"/>
      <c r="AT14" s="357"/>
      <c r="AU14" s="359"/>
      <c r="AV14" s="360"/>
      <c r="AW14" s="355"/>
      <c r="AX14" s="355"/>
      <c r="AY14" s="355"/>
      <c r="AZ14" s="356"/>
      <c r="BA14" s="357"/>
      <c r="BB14" s="358"/>
      <c r="BC14" s="357"/>
      <c r="BD14" s="359"/>
      <c r="BE14" s="360"/>
      <c r="BF14" s="355"/>
      <c r="BG14" s="355"/>
      <c r="BH14" s="355"/>
      <c r="BI14" s="356"/>
      <c r="BJ14" s="357"/>
      <c r="BK14" s="358"/>
      <c r="BL14" s="357"/>
      <c r="BM14" s="359"/>
      <c r="BN14" s="360"/>
      <c r="BO14" s="355"/>
      <c r="BP14" s="355"/>
      <c r="BQ14" s="355"/>
      <c r="BR14" s="356"/>
      <c r="BS14" s="357"/>
      <c r="BT14" s="358"/>
      <c r="BU14" s="357"/>
      <c r="BV14" s="359"/>
      <c r="BW14" s="360"/>
      <c r="BX14" s="355"/>
      <c r="BY14" s="355"/>
      <c r="BZ14" s="355"/>
      <c r="CA14" s="356"/>
      <c r="CB14" s="357"/>
      <c r="CC14" s="358"/>
      <c r="CD14" s="357"/>
      <c r="CE14" s="359"/>
      <c r="CF14" s="360"/>
      <c r="CG14" s="355"/>
      <c r="CH14" s="355"/>
      <c r="CI14" s="355"/>
      <c r="CJ14" s="356"/>
      <c r="CK14" s="357"/>
      <c r="CL14" s="358"/>
      <c r="CM14" s="357"/>
      <c r="CN14" s="359"/>
      <c r="CO14" s="360"/>
      <c r="CP14" s="355"/>
      <c r="CQ14" s="355"/>
      <c r="CR14" s="355"/>
      <c r="CS14" s="356"/>
      <c r="CT14" s="357"/>
      <c r="CU14" s="358"/>
      <c r="CV14" s="361"/>
      <c r="CW14" s="359"/>
      <c r="CX14" s="360"/>
      <c r="CY14" s="355"/>
      <c r="CZ14" s="355"/>
      <c r="DA14" s="355"/>
      <c r="DB14" s="356"/>
      <c r="DC14" s="357"/>
      <c r="DD14" s="358"/>
      <c r="DE14" s="357"/>
      <c r="DF14" s="359"/>
      <c r="DG14" s="360"/>
      <c r="DH14" s="355"/>
      <c r="DI14" s="355"/>
      <c r="DJ14" s="355"/>
      <c r="DK14" s="356"/>
      <c r="DL14" s="357"/>
      <c r="DM14" s="358"/>
      <c r="DN14" s="357"/>
      <c r="DO14" s="359"/>
      <c r="DP14" s="360"/>
      <c r="DQ14" s="355"/>
      <c r="DR14" s="355"/>
      <c r="DS14" s="355"/>
      <c r="DT14" s="356"/>
      <c r="DU14" s="357"/>
      <c r="DV14" s="358"/>
      <c r="DW14" s="357"/>
      <c r="DX14" s="359"/>
      <c r="DY14" s="360"/>
      <c r="DZ14" s="355"/>
      <c r="EA14" s="355"/>
      <c r="EB14" s="355"/>
      <c r="EC14" s="356"/>
      <c r="ED14" s="357"/>
      <c r="EE14" s="358"/>
      <c r="EF14" s="357"/>
      <c r="EG14" s="359"/>
      <c r="EH14" s="360"/>
      <c r="EI14" s="355"/>
      <c r="EJ14" s="355"/>
      <c r="EK14" s="355"/>
      <c r="EL14" s="356"/>
      <c r="EM14" s="357"/>
      <c r="EN14" s="358"/>
      <c r="EO14" s="357"/>
      <c r="EP14" s="359"/>
      <c r="EQ14" s="360"/>
      <c r="ER14" s="355"/>
      <c r="ES14" s="355"/>
      <c r="ET14" s="355"/>
      <c r="EU14" s="356"/>
      <c r="EV14" s="357"/>
      <c r="EW14" s="358"/>
      <c r="EX14" s="357"/>
      <c r="EY14" s="359"/>
      <c r="EZ14" s="360"/>
      <c r="FA14" s="355"/>
      <c r="FB14" s="355"/>
      <c r="FC14" s="355"/>
      <c r="FD14" s="356"/>
      <c r="FE14" s="357"/>
      <c r="FF14" s="358"/>
      <c r="FG14" s="357"/>
      <c r="FH14" s="359"/>
      <c r="FI14" s="360"/>
      <c r="FJ14" s="355"/>
      <c r="FK14" s="355"/>
      <c r="FL14" s="355"/>
      <c r="FM14" s="356"/>
      <c r="FN14" s="357"/>
      <c r="FO14" s="358"/>
      <c r="FP14" s="357"/>
      <c r="FQ14" s="359"/>
      <c r="FR14" s="360"/>
      <c r="FS14" s="355"/>
      <c r="FT14" s="355"/>
      <c r="FU14" s="355"/>
      <c r="FV14" s="356"/>
      <c r="FW14" s="357"/>
      <c r="FX14" s="358"/>
      <c r="FY14" s="357"/>
      <c r="FZ14" s="359"/>
      <c r="GA14" s="360"/>
      <c r="GB14" s="355"/>
      <c r="GC14" s="355"/>
      <c r="GD14" s="355"/>
      <c r="GE14" s="356"/>
      <c r="GF14" s="357"/>
      <c r="GG14" s="358"/>
      <c r="GH14" s="357"/>
      <c r="GI14" s="359"/>
      <c r="GJ14" s="360"/>
      <c r="GK14" s="355"/>
      <c r="GL14" s="355"/>
      <c r="GM14" s="355"/>
      <c r="GN14" s="356"/>
      <c r="GO14" s="357"/>
      <c r="GP14" s="358"/>
      <c r="GQ14" s="357"/>
      <c r="GR14" s="359"/>
      <c r="GS14" s="360"/>
      <c r="GT14" s="362">
        <v>43011</v>
      </c>
      <c r="GU14" s="98">
        <v>22176</v>
      </c>
      <c r="GV14" s="65" t="s">
        <v>790</v>
      </c>
      <c r="GW14" s="74"/>
      <c r="GX14" s="74"/>
      <c r="GY14" s="167" t="s">
        <v>877</v>
      </c>
      <c r="GZ14" s="86">
        <v>3480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68" t="s">
        <v>42</v>
      </c>
      <c r="K15" s="407" t="s">
        <v>838</v>
      </c>
      <c r="L15" s="110">
        <v>18180</v>
      </c>
      <c r="M15" s="71">
        <v>42990</v>
      </c>
      <c r="N15" s="380" t="s">
        <v>837</v>
      </c>
      <c r="O15" s="72">
        <v>22930</v>
      </c>
      <c r="P15" s="60">
        <f t="shared" si="0"/>
        <v>4750</v>
      </c>
      <c r="Q15" s="64">
        <v>27.5</v>
      </c>
      <c r="R15" s="64"/>
      <c r="S15" s="111"/>
      <c r="T15" s="39">
        <f t="shared" si="1"/>
        <v>630575</v>
      </c>
      <c r="U15" s="352" t="s">
        <v>72</v>
      </c>
      <c r="V15" s="353">
        <v>43012</v>
      </c>
      <c r="W15" s="354">
        <v>15834</v>
      </c>
      <c r="X15" s="355"/>
      <c r="Y15" s="356"/>
      <c r="Z15" s="357"/>
      <c r="AA15" s="358"/>
      <c r="AB15" s="357"/>
      <c r="AC15" s="359"/>
      <c r="AD15" s="360"/>
      <c r="AE15" s="355"/>
      <c r="AF15" s="355"/>
      <c r="AG15" s="355"/>
      <c r="AH15" s="356"/>
      <c r="AI15" s="357"/>
      <c r="AJ15" s="358"/>
      <c r="AK15" s="357"/>
      <c r="AL15" s="359"/>
      <c r="AM15" s="360"/>
      <c r="AN15" s="355"/>
      <c r="AO15" s="355"/>
      <c r="AP15" s="355"/>
      <c r="AQ15" s="356"/>
      <c r="AR15" s="357"/>
      <c r="AS15" s="358"/>
      <c r="AT15" s="357"/>
      <c r="AU15" s="359"/>
      <c r="AV15" s="360"/>
      <c r="AW15" s="355"/>
      <c r="AX15" s="355"/>
      <c r="AY15" s="355"/>
      <c r="AZ15" s="356"/>
      <c r="BA15" s="357"/>
      <c r="BB15" s="358"/>
      <c r="BC15" s="357"/>
      <c r="BD15" s="359"/>
      <c r="BE15" s="360"/>
      <c r="BF15" s="355"/>
      <c r="BG15" s="355"/>
      <c r="BH15" s="355"/>
      <c r="BI15" s="356"/>
      <c r="BJ15" s="357"/>
      <c r="BK15" s="358"/>
      <c r="BL15" s="357"/>
      <c r="BM15" s="359"/>
      <c r="BN15" s="360"/>
      <c r="BO15" s="355"/>
      <c r="BP15" s="355"/>
      <c r="BQ15" s="355"/>
      <c r="BR15" s="356"/>
      <c r="BS15" s="357"/>
      <c r="BT15" s="358"/>
      <c r="BU15" s="357"/>
      <c r="BV15" s="359"/>
      <c r="BW15" s="360"/>
      <c r="BX15" s="355"/>
      <c r="BY15" s="355"/>
      <c r="BZ15" s="355"/>
      <c r="CA15" s="356"/>
      <c r="CB15" s="357"/>
      <c r="CC15" s="358"/>
      <c r="CD15" s="357"/>
      <c r="CE15" s="359"/>
      <c r="CF15" s="360"/>
      <c r="CG15" s="355"/>
      <c r="CH15" s="355"/>
      <c r="CI15" s="355"/>
      <c r="CJ15" s="356"/>
      <c r="CK15" s="357"/>
      <c r="CL15" s="358"/>
      <c r="CM15" s="357"/>
      <c r="CN15" s="359"/>
      <c r="CO15" s="360"/>
      <c r="CP15" s="355"/>
      <c r="CQ15" s="355"/>
      <c r="CR15" s="355"/>
      <c r="CS15" s="356"/>
      <c r="CT15" s="357"/>
      <c r="CU15" s="358"/>
      <c r="CV15" s="361"/>
      <c r="CW15" s="359"/>
      <c r="CX15" s="360"/>
      <c r="CY15" s="355"/>
      <c r="CZ15" s="355"/>
      <c r="DA15" s="355"/>
      <c r="DB15" s="356"/>
      <c r="DC15" s="357"/>
      <c r="DD15" s="358"/>
      <c r="DE15" s="357"/>
      <c r="DF15" s="359"/>
      <c r="DG15" s="360"/>
      <c r="DH15" s="355"/>
      <c r="DI15" s="355"/>
      <c r="DJ15" s="355"/>
      <c r="DK15" s="356"/>
      <c r="DL15" s="357"/>
      <c r="DM15" s="358"/>
      <c r="DN15" s="357"/>
      <c r="DO15" s="359"/>
      <c r="DP15" s="360"/>
      <c r="DQ15" s="355"/>
      <c r="DR15" s="355"/>
      <c r="DS15" s="355"/>
      <c r="DT15" s="356"/>
      <c r="DU15" s="357"/>
      <c r="DV15" s="358"/>
      <c r="DW15" s="357"/>
      <c r="DX15" s="359"/>
      <c r="DY15" s="360"/>
      <c r="DZ15" s="355"/>
      <c r="EA15" s="355"/>
      <c r="EB15" s="355"/>
      <c r="EC15" s="356"/>
      <c r="ED15" s="357"/>
      <c r="EE15" s="358"/>
      <c r="EF15" s="357"/>
      <c r="EG15" s="359"/>
      <c r="EH15" s="360"/>
      <c r="EI15" s="355"/>
      <c r="EJ15" s="355"/>
      <c r="EK15" s="355"/>
      <c r="EL15" s="356"/>
      <c r="EM15" s="357"/>
      <c r="EN15" s="358"/>
      <c r="EO15" s="357"/>
      <c r="EP15" s="359"/>
      <c r="EQ15" s="360"/>
      <c r="ER15" s="355"/>
      <c r="ES15" s="355"/>
      <c r="ET15" s="355"/>
      <c r="EU15" s="356"/>
      <c r="EV15" s="357"/>
      <c r="EW15" s="358"/>
      <c r="EX15" s="357"/>
      <c r="EY15" s="359"/>
      <c r="EZ15" s="360"/>
      <c r="FA15" s="355"/>
      <c r="FB15" s="355"/>
      <c r="FC15" s="355"/>
      <c r="FD15" s="356"/>
      <c r="FE15" s="357"/>
      <c r="FF15" s="358"/>
      <c r="FG15" s="357"/>
      <c r="FH15" s="359"/>
      <c r="FI15" s="360"/>
      <c r="FJ15" s="355"/>
      <c r="FK15" s="355"/>
      <c r="FL15" s="355"/>
      <c r="FM15" s="356"/>
      <c r="FN15" s="357"/>
      <c r="FO15" s="358"/>
      <c r="FP15" s="357"/>
      <c r="FQ15" s="359"/>
      <c r="FR15" s="360"/>
      <c r="FS15" s="355"/>
      <c r="FT15" s="355"/>
      <c r="FU15" s="355"/>
      <c r="FV15" s="356"/>
      <c r="FW15" s="357"/>
      <c r="FX15" s="358"/>
      <c r="FY15" s="357"/>
      <c r="FZ15" s="359"/>
      <c r="GA15" s="360"/>
      <c r="GB15" s="355"/>
      <c r="GC15" s="355"/>
      <c r="GD15" s="355"/>
      <c r="GE15" s="356"/>
      <c r="GF15" s="357"/>
      <c r="GG15" s="358"/>
      <c r="GH15" s="357"/>
      <c r="GI15" s="359"/>
      <c r="GJ15" s="360"/>
      <c r="GK15" s="355"/>
      <c r="GL15" s="355"/>
      <c r="GM15" s="355"/>
      <c r="GN15" s="356"/>
      <c r="GO15" s="357"/>
      <c r="GP15" s="358"/>
      <c r="GQ15" s="357"/>
      <c r="GR15" s="359"/>
      <c r="GS15" s="360"/>
      <c r="GT15" s="362">
        <v>43012</v>
      </c>
      <c r="GU15" s="98"/>
      <c r="GV15" s="65"/>
      <c r="GW15" s="74"/>
      <c r="GX15" s="74"/>
      <c r="GY15" s="390" t="s">
        <v>877</v>
      </c>
      <c r="GZ15" s="86">
        <v>3480</v>
      </c>
    </row>
    <row r="16" spans="1:208" x14ac:dyDescent="0.25">
      <c r="C16" s="87"/>
      <c r="D16" s="35"/>
      <c r="E16" s="36"/>
      <c r="F16" s="37"/>
      <c r="G16" s="38"/>
      <c r="H16" s="39"/>
      <c r="I16" s="40"/>
      <c r="J16" s="68" t="s">
        <v>42</v>
      </c>
      <c r="K16" s="407" t="s">
        <v>37</v>
      </c>
      <c r="L16" s="110">
        <v>17720</v>
      </c>
      <c r="M16" s="71">
        <v>42990</v>
      </c>
      <c r="N16" s="380" t="s">
        <v>839</v>
      </c>
      <c r="O16" s="72">
        <v>22300</v>
      </c>
      <c r="P16" s="60">
        <f t="shared" si="0"/>
        <v>4580</v>
      </c>
      <c r="Q16" s="64">
        <v>27.5</v>
      </c>
      <c r="R16" s="905"/>
      <c r="S16" s="906"/>
      <c r="T16" s="39">
        <f t="shared" si="1"/>
        <v>613250</v>
      </c>
      <c r="U16" s="352" t="s">
        <v>72</v>
      </c>
      <c r="V16" s="353">
        <v>43013</v>
      </c>
      <c r="W16" s="354">
        <v>15080</v>
      </c>
      <c r="X16" s="355"/>
      <c r="Y16" s="356"/>
      <c r="Z16" s="357"/>
      <c r="AA16" s="358"/>
      <c r="AB16" s="357"/>
      <c r="AC16" s="359"/>
      <c r="AD16" s="360"/>
      <c r="AE16" s="355"/>
      <c r="AF16" s="355"/>
      <c r="AG16" s="355"/>
      <c r="AH16" s="356"/>
      <c r="AI16" s="357"/>
      <c r="AJ16" s="358"/>
      <c r="AK16" s="357"/>
      <c r="AL16" s="359"/>
      <c r="AM16" s="360"/>
      <c r="AN16" s="355"/>
      <c r="AO16" s="355"/>
      <c r="AP16" s="355"/>
      <c r="AQ16" s="356"/>
      <c r="AR16" s="357"/>
      <c r="AS16" s="358"/>
      <c r="AT16" s="357"/>
      <c r="AU16" s="359"/>
      <c r="AV16" s="360"/>
      <c r="AW16" s="355"/>
      <c r="AX16" s="355"/>
      <c r="AY16" s="355"/>
      <c r="AZ16" s="356"/>
      <c r="BA16" s="357"/>
      <c r="BB16" s="358"/>
      <c r="BC16" s="357"/>
      <c r="BD16" s="359"/>
      <c r="BE16" s="360"/>
      <c r="BF16" s="355"/>
      <c r="BG16" s="355"/>
      <c r="BH16" s="355"/>
      <c r="BI16" s="356"/>
      <c r="BJ16" s="357"/>
      <c r="BK16" s="358"/>
      <c r="BL16" s="357"/>
      <c r="BM16" s="359"/>
      <c r="BN16" s="360"/>
      <c r="BO16" s="355"/>
      <c r="BP16" s="355"/>
      <c r="BQ16" s="355"/>
      <c r="BR16" s="356"/>
      <c r="BS16" s="357"/>
      <c r="BT16" s="358"/>
      <c r="BU16" s="357"/>
      <c r="BV16" s="359"/>
      <c r="BW16" s="360"/>
      <c r="BX16" s="355"/>
      <c r="BY16" s="355"/>
      <c r="BZ16" s="355"/>
      <c r="CA16" s="356"/>
      <c r="CB16" s="357"/>
      <c r="CC16" s="358"/>
      <c r="CD16" s="357"/>
      <c r="CE16" s="359"/>
      <c r="CF16" s="360"/>
      <c r="CG16" s="355"/>
      <c r="CH16" s="355"/>
      <c r="CI16" s="355"/>
      <c r="CJ16" s="356"/>
      <c r="CK16" s="357"/>
      <c r="CL16" s="358"/>
      <c r="CM16" s="357"/>
      <c r="CN16" s="359"/>
      <c r="CO16" s="360"/>
      <c r="CP16" s="355"/>
      <c r="CQ16" s="355"/>
      <c r="CR16" s="355"/>
      <c r="CS16" s="356"/>
      <c r="CT16" s="357"/>
      <c r="CU16" s="358"/>
      <c r="CV16" s="361"/>
      <c r="CW16" s="359"/>
      <c r="CX16" s="360"/>
      <c r="CY16" s="355"/>
      <c r="CZ16" s="355"/>
      <c r="DA16" s="355"/>
      <c r="DB16" s="356"/>
      <c r="DC16" s="357"/>
      <c r="DD16" s="358"/>
      <c r="DE16" s="357"/>
      <c r="DF16" s="359"/>
      <c r="DG16" s="360"/>
      <c r="DH16" s="355"/>
      <c r="DI16" s="355"/>
      <c r="DJ16" s="355"/>
      <c r="DK16" s="356"/>
      <c r="DL16" s="357"/>
      <c r="DM16" s="358"/>
      <c r="DN16" s="357"/>
      <c r="DO16" s="359"/>
      <c r="DP16" s="360"/>
      <c r="DQ16" s="355"/>
      <c r="DR16" s="355"/>
      <c r="DS16" s="355"/>
      <c r="DT16" s="356"/>
      <c r="DU16" s="357"/>
      <c r="DV16" s="358"/>
      <c r="DW16" s="357"/>
      <c r="DX16" s="359"/>
      <c r="DY16" s="360"/>
      <c r="DZ16" s="355"/>
      <c r="EA16" s="355"/>
      <c r="EB16" s="355"/>
      <c r="EC16" s="356"/>
      <c r="ED16" s="357"/>
      <c r="EE16" s="358"/>
      <c r="EF16" s="357"/>
      <c r="EG16" s="359"/>
      <c r="EH16" s="360"/>
      <c r="EI16" s="355"/>
      <c r="EJ16" s="355"/>
      <c r="EK16" s="355"/>
      <c r="EL16" s="356"/>
      <c r="EM16" s="357"/>
      <c r="EN16" s="358"/>
      <c r="EO16" s="357"/>
      <c r="EP16" s="359"/>
      <c r="EQ16" s="360"/>
      <c r="ER16" s="355"/>
      <c r="ES16" s="355"/>
      <c r="ET16" s="355"/>
      <c r="EU16" s="356"/>
      <c r="EV16" s="357"/>
      <c r="EW16" s="358"/>
      <c r="EX16" s="357"/>
      <c r="EY16" s="359"/>
      <c r="EZ16" s="360"/>
      <c r="FA16" s="355"/>
      <c r="FB16" s="355"/>
      <c r="FC16" s="355"/>
      <c r="FD16" s="356"/>
      <c r="FE16" s="357"/>
      <c r="FF16" s="358"/>
      <c r="FG16" s="357"/>
      <c r="FH16" s="359"/>
      <c r="FI16" s="360"/>
      <c r="FJ16" s="355"/>
      <c r="FK16" s="355"/>
      <c r="FL16" s="355"/>
      <c r="FM16" s="356"/>
      <c r="FN16" s="357"/>
      <c r="FO16" s="358"/>
      <c r="FP16" s="357"/>
      <c r="FQ16" s="359"/>
      <c r="FR16" s="360"/>
      <c r="FS16" s="355"/>
      <c r="FT16" s="355"/>
      <c r="FU16" s="355"/>
      <c r="FV16" s="356"/>
      <c r="FW16" s="357"/>
      <c r="FX16" s="358"/>
      <c r="FY16" s="357"/>
      <c r="FZ16" s="359"/>
      <c r="GA16" s="360"/>
      <c r="GB16" s="355"/>
      <c r="GC16" s="355"/>
      <c r="GD16" s="355"/>
      <c r="GE16" s="356"/>
      <c r="GF16" s="357"/>
      <c r="GG16" s="358"/>
      <c r="GH16" s="357"/>
      <c r="GI16" s="359"/>
      <c r="GJ16" s="360"/>
      <c r="GK16" s="355"/>
      <c r="GL16" s="355"/>
      <c r="GM16" s="355"/>
      <c r="GN16" s="356"/>
      <c r="GO16" s="357"/>
      <c r="GP16" s="358"/>
      <c r="GQ16" s="357"/>
      <c r="GR16" s="359"/>
      <c r="GS16" s="360"/>
      <c r="GT16" s="362">
        <v>43013</v>
      </c>
      <c r="GU16" s="114"/>
      <c r="GV16" s="65"/>
      <c r="GW16" s="74"/>
      <c r="GX16" s="74"/>
      <c r="GY16" s="167" t="s">
        <v>877</v>
      </c>
      <c r="GZ16" s="86">
        <v>3480</v>
      </c>
    </row>
    <row r="17" spans="1:208" x14ac:dyDescent="0.25">
      <c r="C17" s="87"/>
      <c r="D17" s="35"/>
      <c r="E17" s="36"/>
      <c r="F17" s="37"/>
      <c r="G17" s="38"/>
      <c r="H17" s="39"/>
      <c r="I17" s="40"/>
      <c r="J17" s="68" t="s">
        <v>42</v>
      </c>
      <c r="K17" s="407" t="s">
        <v>485</v>
      </c>
      <c r="L17" s="110">
        <v>24520</v>
      </c>
      <c r="M17" s="71">
        <v>42991</v>
      </c>
      <c r="N17" s="380" t="s">
        <v>843</v>
      </c>
      <c r="O17" s="72">
        <v>30715</v>
      </c>
      <c r="P17" s="113">
        <f t="shared" si="0"/>
        <v>6195</v>
      </c>
      <c r="Q17" s="64">
        <v>27.5</v>
      </c>
      <c r="R17" s="64"/>
      <c r="S17" s="64"/>
      <c r="T17" s="39">
        <f t="shared" si="1"/>
        <v>844662.5</v>
      </c>
      <c r="U17" s="352" t="s">
        <v>72</v>
      </c>
      <c r="V17" s="353">
        <v>43014</v>
      </c>
      <c r="W17" s="354">
        <v>19453.2</v>
      </c>
      <c r="X17" s="355"/>
      <c r="Y17" s="356"/>
      <c r="Z17" s="357"/>
      <c r="AA17" s="358"/>
      <c r="AB17" s="357"/>
      <c r="AC17" s="359"/>
      <c r="AD17" s="360"/>
      <c r="AE17" s="355"/>
      <c r="AF17" s="355"/>
      <c r="AG17" s="355"/>
      <c r="AH17" s="356"/>
      <c r="AI17" s="357"/>
      <c r="AJ17" s="358"/>
      <c r="AK17" s="357"/>
      <c r="AL17" s="359"/>
      <c r="AM17" s="360"/>
      <c r="AN17" s="355"/>
      <c r="AO17" s="355"/>
      <c r="AP17" s="355"/>
      <c r="AQ17" s="356"/>
      <c r="AR17" s="357"/>
      <c r="AS17" s="358"/>
      <c r="AT17" s="357"/>
      <c r="AU17" s="359"/>
      <c r="AV17" s="360"/>
      <c r="AW17" s="355"/>
      <c r="AX17" s="355"/>
      <c r="AY17" s="355"/>
      <c r="AZ17" s="356"/>
      <c r="BA17" s="357"/>
      <c r="BB17" s="358"/>
      <c r="BC17" s="357"/>
      <c r="BD17" s="359"/>
      <c r="BE17" s="360"/>
      <c r="BF17" s="355"/>
      <c r="BG17" s="355"/>
      <c r="BH17" s="355"/>
      <c r="BI17" s="356"/>
      <c r="BJ17" s="357"/>
      <c r="BK17" s="358"/>
      <c r="BL17" s="357"/>
      <c r="BM17" s="359"/>
      <c r="BN17" s="360"/>
      <c r="BO17" s="355"/>
      <c r="BP17" s="355"/>
      <c r="BQ17" s="355"/>
      <c r="BR17" s="356"/>
      <c r="BS17" s="357"/>
      <c r="BT17" s="358"/>
      <c r="BU17" s="357"/>
      <c r="BV17" s="359"/>
      <c r="BW17" s="360"/>
      <c r="BX17" s="355"/>
      <c r="BY17" s="355"/>
      <c r="BZ17" s="355"/>
      <c r="CA17" s="356"/>
      <c r="CB17" s="357"/>
      <c r="CC17" s="358"/>
      <c r="CD17" s="357"/>
      <c r="CE17" s="359"/>
      <c r="CF17" s="360"/>
      <c r="CG17" s="355"/>
      <c r="CH17" s="355"/>
      <c r="CI17" s="355"/>
      <c r="CJ17" s="356"/>
      <c r="CK17" s="357"/>
      <c r="CL17" s="358"/>
      <c r="CM17" s="357"/>
      <c r="CN17" s="359"/>
      <c r="CO17" s="360"/>
      <c r="CP17" s="355"/>
      <c r="CQ17" s="355"/>
      <c r="CR17" s="355"/>
      <c r="CS17" s="356"/>
      <c r="CT17" s="357"/>
      <c r="CU17" s="358"/>
      <c r="CV17" s="361"/>
      <c r="CW17" s="359"/>
      <c r="CX17" s="360"/>
      <c r="CY17" s="355"/>
      <c r="CZ17" s="355"/>
      <c r="DA17" s="355"/>
      <c r="DB17" s="356"/>
      <c r="DC17" s="357"/>
      <c r="DD17" s="358"/>
      <c r="DE17" s="357"/>
      <c r="DF17" s="359"/>
      <c r="DG17" s="360"/>
      <c r="DH17" s="355"/>
      <c r="DI17" s="355"/>
      <c r="DJ17" s="355"/>
      <c r="DK17" s="356"/>
      <c r="DL17" s="357"/>
      <c r="DM17" s="358"/>
      <c r="DN17" s="357"/>
      <c r="DO17" s="359"/>
      <c r="DP17" s="360"/>
      <c r="DQ17" s="355"/>
      <c r="DR17" s="355"/>
      <c r="DS17" s="355"/>
      <c r="DT17" s="356"/>
      <c r="DU17" s="357"/>
      <c r="DV17" s="358"/>
      <c r="DW17" s="357"/>
      <c r="DX17" s="359"/>
      <c r="DY17" s="360"/>
      <c r="DZ17" s="355"/>
      <c r="EA17" s="355"/>
      <c r="EB17" s="355"/>
      <c r="EC17" s="356"/>
      <c r="ED17" s="357"/>
      <c r="EE17" s="358"/>
      <c r="EF17" s="357"/>
      <c r="EG17" s="359"/>
      <c r="EH17" s="360"/>
      <c r="EI17" s="355"/>
      <c r="EJ17" s="355"/>
      <c r="EK17" s="355"/>
      <c r="EL17" s="356"/>
      <c r="EM17" s="357"/>
      <c r="EN17" s="358"/>
      <c r="EO17" s="357"/>
      <c r="EP17" s="359"/>
      <c r="EQ17" s="360"/>
      <c r="ER17" s="355"/>
      <c r="ES17" s="355"/>
      <c r="ET17" s="355"/>
      <c r="EU17" s="356"/>
      <c r="EV17" s="357"/>
      <c r="EW17" s="358"/>
      <c r="EX17" s="357"/>
      <c r="EY17" s="359"/>
      <c r="EZ17" s="360"/>
      <c r="FA17" s="355"/>
      <c r="FB17" s="355"/>
      <c r="FC17" s="355"/>
      <c r="FD17" s="356"/>
      <c r="FE17" s="357"/>
      <c r="FF17" s="358"/>
      <c r="FG17" s="357"/>
      <c r="FH17" s="359"/>
      <c r="FI17" s="360"/>
      <c r="FJ17" s="355"/>
      <c r="FK17" s="355"/>
      <c r="FL17" s="355"/>
      <c r="FM17" s="356"/>
      <c r="FN17" s="357"/>
      <c r="FO17" s="358"/>
      <c r="FP17" s="357"/>
      <c r="FQ17" s="359"/>
      <c r="FR17" s="360"/>
      <c r="FS17" s="355"/>
      <c r="FT17" s="355"/>
      <c r="FU17" s="355"/>
      <c r="FV17" s="356"/>
      <c r="FW17" s="357"/>
      <c r="FX17" s="358"/>
      <c r="FY17" s="357"/>
      <c r="FZ17" s="359"/>
      <c r="GA17" s="360"/>
      <c r="GB17" s="355"/>
      <c r="GC17" s="355"/>
      <c r="GD17" s="355"/>
      <c r="GE17" s="356"/>
      <c r="GF17" s="357"/>
      <c r="GG17" s="358"/>
      <c r="GH17" s="357"/>
      <c r="GI17" s="359"/>
      <c r="GJ17" s="360"/>
      <c r="GK17" s="355"/>
      <c r="GL17" s="355"/>
      <c r="GM17" s="355"/>
      <c r="GN17" s="356"/>
      <c r="GO17" s="357"/>
      <c r="GP17" s="358"/>
      <c r="GQ17" s="357"/>
      <c r="GR17" s="359"/>
      <c r="GS17" s="360"/>
      <c r="GT17" s="362">
        <v>43014</v>
      </c>
      <c r="GU17" s="98">
        <v>22176</v>
      </c>
      <c r="GV17" s="65" t="s">
        <v>791</v>
      </c>
      <c r="GW17" s="74"/>
      <c r="GX17" s="74"/>
      <c r="GY17" s="167" t="s">
        <v>877</v>
      </c>
      <c r="GZ17" s="86">
        <v>3480</v>
      </c>
    </row>
    <row r="18" spans="1:208" x14ac:dyDescent="0.25">
      <c r="C18" s="87"/>
      <c r="D18" s="35"/>
      <c r="E18" s="36"/>
      <c r="F18" s="37"/>
      <c r="G18" s="38"/>
      <c r="H18" s="39"/>
      <c r="I18" s="40"/>
      <c r="J18" s="455" t="s">
        <v>42</v>
      </c>
      <c r="K18" s="407" t="s">
        <v>745</v>
      </c>
      <c r="L18" s="110">
        <v>23230</v>
      </c>
      <c r="M18" s="71">
        <v>42992</v>
      </c>
      <c r="N18" s="380" t="s">
        <v>844</v>
      </c>
      <c r="O18" s="72">
        <v>28820</v>
      </c>
      <c r="P18" s="113">
        <f t="shared" si="0"/>
        <v>5590</v>
      </c>
      <c r="Q18" s="64">
        <v>27.5</v>
      </c>
      <c r="R18" s="64"/>
      <c r="S18" s="64"/>
      <c r="T18" s="39">
        <f t="shared" si="1"/>
        <v>792550</v>
      </c>
      <c r="U18" s="352" t="s">
        <v>72</v>
      </c>
      <c r="V18" s="353">
        <v>43017</v>
      </c>
      <c r="W18" s="354">
        <v>18096</v>
      </c>
      <c r="X18" s="355"/>
      <c r="Y18" s="356"/>
      <c r="Z18" s="357"/>
      <c r="AA18" s="358"/>
      <c r="AB18" s="357"/>
      <c r="AC18" s="359"/>
      <c r="AD18" s="360"/>
      <c r="AE18" s="355"/>
      <c r="AF18" s="355"/>
      <c r="AG18" s="355"/>
      <c r="AH18" s="356"/>
      <c r="AI18" s="357"/>
      <c r="AJ18" s="358"/>
      <c r="AK18" s="357"/>
      <c r="AL18" s="359"/>
      <c r="AM18" s="360"/>
      <c r="AN18" s="355"/>
      <c r="AO18" s="355"/>
      <c r="AP18" s="355"/>
      <c r="AQ18" s="356"/>
      <c r="AR18" s="357"/>
      <c r="AS18" s="358"/>
      <c r="AT18" s="357"/>
      <c r="AU18" s="359"/>
      <c r="AV18" s="360"/>
      <c r="AW18" s="355"/>
      <c r="AX18" s="355"/>
      <c r="AY18" s="355"/>
      <c r="AZ18" s="356"/>
      <c r="BA18" s="357"/>
      <c r="BB18" s="358"/>
      <c r="BC18" s="357"/>
      <c r="BD18" s="359"/>
      <c r="BE18" s="360"/>
      <c r="BF18" s="355"/>
      <c r="BG18" s="355"/>
      <c r="BH18" s="355"/>
      <c r="BI18" s="356"/>
      <c r="BJ18" s="357"/>
      <c r="BK18" s="358"/>
      <c r="BL18" s="357"/>
      <c r="BM18" s="359"/>
      <c r="BN18" s="360"/>
      <c r="BO18" s="355"/>
      <c r="BP18" s="355"/>
      <c r="BQ18" s="355"/>
      <c r="BR18" s="356"/>
      <c r="BS18" s="357"/>
      <c r="BT18" s="358"/>
      <c r="BU18" s="357"/>
      <c r="BV18" s="359"/>
      <c r="BW18" s="360"/>
      <c r="BX18" s="355"/>
      <c r="BY18" s="355"/>
      <c r="BZ18" s="355"/>
      <c r="CA18" s="356"/>
      <c r="CB18" s="357"/>
      <c r="CC18" s="358"/>
      <c r="CD18" s="357"/>
      <c r="CE18" s="359"/>
      <c r="CF18" s="360"/>
      <c r="CG18" s="355"/>
      <c r="CH18" s="355"/>
      <c r="CI18" s="355"/>
      <c r="CJ18" s="356"/>
      <c r="CK18" s="357"/>
      <c r="CL18" s="358"/>
      <c r="CM18" s="357"/>
      <c r="CN18" s="359"/>
      <c r="CO18" s="360"/>
      <c r="CP18" s="355"/>
      <c r="CQ18" s="355"/>
      <c r="CR18" s="355"/>
      <c r="CS18" s="356"/>
      <c r="CT18" s="357"/>
      <c r="CU18" s="358"/>
      <c r="CV18" s="361"/>
      <c r="CW18" s="359"/>
      <c r="CX18" s="360"/>
      <c r="CY18" s="355"/>
      <c r="CZ18" s="355"/>
      <c r="DA18" s="355"/>
      <c r="DB18" s="356"/>
      <c r="DC18" s="357"/>
      <c r="DD18" s="358"/>
      <c r="DE18" s="357"/>
      <c r="DF18" s="359"/>
      <c r="DG18" s="360"/>
      <c r="DH18" s="355"/>
      <c r="DI18" s="355"/>
      <c r="DJ18" s="355"/>
      <c r="DK18" s="356"/>
      <c r="DL18" s="357"/>
      <c r="DM18" s="358"/>
      <c r="DN18" s="357"/>
      <c r="DO18" s="359"/>
      <c r="DP18" s="360"/>
      <c r="DQ18" s="355"/>
      <c r="DR18" s="355"/>
      <c r="DS18" s="355"/>
      <c r="DT18" s="356"/>
      <c r="DU18" s="357"/>
      <c r="DV18" s="358"/>
      <c r="DW18" s="357"/>
      <c r="DX18" s="359"/>
      <c r="DY18" s="360"/>
      <c r="DZ18" s="355"/>
      <c r="EA18" s="355"/>
      <c r="EB18" s="355"/>
      <c r="EC18" s="356"/>
      <c r="ED18" s="357"/>
      <c r="EE18" s="358"/>
      <c r="EF18" s="357"/>
      <c r="EG18" s="359"/>
      <c r="EH18" s="360"/>
      <c r="EI18" s="355"/>
      <c r="EJ18" s="355"/>
      <c r="EK18" s="355"/>
      <c r="EL18" s="356"/>
      <c r="EM18" s="357"/>
      <c r="EN18" s="358"/>
      <c r="EO18" s="357"/>
      <c r="EP18" s="359"/>
      <c r="EQ18" s="360"/>
      <c r="ER18" s="355"/>
      <c r="ES18" s="355"/>
      <c r="ET18" s="355"/>
      <c r="EU18" s="356"/>
      <c r="EV18" s="357"/>
      <c r="EW18" s="358"/>
      <c r="EX18" s="357"/>
      <c r="EY18" s="359"/>
      <c r="EZ18" s="360"/>
      <c r="FA18" s="355"/>
      <c r="FB18" s="355"/>
      <c r="FC18" s="355"/>
      <c r="FD18" s="356"/>
      <c r="FE18" s="357"/>
      <c r="FF18" s="358"/>
      <c r="FG18" s="357"/>
      <c r="FH18" s="359"/>
      <c r="FI18" s="360"/>
      <c r="FJ18" s="355"/>
      <c r="FK18" s="355"/>
      <c r="FL18" s="355"/>
      <c r="FM18" s="356"/>
      <c r="FN18" s="357"/>
      <c r="FO18" s="358"/>
      <c r="FP18" s="357"/>
      <c r="FQ18" s="359"/>
      <c r="FR18" s="360"/>
      <c r="FS18" s="355"/>
      <c r="FT18" s="355"/>
      <c r="FU18" s="355"/>
      <c r="FV18" s="356"/>
      <c r="FW18" s="357"/>
      <c r="FX18" s="358"/>
      <c r="FY18" s="357"/>
      <c r="FZ18" s="359"/>
      <c r="GA18" s="360"/>
      <c r="GB18" s="355"/>
      <c r="GC18" s="355"/>
      <c r="GD18" s="355"/>
      <c r="GE18" s="356"/>
      <c r="GF18" s="357"/>
      <c r="GG18" s="358"/>
      <c r="GH18" s="357"/>
      <c r="GI18" s="359"/>
      <c r="GJ18" s="360"/>
      <c r="GK18" s="355"/>
      <c r="GL18" s="355"/>
      <c r="GM18" s="355"/>
      <c r="GN18" s="356"/>
      <c r="GO18" s="357"/>
      <c r="GP18" s="358"/>
      <c r="GQ18" s="357"/>
      <c r="GR18" s="359"/>
      <c r="GS18" s="360"/>
      <c r="GT18" s="362">
        <v>43017</v>
      </c>
      <c r="GU18" s="98"/>
      <c r="GV18" s="65"/>
      <c r="GW18" s="74"/>
      <c r="GX18" s="74"/>
      <c r="GY18" s="167" t="s">
        <v>877</v>
      </c>
      <c r="GZ18" s="86">
        <v>4176</v>
      </c>
    </row>
    <row r="19" spans="1:208" x14ac:dyDescent="0.25">
      <c r="C19" s="87"/>
      <c r="D19" s="35"/>
      <c r="E19" s="36"/>
      <c r="F19" s="37"/>
      <c r="G19" s="38"/>
      <c r="H19" s="39"/>
      <c r="I19" s="40"/>
      <c r="J19" s="455" t="s">
        <v>153</v>
      </c>
      <c r="K19" s="407" t="s">
        <v>92</v>
      </c>
      <c r="L19" s="110">
        <v>12440</v>
      </c>
      <c r="M19" s="71">
        <v>42992</v>
      </c>
      <c r="N19" s="380" t="s">
        <v>845</v>
      </c>
      <c r="O19" s="72">
        <v>16295</v>
      </c>
      <c r="P19" s="113">
        <f t="shared" si="0"/>
        <v>3855</v>
      </c>
      <c r="Q19" s="64">
        <v>27.5</v>
      </c>
      <c r="R19" s="566"/>
      <c r="S19" s="79"/>
      <c r="T19" s="39">
        <f t="shared" si="1"/>
        <v>448112.5</v>
      </c>
      <c r="U19" s="352" t="s">
        <v>72</v>
      </c>
      <c r="V19" s="353">
        <v>43017</v>
      </c>
      <c r="W19" s="354">
        <v>9726.6</v>
      </c>
      <c r="X19" s="355"/>
      <c r="Y19" s="356"/>
      <c r="Z19" s="357"/>
      <c r="AA19" s="358"/>
      <c r="AB19" s="357"/>
      <c r="AC19" s="359"/>
      <c r="AD19" s="360"/>
      <c r="AE19" s="355"/>
      <c r="AF19" s="355"/>
      <c r="AG19" s="355"/>
      <c r="AH19" s="356"/>
      <c r="AI19" s="357"/>
      <c r="AJ19" s="358"/>
      <c r="AK19" s="357"/>
      <c r="AL19" s="359"/>
      <c r="AM19" s="360"/>
      <c r="AN19" s="355"/>
      <c r="AO19" s="355"/>
      <c r="AP19" s="355"/>
      <c r="AQ19" s="356"/>
      <c r="AR19" s="357"/>
      <c r="AS19" s="358"/>
      <c r="AT19" s="357"/>
      <c r="AU19" s="359"/>
      <c r="AV19" s="360"/>
      <c r="AW19" s="355"/>
      <c r="AX19" s="355"/>
      <c r="AY19" s="355"/>
      <c r="AZ19" s="356"/>
      <c r="BA19" s="357"/>
      <c r="BB19" s="358"/>
      <c r="BC19" s="357"/>
      <c r="BD19" s="359"/>
      <c r="BE19" s="360"/>
      <c r="BF19" s="355"/>
      <c r="BG19" s="355"/>
      <c r="BH19" s="355"/>
      <c r="BI19" s="356"/>
      <c r="BJ19" s="357"/>
      <c r="BK19" s="358"/>
      <c r="BL19" s="357"/>
      <c r="BM19" s="359"/>
      <c r="BN19" s="360"/>
      <c r="BO19" s="355"/>
      <c r="BP19" s="355"/>
      <c r="BQ19" s="355"/>
      <c r="BR19" s="356"/>
      <c r="BS19" s="357"/>
      <c r="BT19" s="358"/>
      <c r="BU19" s="357"/>
      <c r="BV19" s="359"/>
      <c r="BW19" s="360"/>
      <c r="BX19" s="355"/>
      <c r="BY19" s="355"/>
      <c r="BZ19" s="355"/>
      <c r="CA19" s="356"/>
      <c r="CB19" s="357"/>
      <c r="CC19" s="358"/>
      <c r="CD19" s="357"/>
      <c r="CE19" s="359"/>
      <c r="CF19" s="360"/>
      <c r="CG19" s="355"/>
      <c r="CH19" s="355"/>
      <c r="CI19" s="355"/>
      <c r="CJ19" s="356"/>
      <c r="CK19" s="357"/>
      <c r="CL19" s="358"/>
      <c r="CM19" s="357"/>
      <c r="CN19" s="359"/>
      <c r="CO19" s="360"/>
      <c r="CP19" s="355"/>
      <c r="CQ19" s="355"/>
      <c r="CR19" s="355"/>
      <c r="CS19" s="356"/>
      <c r="CT19" s="357"/>
      <c r="CU19" s="358"/>
      <c r="CV19" s="361"/>
      <c r="CW19" s="359"/>
      <c r="CX19" s="360"/>
      <c r="CY19" s="355"/>
      <c r="CZ19" s="355"/>
      <c r="DA19" s="355"/>
      <c r="DB19" s="356"/>
      <c r="DC19" s="357"/>
      <c r="DD19" s="358"/>
      <c r="DE19" s="357"/>
      <c r="DF19" s="359"/>
      <c r="DG19" s="360"/>
      <c r="DH19" s="355"/>
      <c r="DI19" s="355"/>
      <c r="DJ19" s="355"/>
      <c r="DK19" s="356"/>
      <c r="DL19" s="357"/>
      <c r="DM19" s="358"/>
      <c r="DN19" s="357"/>
      <c r="DO19" s="359"/>
      <c r="DP19" s="360"/>
      <c r="DQ19" s="355"/>
      <c r="DR19" s="355"/>
      <c r="DS19" s="355"/>
      <c r="DT19" s="356"/>
      <c r="DU19" s="357"/>
      <c r="DV19" s="358"/>
      <c r="DW19" s="357"/>
      <c r="DX19" s="359"/>
      <c r="DY19" s="360"/>
      <c r="DZ19" s="355"/>
      <c r="EA19" s="355"/>
      <c r="EB19" s="355"/>
      <c r="EC19" s="356"/>
      <c r="ED19" s="357"/>
      <c r="EE19" s="358"/>
      <c r="EF19" s="357"/>
      <c r="EG19" s="359"/>
      <c r="EH19" s="360"/>
      <c r="EI19" s="355"/>
      <c r="EJ19" s="355"/>
      <c r="EK19" s="355"/>
      <c r="EL19" s="356"/>
      <c r="EM19" s="357"/>
      <c r="EN19" s="358"/>
      <c r="EO19" s="357"/>
      <c r="EP19" s="359"/>
      <c r="EQ19" s="360"/>
      <c r="ER19" s="355"/>
      <c r="ES19" s="355"/>
      <c r="ET19" s="355"/>
      <c r="EU19" s="356"/>
      <c r="EV19" s="357"/>
      <c r="EW19" s="358"/>
      <c r="EX19" s="357"/>
      <c r="EY19" s="359"/>
      <c r="EZ19" s="360"/>
      <c r="FA19" s="355"/>
      <c r="FB19" s="355"/>
      <c r="FC19" s="355"/>
      <c r="FD19" s="356"/>
      <c r="FE19" s="357"/>
      <c r="FF19" s="358"/>
      <c r="FG19" s="357"/>
      <c r="FH19" s="359"/>
      <c r="FI19" s="360"/>
      <c r="FJ19" s="355"/>
      <c r="FK19" s="355"/>
      <c r="FL19" s="355"/>
      <c r="FM19" s="356"/>
      <c r="FN19" s="357"/>
      <c r="FO19" s="358"/>
      <c r="FP19" s="357"/>
      <c r="FQ19" s="359"/>
      <c r="FR19" s="360"/>
      <c r="FS19" s="355"/>
      <c r="FT19" s="355"/>
      <c r="FU19" s="355"/>
      <c r="FV19" s="356"/>
      <c r="FW19" s="357"/>
      <c r="FX19" s="358"/>
      <c r="FY19" s="357"/>
      <c r="FZ19" s="359"/>
      <c r="GA19" s="360"/>
      <c r="GB19" s="355"/>
      <c r="GC19" s="355"/>
      <c r="GD19" s="355"/>
      <c r="GE19" s="356"/>
      <c r="GF19" s="357"/>
      <c r="GG19" s="358"/>
      <c r="GH19" s="357"/>
      <c r="GI19" s="359"/>
      <c r="GJ19" s="360"/>
      <c r="GK19" s="355"/>
      <c r="GL19" s="355"/>
      <c r="GM19" s="355"/>
      <c r="GN19" s="356"/>
      <c r="GO19" s="357"/>
      <c r="GP19" s="358"/>
      <c r="GQ19" s="357"/>
      <c r="GR19" s="359"/>
      <c r="GS19" s="360"/>
      <c r="GT19" s="362">
        <v>43017</v>
      </c>
      <c r="GU19" s="98">
        <v>17584</v>
      </c>
      <c r="GV19" s="65" t="s">
        <v>792</v>
      </c>
      <c r="GW19" s="74"/>
      <c r="GX19" s="74"/>
      <c r="GY19" s="167" t="s">
        <v>877</v>
      </c>
      <c r="GZ19" s="86">
        <v>2088</v>
      </c>
    </row>
    <row r="20" spans="1:208" x14ac:dyDescent="0.25">
      <c r="C20" s="87"/>
      <c r="D20" s="35"/>
      <c r="E20" s="36"/>
      <c r="F20" s="37"/>
      <c r="G20" s="38"/>
      <c r="H20" s="39"/>
      <c r="I20" s="40"/>
      <c r="J20" s="455" t="s">
        <v>746</v>
      </c>
      <c r="K20" s="407" t="s">
        <v>124</v>
      </c>
      <c r="L20" s="110">
        <v>16470</v>
      </c>
      <c r="M20" s="71">
        <v>42993</v>
      </c>
      <c r="N20" s="380" t="s">
        <v>846</v>
      </c>
      <c r="O20" s="72">
        <v>24320</v>
      </c>
      <c r="P20" s="456">
        <v>0</v>
      </c>
      <c r="Q20" s="64">
        <v>27.5</v>
      </c>
      <c r="R20" s="905"/>
      <c r="S20" s="906"/>
      <c r="T20" s="39">
        <f t="shared" si="1"/>
        <v>668800</v>
      </c>
      <c r="U20" s="352" t="s">
        <v>72</v>
      </c>
      <c r="V20" s="353">
        <v>43017</v>
      </c>
      <c r="W20" s="354">
        <v>17191.2</v>
      </c>
      <c r="X20" s="355"/>
      <c r="Y20" s="356"/>
      <c r="Z20" s="357"/>
      <c r="AA20" s="358"/>
      <c r="AB20" s="357"/>
      <c r="AC20" s="359"/>
      <c r="AD20" s="360"/>
      <c r="AE20" s="355"/>
      <c r="AF20" s="355"/>
      <c r="AG20" s="355"/>
      <c r="AH20" s="356"/>
      <c r="AI20" s="357"/>
      <c r="AJ20" s="358"/>
      <c r="AK20" s="357"/>
      <c r="AL20" s="359"/>
      <c r="AM20" s="360"/>
      <c r="AN20" s="355"/>
      <c r="AO20" s="355"/>
      <c r="AP20" s="355"/>
      <c r="AQ20" s="356"/>
      <c r="AR20" s="357"/>
      <c r="AS20" s="358"/>
      <c r="AT20" s="357"/>
      <c r="AU20" s="359"/>
      <c r="AV20" s="360"/>
      <c r="AW20" s="355"/>
      <c r="AX20" s="355"/>
      <c r="AY20" s="355"/>
      <c r="AZ20" s="356"/>
      <c r="BA20" s="357"/>
      <c r="BB20" s="358"/>
      <c r="BC20" s="357"/>
      <c r="BD20" s="359"/>
      <c r="BE20" s="360"/>
      <c r="BF20" s="355"/>
      <c r="BG20" s="355"/>
      <c r="BH20" s="355"/>
      <c r="BI20" s="356"/>
      <c r="BJ20" s="357"/>
      <c r="BK20" s="358"/>
      <c r="BL20" s="357"/>
      <c r="BM20" s="359"/>
      <c r="BN20" s="360"/>
      <c r="BO20" s="355"/>
      <c r="BP20" s="355"/>
      <c r="BQ20" s="355"/>
      <c r="BR20" s="356"/>
      <c r="BS20" s="357"/>
      <c r="BT20" s="358"/>
      <c r="BU20" s="357"/>
      <c r="BV20" s="359"/>
      <c r="BW20" s="360"/>
      <c r="BX20" s="355"/>
      <c r="BY20" s="355"/>
      <c r="BZ20" s="355"/>
      <c r="CA20" s="356"/>
      <c r="CB20" s="357"/>
      <c r="CC20" s="358"/>
      <c r="CD20" s="357"/>
      <c r="CE20" s="359"/>
      <c r="CF20" s="360"/>
      <c r="CG20" s="355"/>
      <c r="CH20" s="355"/>
      <c r="CI20" s="355"/>
      <c r="CJ20" s="356"/>
      <c r="CK20" s="357"/>
      <c r="CL20" s="358"/>
      <c r="CM20" s="357"/>
      <c r="CN20" s="359"/>
      <c r="CO20" s="360"/>
      <c r="CP20" s="355"/>
      <c r="CQ20" s="355"/>
      <c r="CR20" s="355"/>
      <c r="CS20" s="356"/>
      <c r="CT20" s="357"/>
      <c r="CU20" s="358"/>
      <c r="CV20" s="361"/>
      <c r="CW20" s="359"/>
      <c r="CX20" s="360"/>
      <c r="CY20" s="355"/>
      <c r="CZ20" s="355"/>
      <c r="DA20" s="355"/>
      <c r="DB20" s="356"/>
      <c r="DC20" s="357"/>
      <c r="DD20" s="358"/>
      <c r="DE20" s="357"/>
      <c r="DF20" s="359"/>
      <c r="DG20" s="360"/>
      <c r="DH20" s="355"/>
      <c r="DI20" s="355"/>
      <c r="DJ20" s="355"/>
      <c r="DK20" s="356"/>
      <c r="DL20" s="357"/>
      <c r="DM20" s="358"/>
      <c r="DN20" s="357"/>
      <c r="DO20" s="359"/>
      <c r="DP20" s="360"/>
      <c r="DQ20" s="355"/>
      <c r="DR20" s="355"/>
      <c r="DS20" s="355"/>
      <c r="DT20" s="356"/>
      <c r="DU20" s="357"/>
      <c r="DV20" s="358"/>
      <c r="DW20" s="357"/>
      <c r="DX20" s="359"/>
      <c r="DY20" s="360"/>
      <c r="DZ20" s="355"/>
      <c r="EA20" s="355"/>
      <c r="EB20" s="355"/>
      <c r="EC20" s="356"/>
      <c r="ED20" s="357"/>
      <c r="EE20" s="358"/>
      <c r="EF20" s="357"/>
      <c r="EG20" s="359"/>
      <c r="EH20" s="360"/>
      <c r="EI20" s="355"/>
      <c r="EJ20" s="355"/>
      <c r="EK20" s="355"/>
      <c r="EL20" s="356"/>
      <c r="EM20" s="357"/>
      <c r="EN20" s="358"/>
      <c r="EO20" s="357"/>
      <c r="EP20" s="359"/>
      <c r="EQ20" s="360"/>
      <c r="ER20" s="355"/>
      <c r="ES20" s="355"/>
      <c r="ET20" s="355"/>
      <c r="EU20" s="356"/>
      <c r="EV20" s="357"/>
      <c r="EW20" s="358"/>
      <c r="EX20" s="357"/>
      <c r="EY20" s="359"/>
      <c r="EZ20" s="360"/>
      <c r="FA20" s="355"/>
      <c r="FB20" s="355"/>
      <c r="FC20" s="355"/>
      <c r="FD20" s="356"/>
      <c r="FE20" s="357"/>
      <c r="FF20" s="358"/>
      <c r="FG20" s="357"/>
      <c r="FH20" s="359"/>
      <c r="FI20" s="360"/>
      <c r="FJ20" s="355"/>
      <c r="FK20" s="355"/>
      <c r="FL20" s="355"/>
      <c r="FM20" s="356"/>
      <c r="FN20" s="357"/>
      <c r="FO20" s="358"/>
      <c r="FP20" s="357"/>
      <c r="FQ20" s="359"/>
      <c r="FR20" s="360"/>
      <c r="FS20" s="355"/>
      <c r="FT20" s="355"/>
      <c r="FU20" s="355"/>
      <c r="FV20" s="356"/>
      <c r="FW20" s="357"/>
      <c r="FX20" s="358"/>
      <c r="FY20" s="357"/>
      <c r="FZ20" s="359"/>
      <c r="GA20" s="360"/>
      <c r="GB20" s="355"/>
      <c r="GC20" s="355"/>
      <c r="GD20" s="355"/>
      <c r="GE20" s="356"/>
      <c r="GF20" s="357"/>
      <c r="GG20" s="358"/>
      <c r="GH20" s="357"/>
      <c r="GI20" s="359"/>
      <c r="GJ20" s="360"/>
      <c r="GK20" s="355"/>
      <c r="GL20" s="355"/>
      <c r="GM20" s="355"/>
      <c r="GN20" s="356"/>
      <c r="GO20" s="357"/>
      <c r="GP20" s="358"/>
      <c r="GQ20" s="357"/>
      <c r="GR20" s="359"/>
      <c r="GS20" s="360"/>
      <c r="GT20" s="362">
        <v>43017</v>
      </c>
      <c r="GU20" s="98">
        <v>22176</v>
      </c>
      <c r="GV20" s="65" t="s">
        <v>794</v>
      </c>
      <c r="GW20" s="74"/>
      <c r="GX20" s="74"/>
      <c r="GY20" s="167" t="s">
        <v>877</v>
      </c>
      <c r="GZ20" s="86">
        <v>3480</v>
      </c>
    </row>
    <row r="21" spans="1:208" x14ac:dyDescent="0.25">
      <c r="C21" s="87"/>
      <c r="D21" s="35"/>
      <c r="E21" s="36"/>
      <c r="F21" s="37"/>
      <c r="G21" s="38"/>
      <c r="H21" s="39"/>
      <c r="I21" s="40"/>
      <c r="J21" s="68" t="s">
        <v>747</v>
      </c>
      <c r="K21" s="407" t="s">
        <v>46</v>
      </c>
      <c r="L21" s="70">
        <v>10600</v>
      </c>
      <c r="M21" s="71">
        <v>42993</v>
      </c>
      <c r="N21" s="380" t="s">
        <v>847</v>
      </c>
      <c r="O21" s="72">
        <v>10380</v>
      </c>
      <c r="P21" s="113">
        <f t="shared" si="0"/>
        <v>-220</v>
      </c>
      <c r="Q21" s="64">
        <v>27.5</v>
      </c>
      <c r="R21" s="64"/>
      <c r="S21" s="64"/>
      <c r="T21" s="39">
        <f t="shared" si="1"/>
        <v>285450</v>
      </c>
      <c r="U21" s="363" t="s">
        <v>72</v>
      </c>
      <c r="V21" s="353">
        <v>43017</v>
      </c>
      <c r="W21" s="364">
        <v>7540</v>
      </c>
      <c r="X21" s="355"/>
      <c r="Y21" s="356"/>
      <c r="Z21" s="357"/>
      <c r="AA21" s="358"/>
      <c r="AB21" s="357"/>
      <c r="AC21" s="359"/>
      <c r="AD21" s="360"/>
      <c r="AE21" s="355"/>
      <c r="AF21" s="355"/>
      <c r="AG21" s="355"/>
      <c r="AH21" s="356"/>
      <c r="AI21" s="357"/>
      <c r="AJ21" s="358"/>
      <c r="AK21" s="357"/>
      <c r="AL21" s="359"/>
      <c r="AM21" s="360"/>
      <c r="AN21" s="355"/>
      <c r="AO21" s="355"/>
      <c r="AP21" s="355"/>
      <c r="AQ21" s="356"/>
      <c r="AR21" s="357"/>
      <c r="AS21" s="358"/>
      <c r="AT21" s="357"/>
      <c r="AU21" s="359"/>
      <c r="AV21" s="360"/>
      <c r="AW21" s="355"/>
      <c r="AX21" s="355"/>
      <c r="AY21" s="355"/>
      <c r="AZ21" s="356"/>
      <c r="BA21" s="357"/>
      <c r="BB21" s="358"/>
      <c r="BC21" s="357"/>
      <c r="BD21" s="359"/>
      <c r="BE21" s="360"/>
      <c r="BF21" s="355"/>
      <c r="BG21" s="355"/>
      <c r="BH21" s="355"/>
      <c r="BI21" s="356"/>
      <c r="BJ21" s="357"/>
      <c r="BK21" s="358"/>
      <c r="BL21" s="357"/>
      <c r="BM21" s="359"/>
      <c r="BN21" s="360"/>
      <c r="BO21" s="355"/>
      <c r="BP21" s="355"/>
      <c r="BQ21" s="355"/>
      <c r="BR21" s="356"/>
      <c r="BS21" s="357"/>
      <c r="BT21" s="358"/>
      <c r="BU21" s="357"/>
      <c r="BV21" s="359"/>
      <c r="BW21" s="360"/>
      <c r="BX21" s="355"/>
      <c r="BY21" s="355"/>
      <c r="BZ21" s="355"/>
      <c r="CA21" s="356"/>
      <c r="CB21" s="357"/>
      <c r="CC21" s="358"/>
      <c r="CD21" s="357"/>
      <c r="CE21" s="359"/>
      <c r="CF21" s="360"/>
      <c r="CG21" s="355"/>
      <c r="CH21" s="355"/>
      <c r="CI21" s="355"/>
      <c r="CJ21" s="356"/>
      <c r="CK21" s="357"/>
      <c r="CL21" s="358"/>
      <c r="CM21" s="357"/>
      <c r="CN21" s="359"/>
      <c r="CO21" s="360"/>
      <c r="CP21" s="355"/>
      <c r="CQ21" s="355"/>
      <c r="CR21" s="355"/>
      <c r="CS21" s="356"/>
      <c r="CT21" s="357"/>
      <c r="CU21" s="358"/>
      <c r="CV21" s="361"/>
      <c r="CW21" s="359"/>
      <c r="CX21" s="360"/>
      <c r="CY21" s="355"/>
      <c r="CZ21" s="355"/>
      <c r="DA21" s="355"/>
      <c r="DB21" s="356"/>
      <c r="DC21" s="357"/>
      <c r="DD21" s="358"/>
      <c r="DE21" s="357"/>
      <c r="DF21" s="359"/>
      <c r="DG21" s="360"/>
      <c r="DH21" s="355"/>
      <c r="DI21" s="355"/>
      <c r="DJ21" s="355"/>
      <c r="DK21" s="356"/>
      <c r="DL21" s="357"/>
      <c r="DM21" s="358"/>
      <c r="DN21" s="357"/>
      <c r="DO21" s="359"/>
      <c r="DP21" s="360"/>
      <c r="DQ21" s="355"/>
      <c r="DR21" s="355"/>
      <c r="DS21" s="355"/>
      <c r="DT21" s="356"/>
      <c r="DU21" s="357"/>
      <c r="DV21" s="358"/>
      <c r="DW21" s="357"/>
      <c r="DX21" s="359"/>
      <c r="DY21" s="360"/>
      <c r="DZ21" s="355"/>
      <c r="EA21" s="355"/>
      <c r="EB21" s="355"/>
      <c r="EC21" s="356"/>
      <c r="ED21" s="357"/>
      <c r="EE21" s="358"/>
      <c r="EF21" s="357"/>
      <c r="EG21" s="359"/>
      <c r="EH21" s="360"/>
      <c r="EI21" s="355"/>
      <c r="EJ21" s="355"/>
      <c r="EK21" s="355"/>
      <c r="EL21" s="356"/>
      <c r="EM21" s="357"/>
      <c r="EN21" s="358"/>
      <c r="EO21" s="357"/>
      <c r="EP21" s="359"/>
      <c r="EQ21" s="360"/>
      <c r="ER21" s="355"/>
      <c r="ES21" s="355"/>
      <c r="ET21" s="355"/>
      <c r="EU21" s="356"/>
      <c r="EV21" s="357"/>
      <c r="EW21" s="358"/>
      <c r="EX21" s="357"/>
      <c r="EY21" s="359"/>
      <c r="EZ21" s="360"/>
      <c r="FA21" s="355"/>
      <c r="FB21" s="355"/>
      <c r="FC21" s="355"/>
      <c r="FD21" s="356"/>
      <c r="FE21" s="357"/>
      <c r="FF21" s="358"/>
      <c r="FG21" s="357"/>
      <c r="FH21" s="359"/>
      <c r="FI21" s="360"/>
      <c r="FJ21" s="355"/>
      <c r="FK21" s="355"/>
      <c r="FL21" s="355"/>
      <c r="FM21" s="356"/>
      <c r="FN21" s="357"/>
      <c r="FO21" s="358"/>
      <c r="FP21" s="357"/>
      <c r="FQ21" s="359"/>
      <c r="FR21" s="360"/>
      <c r="FS21" s="355"/>
      <c r="FT21" s="355"/>
      <c r="FU21" s="355"/>
      <c r="FV21" s="356"/>
      <c r="FW21" s="357"/>
      <c r="FX21" s="358"/>
      <c r="FY21" s="357"/>
      <c r="FZ21" s="359"/>
      <c r="GA21" s="360"/>
      <c r="GB21" s="355"/>
      <c r="GC21" s="355"/>
      <c r="GD21" s="355"/>
      <c r="GE21" s="356"/>
      <c r="GF21" s="357"/>
      <c r="GG21" s="358"/>
      <c r="GH21" s="357"/>
      <c r="GI21" s="359"/>
      <c r="GJ21" s="360"/>
      <c r="GK21" s="355"/>
      <c r="GL21" s="355"/>
      <c r="GM21" s="355"/>
      <c r="GN21" s="356"/>
      <c r="GO21" s="357"/>
      <c r="GP21" s="358"/>
      <c r="GQ21" s="357"/>
      <c r="GR21" s="359"/>
      <c r="GS21" s="360"/>
      <c r="GT21" s="362">
        <v>43017</v>
      </c>
      <c r="GU21" s="98">
        <v>17584</v>
      </c>
      <c r="GV21" s="65" t="s">
        <v>793</v>
      </c>
      <c r="GW21" s="74"/>
      <c r="GX21" s="74"/>
      <c r="GY21" s="167" t="s">
        <v>877</v>
      </c>
      <c r="GZ21" s="86">
        <v>2088</v>
      </c>
    </row>
    <row r="22" spans="1:208" x14ac:dyDescent="0.25">
      <c r="C22" s="87"/>
      <c r="D22" s="35"/>
      <c r="E22" s="36"/>
      <c r="F22" s="37"/>
      <c r="G22" s="38"/>
      <c r="H22" s="39"/>
      <c r="I22" s="40"/>
      <c r="J22" s="68" t="s">
        <v>42</v>
      </c>
      <c r="K22" s="407" t="s">
        <v>485</v>
      </c>
      <c r="L22" s="70">
        <v>22490</v>
      </c>
      <c r="M22" s="71">
        <v>42996</v>
      </c>
      <c r="N22" s="380" t="s">
        <v>848</v>
      </c>
      <c r="O22" s="72">
        <v>28580</v>
      </c>
      <c r="P22" s="462">
        <f t="shared" si="0"/>
        <v>6090</v>
      </c>
      <c r="Q22" s="64">
        <v>27</v>
      </c>
      <c r="R22" s="64"/>
      <c r="S22" s="64"/>
      <c r="T22" s="39">
        <f t="shared" si="1"/>
        <v>771660</v>
      </c>
      <c r="U22" s="363" t="s">
        <v>72</v>
      </c>
      <c r="V22" s="353">
        <v>43018</v>
      </c>
      <c r="W22" s="364">
        <v>19453.2</v>
      </c>
      <c r="X22" s="355"/>
      <c r="Y22" s="356"/>
      <c r="Z22" s="357"/>
      <c r="AA22" s="358"/>
      <c r="AB22" s="357"/>
      <c r="AC22" s="359"/>
      <c r="AD22" s="360"/>
      <c r="AE22" s="355"/>
      <c r="AF22" s="355"/>
      <c r="AG22" s="355"/>
      <c r="AH22" s="356"/>
      <c r="AI22" s="357"/>
      <c r="AJ22" s="358"/>
      <c r="AK22" s="357"/>
      <c r="AL22" s="359"/>
      <c r="AM22" s="360"/>
      <c r="AN22" s="355"/>
      <c r="AO22" s="355"/>
      <c r="AP22" s="355"/>
      <c r="AQ22" s="356"/>
      <c r="AR22" s="357"/>
      <c r="AS22" s="358"/>
      <c r="AT22" s="357"/>
      <c r="AU22" s="359"/>
      <c r="AV22" s="360"/>
      <c r="AW22" s="355"/>
      <c r="AX22" s="355"/>
      <c r="AY22" s="355"/>
      <c r="AZ22" s="356"/>
      <c r="BA22" s="357"/>
      <c r="BB22" s="358"/>
      <c r="BC22" s="357"/>
      <c r="BD22" s="359"/>
      <c r="BE22" s="360"/>
      <c r="BF22" s="355"/>
      <c r="BG22" s="355"/>
      <c r="BH22" s="355"/>
      <c r="BI22" s="356"/>
      <c r="BJ22" s="357"/>
      <c r="BK22" s="358"/>
      <c r="BL22" s="357"/>
      <c r="BM22" s="359"/>
      <c r="BN22" s="360"/>
      <c r="BO22" s="355"/>
      <c r="BP22" s="355"/>
      <c r="BQ22" s="355"/>
      <c r="BR22" s="356"/>
      <c r="BS22" s="357"/>
      <c r="BT22" s="358"/>
      <c r="BU22" s="357"/>
      <c r="BV22" s="359"/>
      <c r="BW22" s="360"/>
      <c r="BX22" s="355"/>
      <c r="BY22" s="355"/>
      <c r="BZ22" s="355"/>
      <c r="CA22" s="356"/>
      <c r="CB22" s="357"/>
      <c r="CC22" s="358"/>
      <c r="CD22" s="357"/>
      <c r="CE22" s="359"/>
      <c r="CF22" s="360"/>
      <c r="CG22" s="355"/>
      <c r="CH22" s="355"/>
      <c r="CI22" s="355"/>
      <c r="CJ22" s="356"/>
      <c r="CK22" s="357"/>
      <c r="CL22" s="358"/>
      <c r="CM22" s="357"/>
      <c r="CN22" s="359"/>
      <c r="CO22" s="360"/>
      <c r="CP22" s="355"/>
      <c r="CQ22" s="355"/>
      <c r="CR22" s="355"/>
      <c r="CS22" s="356"/>
      <c r="CT22" s="357"/>
      <c r="CU22" s="358"/>
      <c r="CV22" s="361"/>
      <c r="CW22" s="359"/>
      <c r="CX22" s="360"/>
      <c r="CY22" s="355"/>
      <c r="CZ22" s="355"/>
      <c r="DA22" s="355"/>
      <c r="DB22" s="356"/>
      <c r="DC22" s="357"/>
      <c r="DD22" s="358"/>
      <c r="DE22" s="357"/>
      <c r="DF22" s="359"/>
      <c r="DG22" s="360"/>
      <c r="DH22" s="355"/>
      <c r="DI22" s="355"/>
      <c r="DJ22" s="355"/>
      <c r="DK22" s="356"/>
      <c r="DL22" s="357"/>
      <c r="DM22" s="358"/>
      <c r="DN22" s="357"/>
      <c r="DO22" s="359"/>
      <c r="DP22" s="360"/>
      <c r="DQ22" s="355"/>
      <c r="DR22" s="355"/>
      <c r="DS22" s="355"/>
      <c r="DT22" s="356"/>
      <c r="DU22" s="357"/>
      <c r="DV22" s="358"/>
      <c r="DW22" s="357"/>
      <c r="DX22" s="359"/>
      <c r="DY22" s="360"/>
      <c r="DZ22" s="355"/>
      <c r="EA22" s="355"/>
      <c r="EB22" s="355"/>
      <c r="EC22" s="356"/>
      <c r="ED22" s="357"/>
      <c r="EE22" s="358"/>
      <c r="EF22" s="357"/>
      <c r="EG22" s="359"/>
      <c r="EH22" s="360"/>
      <c r="EI22" s="355"/>
      <c r="EJ22" s="355"/>
      <c r="EK22" s="355"/>
      <c r="EL22" s="356"/>
      <c r="EM22" s="357"/>
      <c r="EN22" s="358"/>
      <c r="EO22" s="357"/>
      <c r="EP22" s="359"/>
      <c r="EQ22" s="360"/>
      <c r="ER22" s="355"/>
      <c r="ES22" s="355"/>
      <c r="ET22" s="355"/>
      <c r="EU22" s="356"/>
      <c r="EV22" s="357"/>
      <c r="EW22" s="358"/>
      <c r="EX22" s="357"/>
      <c r="EY22" s="359"/>
      <c r="EZ22" s="360"/>
      <c r="FA22" s="355"/>
      <c r="FB22" s="355"/>
      <c r="FC22" s="355"/>
      <c r="FD22" s="356"/>
      <c r="FE22" s="357"/>
      <c r="FF22" s="358"/>
      <c r="FG22" s="357"/>
      <c r="FH22" s="359"/>
      <c r="FI22" s="360"/>
      <c r="FJ22" s="355"/>
      <c r="FK22" s="355"/>
      <c r="FL22" s="355"/>
      <c r="FM22" s="356"/>
      <c r="FN22" s="357"/>
      <c r="FO22" s="358"/>
      <c r="FP22" s="357"/>
      <c r="FQ22" s="359"/>
      <c r="FR22" s="360"/>
      <c r="FS22" s="355"/>
      <c r="FT22" s="355"/>
      <c r="FU22" s="355"/>
      <c r="FV22" s="356"/>
      <c r="FW22" s="357"/>
      <c r="FX22" s="358"/>
      <c r="FY22" s="357"/>
      <c r="FZ22" s="359"/>
      <c r="GA22" s="360"/>
      <c r="GB22" s="355"/>
      <c r="GC22" s="355"/>
      <c r="GD22" s="355"/>
      <c r="GE22" s="356"/>
      <c r="GF22" s="357"/>
      <c r="GG22" s="358"/>
      <c r="GH22" s="357"/>
      <c r="GI22" s="359"/>
      <c r="GJ22" s="360"/>
      <c r="GK22" s="355"/>
      <c r="GL22" s="355"/>
      <c r="GM22" s="355"/>
      <c r="GN22" s="356"/>
      <c r="GO22" s="357"/>
      <c r="GP22" s="358"/>
      <c r="GQ22" s="357"/>
      <c r="GR22" s="359"/>
      <c r="GS22" s="360"/>
      <c r="GT22" s="362">
        <v>43018</v>
      </c>
      <c r="GU22" s="98">
        <v>22176</v>
      </c>
      <c r="GV22" s="84" t="s">
        <v>799</v>
      </c>
      <c r="GW22" s="74"/>
      <c r="GX22" s="74"/>
      <c r="GY22" s="389" t="s">
        <v>922</v>
      </c>
      <c r="GZ22" s="483">
        <v>4176</v>
      </c>
    </row>
    <row r="23" spans="1:208" x14ac:dyDescent="0.25">
      <c r="C23" s="87"/>
      <c r="D23" s="35"/>
      <c r="E23" s="36"/>
      <c r="F23" s="37"/>
      <c r="G23" s="38"/>
      <c r="H23" s="39"/>
      <c r="I23" s="40"/>
      <c r="J23" s="76" t="s">
        <v>104</v>
      </c>
      <c r="K23" s="407" t="s">
        <v>37</v>
      </c>
      <c r="L23" s="70">
        <v>18140</v>
      </c>
      <c r="M23" s="71">
        <v>42996</v>
      </c>
      <c r="N23" s="380" t="s">
        <v>852</v>
      </c>
      <c r="O23" s="72">
        <v>23140</v>
      </c>
      <c r="P23" s="113">
        <f t="shared" si="0"/>
        <v>5000</v>
      </c>
      <c r="Q23" s="64">
        <v>27</v>
      </c>
      <c r="R23" s="64"/>
      <c r="S23" s="64"/>
      <c r="T23" s="39">
        <f t="shared" si="1"/>
        <v>624780</v>
      </c>
      <c r="U23" s="363" t="s">
        <v>72</v>
      </c>
      <c r="V23" s="353">
        <v>43019</v>
      </c>
      <c r="W23" s="364">
        <v>15080</v>
      </c>
      <c r="X23" s="355"/>
      <c r="Y23" s="356"/>
      <c r="Z23" s="357"/>
      <c r="AA23" s="358"/>
      <c r="AB23" s="357"/>
      <c r="AC23" s="359"/>
      <c r="AD23" s="360"/>
      <c r="AE23" s="355"/>
      <c r="AF23" s="355"/>
      <c r="AG23" s="355"/>
      <c r="AH23" s="356"/>
      <c r="AI23" s="357"/>
      <c r="AJ23" s="358"/>
      <c r="AK23" s="357"/>
      <c r="AL23" s="359"/>
      <c r="AM23" s="360"/>
      <c r="AN23" s="355"/>
      <c r="AO23" s="355"/>
      <c r="AP23" s="355"/>
      <c r="AQ23" s="356"/>
      <c r="AR23" s="357"/>
      <c r="AS23" s="358"/>
      <c r="AT23" s="357"/>
      <c r="AU23" s="359"/>
      <c r="AV23" s="360"/>
      <c r="AW23" s="355"/>
      <c r="AX23" s="355"/>
      <c r="AY23" s="355"/>
      <c r="AZ23" s="356"/>
      <c r="BA23" s="357"/>
      <c r="BB23" s="358"/>
      <c r="BC23" s="357"/>
      <c r="BD23" s="359"/>
      <c r="BE23" s="360"/>
      <c r="BF23" s="355"/>
      <c r="BG23" s="355"/>
      <c r="BH23" s="355"/>
      <c r="BI23" s="356"/>
      <c r="BJ23" s="357"/>
      <c r="BK23" s="358"/>
      <c r="BL23" s="357"/>
      <c r="BM23" s="359"/>
      <c r="BN23" s="360"/>
      <c r="BO23" s="355"/>
      <c r="BP23" s="355"/>
      <c r="BQ23" s="355"/>
      <c r="BR23" s="356"/>
      <c r="BS23" s="357"/>
      <c r="BT23" s="358"/>
      <c r="BU23" s="357"/>
      <c r="BV23" s="359"/>
      <c r="BW23" s="360"/>
      <c r="BX23" s="355"/>
      <c r="BY23" s="355"/>
      <c r="BZ23" s="355"/>
      <c r="CA23" s="356"/>
      <c r="CB23" s="357"/>
      <c r="CC23" s="358"/>
      <c r="CD23" s="357"/>
      <c r="CE23" s="359"/>
      <c r="CF23" s="360"/>
      <c r="CG23" s="355"/>
      <c r="CH23" s="355"/>
      <c r="CI23" s="355"/>
      <c r="CJ23" s="356"/>
      <c r="CK23" s="357"/>
      <c r="CL23" s="358"/>
      <c r="CM23" s="357"/>
      <c r="CN23" s="359"/>
      <c r="CO23" s="360"/>
      <c r="CP23" s="355"/>
      <c r="CQ23" s="355"/>
      <c r="CR23" s="355"/>
      <c r="CS23" s="356"/>
      <c r="CT23" s="357"/>
      <c r="CU23" s="358"/>
      <c r="CV23" s="361"/>
      <c r="CW23" s="359"/>
      <c r="CX23" s="360"/>
      <c r="CY23" s="355"/>
      <c r="CZ23" s="355"/>
      <c r="DA23" s="355"/>
      <c r="DB23" s="356"/>
      <c r="DC23" s="357"/>
      <c r="DD23" s="358"/>
      <c r="DE23" s="357"/>
      <c r="DF23" s="359"/>
      <c r="DG23" s="360"/>
      <c r="DH23" s="355"/>
      <c r="DI23" s="355"/>
      <c r="DJ23" s="355"/>
      <c r="DK23" s="356"/>
      <c r="DL23" s="357"/>
      <c r="DM23" s="358"/>
      <c r="DN23" s="357"/>
      <c r="DO23" s="359"/>
      <c r="DP23" s="360"/>
      <c r="DQ23" s="355"/>
      <c r="DR23" s="355"/>
      <c r="DS23" s="355"/>
      <c r="DT23" s="356"/>
      <c r="DU23" s="357"/>
      <c r="DV23" s="358"/>
      <c r="DW23" s="357"/>
      <c r="DX23" s="359"/>
      <c r="DY23" s="360"/>
      <c r="DZ23" s="355"/>
      <c r="EA23" s="355"/>
      <c r="EB23" s="355"/>
      <c r="EC23" s="356"/>
      <c r="ED23" s="357"/>
      <c r="EE23" s="358"/>
      <c r="EF23" s="357"/>
      <c r="EG23" s="359"/>
      <c r="EH23" s="360"/>
      <c r="EI23" s="355"/>
      <c r="EJ23" s="355"/>
      <c r="EK23" s="355"/>
      <c r="EL23" s="356"/>
      <c r="EM23" s="357"/>
      <c r="EN23" s="358"/>
      <c r="EO23" s="357"/>
      <c r="EP23" s="359"/>
      <c r="EQ23" s="360"/>
      <c r="ER23" s="355"/>
      <c r="ES23" s="355"/>
      <c r="ET23" s="355"/>
      <c r="EU23" s="356"/>
      <c r="EV23" s="357"/>
      <c r="EW23" s="358"/>
      <c r="EX23" s="357"/>
      <c r="EY23" s="359"/>
      <c r="EZ23" s="360"/>
      <c r="FA23" s="355"/>
      <c r="FB23" s="355"/>
      <c r="FC23" s="355"/>
      <c r="FD23" s="356"/>
      <c r="FE23" s="357"/>
      <c r="FF23" s="358"/>
      <c r="FG23" s="357"/>
      <c r="FH23" s="359"/>
      <c r="FI23" s="360"/>
      <c r="FJ23" s="355"/>
      <c r="FK23" s="355"/>
      <c r="FL23" s="355"/>
      <c r="FM23" s="356"/>
      <c r="FN23" s="357"/>
      <c r="FO23" s="358"/>
      <c r="FP23" s="357"/>
      <c r="FQ23" s="359"/>
      <c r="FR23" s="360"/>
      <c r="FS23" s="355"/>
      <c r="FT23" s="355"/>
      <c r="FU23" s="355"/>
      <c r="FV23" s="356"/>
      <c r="FW23" s="357"/>
      <c r="FX23" s="358"/>
      <c r="FY23" s="357"/>
      <c r="FZ23" s="359"/>
      <c r="GA23" s="360"/>
      <c r="GB23" s="355"/>
      <c r="GC23" s="355"/>
      <c r="GD23" s="355"/>
      <c r="GE23" s="356"/>
      <c r="GF23" s="357"/>
      <c r="GG23" s="358"/>
      <c r="GH23" s="357"/>
      <c r="GI23" s="359"/>
      <c r="GJ23" s="360"/>
      <c r="GK23" s="355"/>
      <c r="GL23" s="355"/>
      <c r="GM23" s="355"/>
      <c r="GN23" s="356"/>
      <c r="GO23" s="357"/>
      <c r="GP23" s="358"/>
      <c r="GQ23" s="357"/>
      <c r="GR23" s="359"/>
      <c r="GS23" s="360"/>
      <c r="GT23" s="362">
        <v>43019</v>
      </c>
      <c r="GU23" s="98"/>
      <c r="GV23" s="84"/>
      <c r="GW23" s="74"/>
      <c r="GX23" s="74"/>
      <c r="GY23" s="389" t="s">
        <v>922</v>
      </c>
      <c r="GZ23" s="483">
        <v>3480</v>
      </c>
    </row>
    <row r="24" spans="1:208" x14ac:dyDescent="0.25">
      <c r="C24" s="87"/>
      <c r="D24" s="35"/>
      <c r="E24" s="36"/>
      <c r="F24" s="37"/>
      <c r="G24" s="38"/>
      <c r="H24" s="39"/>
      <c r="I24" s="40"/>
      <c r="J24" s="76" t="s">
        <v>42</v>
      </c>
      <c r="K24" s="407" t="s">
        <v>67</v>
      </c>
      <c r="L24" s="70">
        <v>18520</v>
      </c>
      <c r="M24" s="71">
        <v>42997</v>
      </c>
      <c r="N24" s="380" t="s">
        <v>853</v>
      </c>
      <c r="O24" s="72">
        <v>23175</v>
      </c>
      <c r="P24" s="113">
        <f t="shared" si="0"/>
        <v>4655</v>
      </c>
      <c r="Q24" s="64">
        <v>27</v>
      </c>
      <c r="R24" s="64"/>
      <c r="S24" s="64"/>
      <c r="T24" s="39">
        <f t="shared" si="1"/>
        <v>625725</v>
      </c>
      <c r="U24" s="363" t="s">
        <v>72</v>
      </c>
      <c r="V24" s="353">
        <v>43020</v>
      </c>
      <c r="W24" s="364">
        <v>15004.6</v>
      </c>
      <c r="X24" s="355"/>
      <c r="Y24" s="356"/>
      <c r="Z24" s="357"/>
      <c r="AA24" s="358"/>
      <c r="AB24" s="357"/>
      <c r="AC24" s="359"/>
      <c r="AD24" s="360"/>
      <c r="AE24" s="355"/>
      <c r="AF24" s="355"/>
      <c r="AG24" s="355"/>
      <c r="AH24" s="356"/>
      <c r="AI24" s="357"/>
      <c r="AJ24" s="358"/>
      <c r="AK24" s="357"/>
      <c r="AL24" s="359"/>
      <c r="AM24" s="360"/>
      <c r="AN24" s="355"/>
      <c r="AO24" s="355"/>
      <c r="AP24" s="355"/>
      <c r="AQ24" s="356"/>
      <c r="AR24" s="357"/>
      <c r="AS24" s="358"/>
      <c r="AT24" s="357"/>
      <c r="AU24" s="359"/>
      <c r="AV24" s="360"/>
      <c r="AW24" s="355"/>
      <c r="AX24" s="355"/>
      <c r="AY24" s="355"/>
      <c r="AZ24" s="356"/>
      <c r="BA24" s="357"/>
      <c r="BB24" s="358"/>
      <c r="BC24" s="357"/>
      <c r="BD24" s="359"/>
      <c r="BE24" s="360"/>
      <c r="BF24" s="355"/>
      <c r="BG24" s="355"/>
      <c r="BH24" s="355"/>
      <c r="BI24" s="356"/>
      <c r="BJ24" s="357"/>
      <c r="BK24" s="358"/>
      <c r="BL24" s="357"/>
      <c r="BM24" s="359"/>
      <c r="BN24" s="360"/>
      <c r="BO24" s="355"/>
      <c r="BP24" s="355"/>
      <c r="BQ24" s="355"/>
      <c r="BR24" s="356"/>
      <c r="BS24" s="357"/>
      <c r="BT24" s="358"/>
      <c r="BU24" s="357"/>
      <c r="BV24" s="359"/>
      <c r="BW24" s="360"/>
      <c r="BX24" s="355"/>
      <c r="BY24" s="355"/>
      <c r="BZ24" s="355"/>
      <c r="CA24" s="356"/>
      <c r="CB24" s="357"/>
      <c r="CC24" s="358"/>
      <c r="CD24" s="357"/>
      <c r="CE24" s="359"/>
      <c r="CF24" s="360"/>
      <c r="CG24" s="355"/>
      <c r="CH24" s="355"/>
      <c r="CI24" s="355"/>
      <c r="CJ24" s="356"/>
      <c r="CK24" s="357"/>
      <c r="CL24" s="358"/>
      <c r="CM24" s="357"/>
      <c r="CN24" s="359"/>
      <c r="CO24" s="360"/>
      <c r="CP24" s="355"/>
      <c r="CQ24" s="355"/>
      <c r="CR24" s="355"/>
      <c r="CS24" s="356"/>
      <c r="CT24" s="357"/>
      <c r="CU24" s="358"/>
      <c r="CV24" s="361"/>
      <c r="CW24" s="359"/>
      <c r="CX24" s="360"/>
      <c r="CY24" s="355"/>
      <c r="CZ24" s="355"/>
      <c r="DA24" s="355"/>
      <c r="DB24" s="356"/>
      <c r="DC24" s="357"/>
      <c r="DD24" s="358"/>
      <c r="DE24" s="357"/>
      <c r="DF24" s="359"/>
      <c r="DG24" s="360"/>
      <c r="DH24" s="355"/>
      <c r="DI24" s="355"/>
      <c r="DJ24" s="355"/>
      <c r="DK24" s="356"/>
      <c r="DL24" s="357"/>
      <c r="DM24" s="358"/>
      <c r="DN24" s="357"/>
      <c r="DO24" s="359"/>
      <c r="DP24" s="360"/>
      <c r="DQ24" s="355"/>
      <c r="DR24" s="355"/>
      <c r="DS24" s="355"/>
      <c r="DT24" s="356"/>
      <c r="DU24" s="357"/>
      <c r="DV24" s="358"/>
      <c r="DW24" s="357"/>
      <c r="DX24" s="359"/>
      <c r="DY24" s="360"/>
      <c r="DZ24" s="355"/>
      <c r="EA24" s="355"/>
      <c r="EB24" s="355"/>
      <c r="EC24" s="356"/>
      <c r="ED24" s="357"/>
      <c r="EE24" s="358"/>
      <c r="EF24" s="357"/>
      <c r="EG24" s="359"/>
      <c r="EH24" s="360"/>
      <c r="EI24" s="355"/>
      <c r="EJ24" s="355"/>
      <c r="EK24" s="355"/>
      <c r="EL24" s="356"/>
      <c r="EM24" s="357"/>
      <c r="EN24" s="358"/>
      <c r="EO24" s="357"/>
      <c r="EP24" s="359"/>
      <c r="EQ24" s="360"/>
      <c r="ER24" s="355"/>
      <c r="ES24" s="355"/>
      <c r="ET24" s="355"/>
      <c r="EU24" s="356"/>
      <c r="EV24" s="357"/>
      <c r="EW24" s="358"/>
      <c r="EX24" s="357"/>
      <c r="EY24" s="359"/>
      <c r="EZ24" s="360"/>
      <c r="FA24" s="355"/>
      <c r="FB24" s="355"/>
      <c r="FC24" s="355"/>
      <c r="FD24" s="356"/>
      <c r="FE24" s="357"/>
      <c r="FF24" s="358"/>
      <c r="FG24" s="357"/>
      <c r="FH24" s="359"/>
      <c r="FI24" s="360"/>
      <c r="FJ24" s="355"/>
      <c r="FK24" s="355"/>
      <c r="FL24" s="355"/>
      <c r="FM24" s="356"/>
      <c r="FN24" s="357"/>
      <c r="FO24" s="358"/>
      <c r="FP24" s="357"/>
      <c r="FQ24" s="359"/>
      <c r="FR24" s="360"/>
      <c r="FS24" s="355"/>
      <c r="FT24" s="355"/>
      <c r="FU24" s="355"/>
      <c r="FV24" s="356"/>
      <c r="FW24" s="357"/>
      <c r="FX24" s="358"/>
      <c r="FY24" s="357"/>
      <c r="FZ24" s="359"/>
      <c r="GA24" s="360"/>
      <c r="GB24" s="355"/>
      <c r="GC24" s="355"/>
      <c r="GD24" s="355"/>
      <c r="GE24" s="356"/>
      <c r="GF24" s="357"/>
      <c r="GG24" s="358"/>
      <c r="GH24" s="357"/>
      <c r="GI24" s="359"/>
      <c r="GJ24" s="360"/>
      <c r="GK24" s="355"/>
      <c r="GL24" s="355"/>
      <c r="GM24" s="355"/>
      <c r="GN24" s="356"/>
      <c r="GO24" s="357"/>
      <c r="GP24" s="358"/>
      <c r="GQ24" s="357"/>
      <c r="GR24" s="359"/>
      <c r="GS24" s="360"/>
      <c r="GT24" s="362">
        <v>43020</v>
      </c>
      <c r="GU24" s="98">
        <v>22176</v>
      </c>
      <c r="GV24" s="65" t="s">
        <v>800</v>
      </c>
      <c r="GW24" s="74"/>
      <c r="GX24" s="74"/>
      <c r="GY24" s="389" t="s">
        <v>922</v>
      </c>
      <c r="GZ24" s="483">
        <v>3480</v>
      </c>
    </row>
    <row r="25" spans="1:208" x14ac:dyDescent="0.25">
      <c r="C25" s="87"/>
      <c r="D25" s="35"/>
      <c r="E25" s="36"/>
      <c r="F25" s="37"/>
      <c r="G25" s="38"/>
      <c r="H25" s="39"/>
      <c r="I25" s="40"/>
      <c r="J25" s="76" t="s">
        <v>42</v>
      </c>
      <c r="K25" s="450" t="s">
        <v>37</v>
      </c>
      <c r="L25" s="70">
        <v>18870</v>
      </c>
      <c r="M25" s="71">
        <v>42998</v>
      </c>
      <c r="N25" s="380" t="s">
        <v>857</v>
      </c>
      <c r="O25" s="72">
        <v>23785</v>
      </c>
      <c r="P25" s="113">
        <f t="shared" si="0"/>
        <v>4915</v>
      </c>
      <c r="Q25" s="64">
        <v>27</v>
      </c>
      <c r="R25" s="64"/>
      <c r="S25" s="64"/>
      <c r="T25" s="39">
        <f t="shared" si="1"/>
        <v>642195</v>
      </c>
      <c r="U25" s="363" t="s">
        <v>72</v>
      </c>
      <c r="V25" s="353">
        <v>43021</v>
      </c>
      <c r="W25" s="364">
        <v>15080</v>
      </c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61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362">
        <v>43021</v>
      </c>
      <c r="GU25" s="98"/>
      <c r="GV25" s="65"/>
      <c r="GW25" s="74"/>
      <c r="GX25" s="74"/>
      <c r="GY25" s="389" t="s">
        <v>922</v>
      </c>
      <c r="GZ25" s="483">
        <v>3480</v>
      </c>
    </row>
    <row r="26" spans="1:208" x14ac:dyDescent="0.25">
      <c r="C26" s="87"/>
      <c r="D26" s="35"/>
      <c r="E26" s="36"/>
      <c r="F26" s="37"/>
      <c r="G26" s="38"/>
      <c r="H26" s="39"/>
      <c r="I26" s="40"/>
      <c r="J26" s="76" t="s">
        <v>147</v>
      </c>
      <c r="K26" s="407" t="s">
        <v>59</v>
      </c>
      <c r="L26" s="70">
        <v>19170</v>
      </c>
      <c r="M26" s="71">
        <v>42999</v>
      </c>
      <c r="N26" s="380" t="s">
        <v>858</v>
      </c>
      <c r="O26" s="72">
        <v>27710</v>
      </c>
      <c r="P26" s="113">
        <f t="shared" si="0"/>
        <v>8540</v>
      </c>
      <c r="Q26" s="64">
        <v>27</v>
      </c>
      <c r="R26" s="64"/>
      <c r="S26" s="64"/>
      <c r="T26" s="39">
        <f t="shared" si="1"/>
        <v>748170</v>
      </c>
      <c r="U26" s="363" t="s">
        <v>72</v>
      </c>
      <c r="V26" s="353">
        <v>43024</v>
      </c>
      <c r="W26" s="364">
        <v>17342</v>
      </c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61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365">
        <v>43024</v>
      </c>
      <c r="GU26" s="98">
        <v>22176</v>
      </c>
      <c r="GV26" s="65" t="s">
        <v>805</v>
      </c>
      <c r="GW26" s="74"/>
      <c r="GX26" s="74"/>
      <c r="GY26" s="389" t="s">
        <v>922</v>
      </c>
      <c r="GZ26" s="483">
        <v>3480</v>
      </c>
    </row>
    <row r="27" spans="1:208" x14ac:dyDescent="0.25">
      <c r="C27" s="87"/>
      <c r="D27" s="35"/>
      <c r="E27" s="36"/>
      <c r="F27" s="37"/>
      <c r="G27" s="38"/>
      <c r="H27" s="39"/>
      <c r="I27" s="40"/>
      <c r="J27" s="68" t="s">
        <v>748</v>
      </c>
      <c r="K27" s="407" t="s">
        <v>46</v>
      </c>
      <c r="L27" s="70">
        <v>11890</v>
      </c>
      <c r="M27" s="71">
        <v>42999</v>
      </c>
      <c r="N27" s="380" t="s">
        <v>859</v>
      </c>
      <c r="O27" s="72">
        <v>11360</v>
      </c>
      <c r="P27" s="113">
        <f t="shared" si="0"/>
        <v>-530</v>
      </c>
      <c r="Q27" s="64">
        <v>27</v>
      </c>
      <c r="R27" s="64"/>
      <c r="S27" s="64"/>
      <c r="T27" s="39">
        <f t="shared" si="1"/>
        <v>306720</v>
      </c>
      <c r="U27" s="363" t="s">
        <v>72</v>
      </c>
      <c r="V27" s="353">
        <v>43024</v>
      </c>
      <c r="W27" s="364">
        <v>7540</v>
      </c>
      <c r="X27" s="355"/>
      <c r="Y27" s="356"/>
      <c r="Z27" s="357"/>
      <c r="AA27" s="358"/>
      <c r="AB27" s="357"/>
      <c r="AC27" s="359"/>
      <c r="AD27" s="360"/>
      <c r="AE27" s="355"/>
      <c r="AF27" s="355"/>
      <c r="AG27" s="355"/>
      <c r="AH27" s="356"/>
      <c r="AI27" s="357"/>
      <c r="AJ27" s="358"/>
      <c r="AK27" s="357"/>
      <c r="AL27" s="359"/>
      <c r="AM27" s="360"/>
      <c r="AN27" s="355"/>
      <c r="AO27" s="355"/>
      <c r="AP27" s="355"/>
      <c r="AQ27" s="356"/>
      <c r="AR27" s="357"/>
      <c r="AS27" s="358"/>
      <c r="AT27" s="357"/>
      <c r="AU27" s="359"/>
      <c r="AV27" s="360"/>
      <c r="AW27" s="355"/>
      <c r="AX27" s="355"/>
      <c r="AY27" s="355"/>
      <c r="AZ27" s="356"/>
      <c r="BA27" s="357"/>
      <c r="BB27" s="358"/>
      <c r="BC27" s="357"/>
      <c r="BD27" s="359"/>
      <c r="BE27" s="360"/>
      <c r="BF27" s="355"/>
      <c r="BG27" s="355"/>
      <c r="BH27" s="355"/>
      <c r="BI27" s="356"/>
      <c r="BJ27" s="357"/>
      <c r="BK27" s="358"/>
      <c r="BL27" s="357"/>
      <c r="BM27" s="359"/>
      <c r="BN27" s="360"/>
      <c r="BO27" s="355"/>
      <c r="BP27" s="355"/>
      <c r="BQ27" s="355"/>
      <c r="BR27" s="356"/>
      <c r="BS27" s="357"/>
      <c r="BT27" s="358"/>
      <c r="BU27" s="357"/>
      <c r="BV27" s="359"/>
      <c r="BW27" s="360"/>
      <c r="BX27" s="355"/>
      <c r="BY27" s="355"/>
      <c r="BZ27" s="355"/>
      <c r="CA27" s="356"/>
      <c r="CB27" s="357"/>
      <c r="CC27" s="358"/>
      <c r="CD27" s="357"/>
      <c r="CE27" s="359"/>
      <c r="CF27" s="360"/>
      <c r="CG27" s="355"/>
      <c r="CH27" s="355"/>
      <c r="CI27" s="355"/>
      <c r="CJ27" s="356"/>
      <c r="CK27" s="357"/>
      <c r="CL27" s="358"/>
      <c r="CM27" s="357"/>
      <c r="CN27" s="359"/>
      <c r="CO27" s="360"/>
      <c r="CP27" s="355"/>
      <c r="CQ27" s="355"/>
      <c r="CR27" s="355"/>
      <c r="CS27" s="356"/>
      <c r="CT27" s="357"/>
      <c r="CU27" s="358"/>
      <c r="CV27" s="361"/>
      <c r="CW27" s="359"/>
      <c r="CX27" s="360"/>
      <c r="CY27" s="355"/>
      <c r="CZ27" s="355"/>
      <c r="DA27" s="355"/>
      <c r="DB27" s="356"/>
      <c r="DC27" s="357"/>
      <c r="DD27" s="358"/>
      <c r="DE27" s="357"/>
      <c r="DF27" s="359"/>
      <c r="DG27" s="360"/>
      <c r="DH27" s="355"/>
      <c r="DI27" s="355"/>
      <c r="DJ27" s="355"/>
      <c r="DK27" s="356"/>
      <c r="DL27" s="357"/>
      <c r="DM27" s="358"/>
      <c r="DN27" s="357"/>
      <c r="DO27" s="359"/>
      <c r="DP27" s="360"/>
      <c r="DQ27" s="355"/>
      <c r="DR27" s="355"/>
      <c r="DS27" s="355"/>
      <c r="DT27" s="356"/>
      <c r="DU27" s="357"/>
      <c r="DV27" s="358"/>
      <c r="DW27" s="357"/>
      <c r="DX27" s="359"/>
      <c r="DY27" s="360"/>
      <c r="DZ27" s="355"/>
      <c r="EA27" s="355"/>
      <c r="EB27" s="355"/>
      <c r="EC27" s="356"/>
      <c r="ED27" s="357"/>
      <c r="EE27" s="358"/>
      <c r="EF27" s="357"/>
      <c r="EG27" s="359"/>
      <c r="EH27" s="360"/>
      <c r="EI27" s="355"/>
      <c r="EJ27" s="355"/>
      <c r="EK27" s="355"/>
      <c r="EL27" s="356"/>
      <c r="EM27" s="357"/>
      <c r="EN27" s="358"/>
      <c r="EO27" s="357"/>
      <c r="EP27" s="359"/>
      <c r="EQ27" s="360"/>
      <c r="ER27" s="355"/>
      <c r="ES27" s="355"/>
      <c r="ET27" s="355"/>
      <c r="EU27" s="356"/>
      <c r="EV27" s="357"/>
      <c r="EW27" s="358"/>
      <c r="EX27" s="357"/>
      <c r="EY27" s="359"/>
      <c r="EZ27" s="360"/>
      <c r="FA27" s="355"/>
      <c r="FB27" s="355"/>
      <c r="FC27" s="355"/>
      <c r="FD27" s="356"/>
      <c r="FE27" s="357"/>
      <c r="FF27" s="358"/>
      <c r="FG27" s="357"/>
      <c r="FH27" s="359"/>
      <c r="FI27" s="360"/>
      <c r="FJ27" s="355"/>
      <c r="FK27" s="355"/>
      <c r="FL27" s="355"/>
      <c r="FM27" s="356"/>
      <c r="FN27" s="357"/>
      <c r="FO27" s="358"/>
      <c r="FP27" s="357"/>
      <c r="FQ27" s="359"/>
      <c r="FR27" s="360"/>
      <c r="FS27" s="355"/>
      <c r="FT27" s="355"/>
      <c r="FU27" s="355"/>
      <c r="FV27" s="356"/>
      <c r="FW27" s="357"/>
      <c r="FX27" s="358"/>
      <c r="FY27" s="357"/>
      <c r="FZ27" s="359"/>
      <c r="GA27" s="360"/>
      <c r="GB27" s="355"/>
      <c r="GC27" s="355"/>
      <c r="GD27" s="355"/>
      <c r="GE27" s="356"/>
      <c r="GF27" s="357"/>
      <c r="GG27" s="358"/>
      <c r="GH27" s="357"/>
      <c r="GI27" s="359"/>
      <c r="GJ27" s="360"/>
      <c r="GK27" s="355"/>
      <c r="GL27" s="355"/>
      <c r="GM27" s="355"/>
      <c r="GN27" s="356"/>
      <c r="GO27" s="357"/>
      <c r="GP27" s="358"/>
      <c r="GQ27" s="357"/>
      <c r="GR27" s="359"/>
      <c r="GS27" s="360"/>
      <c r="GT27" s="362">
        <v>43024</v>
      </c>
      <c r="GU27" s="98">
        <v>17584</v>
      </c>
      <c r="GV27" s="65" t="s">
        <v>804</v>
      </c>
      <c r="GW27" s="74"/>
      <c r="GX27" s="74"/>
      <c r="GY27" s="389" t="s">
        <v>922</v>
      </c>
      <c r="GZ27" s="483">
        <v>2088</v>
      </c>
    </row>
    <row r="28" spans="1:208" ht="30" x14ac:dyDescent="0.25">
      <c r="A28" s="1">
        <v>23</v>
      </c>
      <c r="B28" t="e">
        <f>#REF!</f>
        <v>#REF!</v>
      </c>
      <c r="C28" t="e">
        <f>#REF!</f>
        <v>#REF!</v>
      </c>
      <c r="D28" s="35" t="e">
        <f>#REF!</f>
        <v>#REF!</v>
      </c>
      <c r="E28" s="36" t="e">
        <f>#REF!</f>
        <v>#REF!</v>
      </c>
      <c r="F28" s="37" t="e">
        <f>#REF!</f>
        <v>#REF!</v>
      </c>
      <c r="G28" s="38" t="e">
        <f>#REF!</f>
        <v>#REF!</v>
      </c>
      <c r="H28" s="39" t="e">
        <f>#REF!</f>
        <v>#REF!</v>
      </c>
      <c r="I28" s="40" t="e">
        <f>#REF!</f>
        <v>#REF!</v>
      </c>
      <c r="J28" s="68" t="s">
        <v>749</v>
      </c>
      <c r="K28" s="407" t="s">
        <v>46</v>
      </c>
      <c r="L28" s="70">
        <v>11270</v>
      </c>
      <c r="M28" s="71">
        <v>43000</v>
      </c>
      <c r="N28" s="380" t="s">
        <v>870</v>
      </c>
      <c r="O28" s="72">
        <f>11315-113.15</f>
        <v>11201.85</v>
      </c>
      <c r="P28" s="113">
        <f t="shared" si="0"/>
        <v>-68.149999999999636</v>
      </c>
      <c r="Q28" s="64">
        <v>27</v>
      </c>
      <c r="R28" s="64"/>
      <c r="S28" s="64"/>
      <c r="T28" s="39">
        <f t="shared" si="1"/>
        <v>302449.95</v>
      </c>
      <c r="U28" s="363" t="s">
        <v>72</v>
      </c>
      <c r="V28" s="366">
        <v>43024</v>
      </c>
      <c r="W28" s="367">
        <v>7540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362">
        <v>43024</v>
      </c>
      <c r="GU28" s="98">
        <v>17584</v>
      </c>
      <c r="GV28" s="84" t="s">
        <v>806</v>
      </c>
      <c r="GW28" s="74"/>
      <c r="GX28" s="74"/>
      <c r="GY28" s="391" t="s">
        <v>922</v>
      </c>
      <c r="GZ28" s="483">
        <v>2088</v>
      </c>
    </row>
    <row r="29" spans="1:208" x14ac:dyDescent="0.25">
      <c r="D29" s="35"/>
      <c r="E29" s="36"/>
      <c r="F29" s="37"/>
      <c r="G29" s="38"/>
      <c r="H29" s="39"/>
      <c r="I29" s="40"/>
      <c r="J29" s="68" t="s">
        <v>828</v>
      </c>
      <c r="K29" s="407" t="s">
        <v>85</v>
      </c>
      <c r="L29" s="70">
        <v>18000</v>
      </c>
      <c r="M29" s="71">
        <v>43000</v>
      </c>
      <c r="N29" s="380" t="s">
        <v>869</v>
      </c>
      <c r="O29" s="72">
        <v>26550</v>
      </c>
      <c r="P29" s="113">
        <f t="shared" si="0"/>
        <v>8550</v>
      </c>
      <c r="Q29" s="117">
        <v>27</v>
      </c>
      <c r="R29" s="117"/>
      <c r="S29" s="117"/>
      <c r="T29" s="39">
        <f t="shared" si="1"/>
        <v>716850</v>
      </c>
      <c r="U29" s="363" t="s">
        <v>72</v>
      </c>
      <c r="V29" s="353">
        <v>43024</v>
      </c>
      <c r="W29" s="368">
        <v>17266.599999999999</v>
      </c>
      <c r="X29" s="355"/>
      <c r="Y29" s="356"/>
      <c r="Z29" s="357"/>
      <c r="AA29" s="358"/>
      <c r="AB29" s="357"/>
      <c r="AC29" s="359"/>
      <c r="AD29" s="360"/>
      <c r="AE29" s="355"/>
      <c r="AF29" s="355"/>
      <c r="AG29" s="355"/>
      <c r="AH29" s="356"/>
      <c r="AI29" s="357"/>
      <c r="AJ29" s="358"/>
      <c r="AK29" s="357"/>
      <c r="AL29" s="359"/>
      <c r="AM29" s="360"/>
      <c r="AN29" s="355"/>
      <c r="AO29" s="355"/>
      <c r="AP29" s="355"/>
      <c r="AQ29" s="356"/>
      <c r="AR29" s="357"/>
      <c r="AS29" s="358"/>
      <c r="AT29" s="357"/>
      <c r="AU29" s="359"/>
      <c r="AV29" s="360"/>
      <c r="AW29" s="355"/>
      <c r="AX29" s="355"/>
      <c r="AY29" s="355"/>
      <c r="AZ29" s="356"/>
      <c r="BA29" s="357"/>
      <c r="BB29" s="358"/>
      <c r="BC29" s="357"/>
      <c r="BD29" s="359"/>
      <c r="BE29" s="360"/>
      <c r="BF29" s="355"/>
      <c r="BG29" s="355"/>
      <c r="BH29" s="355"/>
      <c r="BI29" s="356"/>
      <c r="BJ29" s="357"/>
      <c r="BK29" s="358"/>
      <c r="BL29" s="357"/>
      <c r="BM29" s="359"/>
      <c r="BN29" s="360"/>
      <c r="BO29" s="355"/>
      <c r="BP29" s="355"/>
      <c r="BQ29" s="355"/>
      <c r="BR29" s="356"/>
      <c r="BS29" s="357"/>
      <c r="BT29" s="358"/>
      <c r="BU29" s="357"/>
      <c r="BV29" s="359"/>
      <c r="BW29" s="360"/>
      <c r="BX29" s="355"/>
      <c r="BY29" s="355"/>
      <c r="BZ29" s="355"/>
      <c r="CA29" s="356"/>
      <c r="CB29" s="357"/>
      <c r="CC29" s="358"/>
      <c r="CD29" s="357"/>
      <c r="CE29" s="359"/>
      <c r="CF29" s="360"/>
      <c r="CG29" s="355"/>
      <c r="CH29" s="355"/>
      <c r="CI29" s="355"/>
      <c r="CJ29" s="356"/>
      <c r="CK29" s="357"/>
      <c r="CL29" s="358"/>
      <c r="CM29" s="357"/>
      <c r="CN29" s="359"/>
      <c r="CO29" s="360"/>
      <c r="CP29" s="355"/>
      <c r="CQ29" s="355"/>
      <c r="CR29" s="355"/>
      <c r="CS29" s="356"/>
      <c r="CT29" s="357"/>
      <c r="CU29" s="358"/>
      <c r="CV29" s="357"/>
      <c r="CW29" s="359"/>
      <c r="CX29" s="360"/>
      <c r="CY29" s="355"/>
      <c r="CZ29" s="355"/>
      <c r="DA29" s="355"/>
      <c r="DB29" s="356"/>
      <c r="DC29" s="357"/>
      <c r="DD29" s="358"/>
      <c r="DE29" s="357"/>
      <c r="DF29" s="359"/>
      <c r="DG29" s="360"/>
      <c r="DH29" s="355"/>
      <c r="DI29" s="355"/>
      <c r="DJ29" s="355"/>
      <c r="DK29" s="356"/>
      <c r="DL29" s="357"/>
      <c r="DM29" s="358"/>
      <c r="DN29" s="357"/>
      <c r="DO29" s="359"/>
      <c r="DP29" s="360"/>
      <c r="DQ29" s="355"/>
      <c r="DR29" s="355"/>
      <c r="DS29" s="355"/>
      <c r="DT29" s="356"/>
      <c r="DU29" s="357"/>
      <c r="DV29" s="358"/>
      <c r="DW29" s="357"/>
      <c r="DX29" s="359"/>
      <c r="DY29" s="360"/>
      <c r="DZ29" s="355"/>
      <c r="EA29" s="355"/>
      <c r="EB29" s="355"/>
      <c r="EC29" s="356"/>
      <c r="ED29" s="357"/>
      <c r="EE29" s="358"/>
      <c r="EF29" s="357"/>
      <c r="EG29" s="359"/>
      <c r="EH29" s="360"/>
      <c r="EI29" s="355"/>
      <c r="EJ29" s="355"/>
      <c r="EK29" s="355"/>
      <c r="EL29" s="356"/>
      <c r="EM29" s="357"/>
      <c r="EN29" s="358"/>
      <c r="EO29" s="357"/>
      <c r="EP29" s="359"/>
      <c r="EQ29" s="360"/>
      <c r="ER29" s="355"/>
      <c r="ES29" s="355"/>
      <c r="ET29" s="355"/>
      <c r="EU29" s="356"/>
      <c r="EV29" s="357"/>
      <c r="EW29" s="358"/>
      <c r="EX29" s="357"/>
      <c r="EY29" s="359"/>
      <c r="EZ29" s="360"/>
      <c r="FA29" s="355"/>
      <c r="FB29" s="355"/>
      <c r="FC29" s="355"/>
      <c r="FD29" s="356"/>
      <c r="FE29" s="357"/>
      <c r="FF29" s="358"/>
      <c r="FG29" s="357"/>
      <c r="FH29" s="359"/>
      <c r="FI29" s="360"/>
      <c r="FJ29" s="355"/>
      <c r="FK29" s="355"/>
      <c r="FL29" s="355"/>
      <c r="FM29" s="356"/>
      <c r="FN29" s="357"/>
      <c r="FO29" s="358"/>
      <c r="FP29" s="357"/>
      <c r="FQ29" s="359"/>
      <c r="FR29" s="360"/>
      <c r="FS29" s="355"/>
      <c r="FT29" s="355"/>
      <c r="FU29" s="355"/>
      <c r="FV29" s="356"/>
      <c r="FW29" s="357"/>
      <c r="FX29" s="358"/>
      <c r="FY29" s="357"/>
      <c r="FZ29" s="359"/>
      <c r="GA29" s="360"/>
      <c r="GB29" s="355"/>
      <c r="GC29" s="355"/>
      <c r="GD29" s="355"/>
      <c r="GE29" s="356"/>
      <c r="GF29" s="357"/>
      <c r="GG29" s="358"/>
      <c r="GH29" s="357"/>
      <c r="GI29" s="359"/>
      <c r="GJ29" s="360"/>
      <c r="GK29" s="355"/>
      <c r="GL29" s="355"/>
      <c r="GM29" s="355"/>
      <c r="GN29" s="356"/>
      <c r="GO29" s="357"/>
      <c r="GP29" s="358"/>
      <c r="GQ29" s="357"/>
      <c r="GR29" s="359"/>
      <c r="GS29" s="360"/>
      <c r="GT29" s="362">
        <v>43024</v>
      </c>
      <c r="GU29" s="98"/>
      <c r="GV29" s="65"/>
      <c r="GW29" s="74"/>
      <c r="GX29" s="74"/>
      <c r="GY29" s="389" t="s">
        <v>922</v>
      </c>
      <c r="GZ29" s="483">
        <v>3480</v>
      </c>
    </row>
    <row r="30" spans="1:208" x14ac:dyDescent="0.25">
      <c r="D30" s="35"/>
      <c r="E30" s="36"/>
      <c r="F30" s="37"/>
      <c r="G30" s="38"/>
      <c r="H30" s="39"/>
      <c r="I30" s="40"/>
      <c r="J30" s="68" t="s">
        <v>829</v>
      </c>
      <c r="K30" s="407" t="s">
        <v>85</v>
      </c>
      <c r="L30" s="70">
        <v>20600</v>
      </c>
      <c r="M30" s="71">
        <v>43002</v>
      </c>
      <c r="N30" s="380" t="s">
        <v>871</v>
      </c>
      <c r="O30" s="72">
        <v>25960</v>
      </c>
      <c r="P30" s="113">
        <f t="shared" si="0"/>
        <v>5360</v>
      </c>
      <c r="Q30" s="117">
        <v>26.5</v>
      </c>
      <c r="R30" s="905"/>
      <c r="S30" s="906"/>
      <c r="T30" s="39">
        <f t="shared" si="1"/>
        <v>687940</v>
      </c>
      <c r="U30" s="363" t="s">
        <v>72</v>
      </c>
      <c r="V30" s="353">
        <v>43025</v>
      </c>
      <c r="W30" s="368">
        <v>17266.599999999999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362">
        <v>43025</v>
      </c>
      <c r="GU30" s="98"/>
      <c r="GV30" s="65"/>
      <c r="GW30" s="74"/>
      <c r="GX30" s="74"/>
      <c r="GY30" s="389" t="s">
        <v>922</v>
      </c>
      <c r="GZ30" s="483">
        <v>3712</v>
      </c>
    </row>
    <row r="31" spans="1:208" ht="30" x14ac:dyDescent="0.25">
      <c r="D31" s="35"/>
      <c r="E31" s="36"/>
      <c r="F31" s="37"/>
      <c r="G31" s="38"/>
      <c r="H31" s="39"/>
      <c r="I31" s="40"/>
      <c r="J31" s="68" t="s">
        <v>213</v>
      </c>
      <c r="K31" s="407" t="s">
        <v>568</v>
      </c>
      <c r="L31" s="70">
        <v>16240</v>
      </c>
      <c r="M31" s="71">
        <v>43003</v>
      </c>
      <c r="N31" s="380" t="s">
        <v>875</v>
      </c>
      <c r="O31" s="72">
        <f>20875-104.38</f>
        <v>20770.62</v>
      </c>
      <c r="P31" s="113">
        <f t="shared" si="0"/>
        <v>4530.619999999999</v>
      </c>
      <c r="Q31" s="568">
        <v>26.5</v>
      </c>
      <c r="R31" s="64"/>
      <c r="S31" s="64"/>
      <c r="T31" s="39">
        <f t="shared" si="1"/>
        <v>550421.42999999993</v>
      </c>
      <c r="U31" s="363" t="s">
        <v>72</v>
      </c>
      <c r="V31" s="353">
        <v>43026</v>
      </c>
      <c r="W31" s="368">
        <v>15080</v>
      </c>
      <c r="X31" s="355"/>
      <c r="Y31" s="356"/>
      <c r="Z31" s="357"/>
      <c r="AA31" s="358"/>
      <c r="AB31" s="357"/>
      <c r="AC31" s="359"/>
      <c r="AD31" s="360"/>
      <c r="AE31" s="355"/>
      <c r="AF31" s="355"/>
      <c r="AG31" s="355"/>
      <c r="AH31" s="356"/>
      <c r="AI31" s="357"/>
      <c r="AJ31" s="358"/>
      <c r="AK31" s="357"/>
      <c r="AL31" s="359"/>
      <c r="AM31" s="360"/>
      <c r="AN31" s="355"/>
      <c r="AO31" s="355"/>
      <c r="AP31" s="355"/>
      <c r="AQ31" s="356"/>
      <c r="AR31" s="357"/>
      <c r="AS31" s="358"/>
      <c r="AT31" s="357"/>
      <c r="AU31" s="359"/>
      <c r="AV31" s="360"/>
      <c r="AW31" s="355"/>
      <c r="AX31" s="355"/>
      <c r="AY31" s="355"/>
      <c r="AZ31" s="356"/>
      <c r="BA31" s="357"/>
      <c r="BB31" s="358"/>
      <c r="BC31" s="357"/>
      <c r="BD31" s="359"/>
      <c r="BE31" s="360"/>
      <c r="BF31" s="355"/>
      <c r="BG31" s="355"/>
      <c r="BH31" s="355"/>
      <c r="BI31" s="356"/>
      <c r="BJ31" s="357"/>
      <c r="BK31" s="358"/>
      <c r="BL31" s="357"/>
      <c r="BM31" s="359"/>
      <c r="BN31" s="360"/>
      <c r="BO31" s="355"/>
      <c r="BP31" s="355"/>
      <c r="BQ31" s="355"/>
      <c r="BR31" s="356"/>
      <c r="BS31" s="357"/>
      <c r="BT31" s="358"/>
      <c r="BU31" s="357"/>
      <c r="BV31" s="359"/>
      <c r="BW31" s="360"/>
      <c r="BX31" s="355"/>
      <c r="BY31" s="355"/>
      <c r="BZ31" s="355"/>
      <c r="CA31" s="356"/>
      <c r="CB31" s="357"/>
      <c r="CC31" s="358"/>
      <c r="CD31" s="357"/>
      <c r="CE31" s="359"/>
      <c r="CF31" s="360"/>
      <c r="CG31" s="355"/>
      <c r="CH31" s="355"/>
      <c r="CI31" s="355"/>
      <c r="CJ31" s="356"/>
      <c r="CK31" s="357"/>
      <c r="CL31" s="358"/>
      <c r="CM31" s="357"/>
      <c r="CN31" s="359"/>
      <c r="CO31" s="360"/>
      <c r="CP31" s="355"/>
      <c r="CQ31" s="355"/>
      <c r="CR31" s="355"/>
      <c r="CS31" s="356"/>
      <c r="CT31" s="357"/>
      <c r="CU31" s="358"/>
      <c r="CV31" s="357"/>
      <c r="CW31" s="359"/>
      <c r="CX31" s="360"/>
      <c r="CY31" s="355"/>
      <c r="CZ31" s="355"/>
      <c r="DA31" s="355"/>
      <c r="DB31" s="356"/>
      <c r="DC31" s="357"/>
      <c r="DD31" s="358"/>
      <c r="DE31" s="357"/>
      <c r="DF31" s="359"/>
      <c r="DG31" s="360"/>
      <c r="DH31" s="355"/>
      <c r="DI31" s="355"/>
      <c r="DJ31" s="355"/>
      <c r="DK31" s="356"/>
      <c r="DL31" s="357"/>
      <c r="DM31" s="358"/>
      <c r="DN31" s="357"/>
      <c r="DO31" s="359"/>
      <c r="DP31" s="360"/>
      <c r="DQ31" s="355"/>
      <c r="DR31" s="355"/>
      <c r="DS31" s="355"/>
      <c r="DT31" s="356"/>
      <c r="DU31" s="357"/>
      <c r="DV31" s="358"/>
      <c r="DW31" s="357"/>
      <c r="DX31" s="359"/>
      <c r="DY31" s="360"/>
      <c r="DZ31" s="355"/>
      <c r="EA31" s="355"/>
      <c r="EB31" s="355"/>
      <c r="EC31" s="356"/>
      <c r="ED31" s="357"/>
      <c r="EE31" s="358"/>
      <c r="EF31" s="357"/>
      <c r="EG31" s="359"/>
      <c r="EH31" s="360"/>
      <c r="EI31" s="355"/>
      <c r="EJ31" s="355"/>
      <c r="EK31" s="355"/>
      <c r="EL31" s="356"/>
      <c r="EM31" s="357"/>
      <c r="EN31" s="358"/>
      <c r="EO31" s="357"/>
      <c r="EP31" s="359"/>
      <c r="EQ31" s="360"/>
      <c r="ER31" s="355"/>
      <c r="ES31" s="355"/>
      <c r="ET31" s="355"/>
      <c r="EU31" s="356"/>
      <c r="EV31" s="357"/>
      <c r="EW31" s="358"/>
      <c r="EX31" s="357"/>
      <c r="EY31" s="359"/>
      <c r="EZ31" s="360"/>
      <c r="FA31" s="355"/>
      <c r="FB31" s="355"/>
      <c r="FC31" s="355"/>
      <c r="FD31" s="356"/>
      <c r="FE31" s="357"/>
      <c r="FF31" s="358"/>
      <c r="FG31" s="357"/>
      <c r="FH31" s="359"/>
      <c r="FI31" s="360"/>
      <c r="FJ31" s="355"/>
      <c r="FK31" s="355"/>
      <c r="FL31" s="355"/>
      <c r="FM31" s="356"/>
      <c r="FN31" s="357"/>
      <c r="FO31" s="358"/>
      <c r="FP31" s="357"/>
      <c r="FQ31" s="359"/>
      <c r="FR31" s="360"/>
      <c r="FS31" s="355"/>
      <c r="FT31" s="355"/>
      <c r="FU31" s="355"/>
      <c r="FV31" s="356"/>
      <c r="FW31" s="357"/>
      <c r="FX31" s="358"/>
      <c r="FY31" s="357"/>
      <c r="FZ31" s="359"/>
      <c r="GA31" s="360"/>
      <c r="GB31" s="355"/>
      <c r="GC31" s="355"/>
      <c r="GD31" s="355"/>
      <c r="GE31" s="356"/>
      <c r="GF31" s="357"/>
      <c r="GG31" s="358"/>
      <c r="GH31" s="357"/>
      <c r="GI31" s="359"/>
      <c r="GJ31" s="360"/>
      <c r="GK31" s="355"/>
      <c r="GL31" s="355"/>
      <c r="GM31" s="355"/>
      <c r="GN31" s="356"/>
      <c r="GO31" s="357"/>
      <c r="GP31" s="358"/>
      <c r="GQ31" s="357"/>
      <c r="GR31" s="359"/>
      <c r="GS31" s="360"/>
      <c r="GT31" s="362">
        <v>43026</v>
      </c>
      <c r="GU31" s="98">
        <v>22176</v>
      </c>
      <c r="GV31" s="65" t="s">
        <v>824</v>
      </c>
      <c r="GW31" s="74"/>
      <c r="GX31" s="74"/>
      <c r="GY31" s="391" t="s">
        <v>922</v>
      </c>
      <c r="GZ31" s="483">
        <v>3248</v>
      </c>
    </row>
    <row r="32" spans="1:208" x14ac:dyDescent="0.25">
      <c r="D32" s="35"/>
      <c r="E32" s="36"/>
      <c r="F32" s="37"/>
      <c r="G32" s="38"/>
      <c r="H32" s="39"/>
      <c r="I32" s="40"/>
      <c r="J32" s="68" t="s">
        <v>750</v>
      </c>
      <c r="K32" s="407" t="s">
        <v>46</v>
      </c>
      <c r="L32" s="70">
        <v>12120</v>
      </c>
      <c r="M32" s="71">
        <v>43004</v>
      </c>
      <c r="N32" s="380" t="s">
        <v>876</v>
      </c>
      <c r="O32" s="72">
        <v>11350</v>
      </c>
      <c r="P32" s="113">
        <f t="shared" si="0"/>
        <v>-770</v>
      </c>
      <c r="Q32" s="117">
        <v>26.5</v>
      </c>
      <c r="R32" s="64"/>
      <c r="S32" s="120"/>
      <c r="T32" s="39">
        <f t="shared" si="1"/>
        <v>300775</v>
      </c>
      <c r="U32" s="363" t="s">
        <v>72</v>
      </c>
      <c r="V32" s="353">
        <v>43026</v>
      </c>
      <c r="W32" s="369">
        <v>7540</v>
      </c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370">
        <v>43026</v>
      </c>
      <c r="GU32" s="98">
        <v>17584</v>
      </c>
      <c r="GV32" s="84" t="s">
        <v>825</v>
      </c>
      <c r="GW32" s="74"/>
      <c r="GX32" s="74"/>
      <c r="GY32" s="391" t="s">
        <v>922</v>
      </c>
      <c r="GZ32" s="483">
        <v>2088</v>
      </c>
    </row>
    <row r="33" spans="1:208" x14ac:dyDescent="0.25">
      <c r="D33" s="35"/>
      <c r="E33" s="36"/>
      <c r="F33" s="37"/>
      <c r="G33" s="38"/>
      <c r="H33" s="39"/>
      <c r="I33" s="40"/>
      <c r="J33" s="68" t="s">
        <v>827</v>
      </c>
      <c r="K33" s="451" t="s">
        <v>59</v>
      </c>
      <c r="L33" s="70">
        <v>18880</v>
      </c>
      <c r="M33" s="71">
        <v>43004</v>
      </c>
      <c r="N33" s="380" t="s">
        <v>878</v>
      </c>
      <c r="O33" s="72">
        <v>28240</v>
      </c>
      <c r="P33" s="113">
        <f t="shared" si="0"/>
        <v>9360</v>
      </c>
      <c r="Q33" s="117">
        <v>26.5</v>
      </c>
      <c r="R33" s="117"/>
      <c r="S33" s="89"/>
      <c r="T33" s="39">
        <f t="shared" si="1"/>
        <v>748360</v>
      </c>
      <c r="U33" s="363" t="s">
        <v>72</v>
      </c>
      <c r="V33" s="353">
        <v>43027</v>
      </c>
      <c r="W33" s="368">
        <v>17342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362">
        <v>43027</v>
      </c>
      <c r="GU33" s="98"/>
      <c r="GV33" s="65"/>
      <c r="GW33" s="74"/>
      <c r="GX33" s="74"/>
      <c r="GY33" s="391" t="s">
        <v>922</v>
      </c>
      <c r="GZ33" s="483">
        <v>3248</v>
      </c>
    </row>
    <row r="34" spans="1:208" x14ac:dyDescent="0.25">
      <c r="D34" s="35"/>
      <c r="E34" s="36"/>
      <c r="F34" s="37"/>
      <c r="G34" s="38"/>
      <c r="H34" s="39"/>
      <c r="I34" s="40"/>
      <c r="J34" s="68" t="s">
        <v>826</v>
      </c>
      <c r="K34" s="451" t="s">
        <v>35</v>
      </c>
      <c r="L34" s="70">
        <v>12270</v>
      </c>
      <c r="M34" s="71">
        <v>43005</v>
      </c>
      <c r="N34" s="380" t="s">
        <v>879</v>
      </c>
      <c r="O34" s="72">
        <v>15915</v>
      </c>
      <c r="P34" s="113">
        <f t="shared" si="0"/>
        <v>3645</v>
      </c>
      <c r="Q34" s="117">
        <v>26.5</v>
      </c>
      <c r="R34" s="117"/>
      <c r="S34" s="89"/>
      <c r="T34" s="39">
        <f t="shared" si="1"/>
        <v>421747.5</v>
      </c>
      <c r="U34" s="363" t="s">
        <v>72</v>
      </c>
      <c r="V34" s="353">
        <v>43028</v>
      </c>
      <c r="W34" s="368">
        <v>9802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362">
        <v>43028</v>
      </c>
      <c r="GU34" s="98">
        <v>17584</v>
      </c>
      <c r="GV34" s="65" t="s">
        <v>834</v>
      </c>
      <c r="GW34" s="74"/>
      <c r="GX34" s="74"/>
      <c r="GY34" s="403" t="s">
        <v>922</v>
      </c>
      <c r="GZ34" s="484">
        <v>2088</v>
      </c>
    </row>
    <row r="35" spans="1:208" x14ac:dyDescent="0.25">
      <c r="D35" s="35"/>
      <c r="E35" s="36"/>
      <c r="F35" s="37"/>
      <c r="G35" s="38"/>
      <c r="H35" s="39"/>
      <c r="I35" s="40"/>
      <c r="J35" s="68" t="s">
        <v>830</v>
      </c>
      <c r="K35" s="407" t="s">
        <v>46</v>
      </c>
      <c r="L35" s="70">
        <v>12200</v>
      </c>
      <c r="M35" s="71">
        <v>43006</v>
      </c>
      <c r="N35" s="380" t="s">
        <v>881</v>
      </c>
      <c r="O35" s="72">
        <v>12010</v>
      </c>
      <c r="P35" s="113">
        <f t="shared" si="0"/>
        <v>-190</v>
      </c>
      <c r="Q35" s="64">
        <v>26.5</v>
      </c>
      <c r="R35" s="124"/>
      <c r="S35" s="117"/>
      <c r="T35" s="39">
        <f t="shared" si="1"/>
        <v>318265</v>
      </c>
      <c r="U35" s="363" t="s">
        <v>72</v>
      </c>
      <c r="V35" s="353">
        <v>43031</v>
      </c>
      <c r="W35" s="371">
        <v>7540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370">
        <v>43031</v>
      </c>
      <c r="GU35" s="98">
        <v>17584</v>
      </c>
      <c r="GV35" s="65" t="s">
        <v>840</v>
      </c>
      <c r="GW35" s="74"/>
      <c r="GX35" s="74"/>
      <c r="GY35" s="391" t="s">
        <v>922</v>
      </c>
      <c r="GZ35" s="483">
        <v>2088</v>
      </c>
    </row>
    <row r="36" spans="1:208" x14ac:dyDescent="0.25">
      <c r="D36" s="35"/>
      <c r="E36" s="36"/>
      <c r="F36" s="37"/>
      <c r="G36" s="38"/>
      <c r="H36" s="39"/>
      <c r="I36" s="40"/>
      <c r="J36" s="68" t="s">
        <v>831</v>
      </c>
      <c r="K36" s="407" t="s">
        <v>85</v>
      </c>
      <c r="L36" s="70">
        <v>18760</v>
      </c>
      <c r="M36" s="71">
        <v>43006</v>
      </c>
      <c r="N36" s="380" t="s">
        <v>880</v>
      </c>
      <c r="O36" s="72">
        <v>27465</v>
      </c>
      <c r="P36" s="113">
        <f t="shared" si="0"/>
        <v>8705</v>
      </c>
      <c r="Q36" s="64">
        <v>26.5</v>
      </c>
      <c r="R36" s="124"/>
      <c r="S36" s="125"/>
      <c r="T36" s="39">
        <f t="shared" si="1"/>
        <v>727822.5</v>
      </c>
      <c r="U36" s="363" t="s">
        <v>72</v>
      </c>
      <c r="V36" s="353">
        <v>43028</v>
      </c>
      <c r="W36" s="371">
        <v>17266.599999999999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370">
        <v>43028</v>
      </c>
      <c r="GU36" s="98"/>
      <c r="GV36" s="65"/>
      <c r="GW36" s="74"/>
      <c r="GX36" s="74"/>
      <c r="GY36" s="391" t="s">
        <v>922</v>
      </c>
      <c r="GZ36" s="483">
        <v>3248</v>
      </c>
    </row>
    <row r="37" spans="1:208" x14ac:dyDescent="0.25">
      <c r="A37"/>
      <c r="D37" s="35"/>
      <c r="E37" s="36"/>
      <c r="F37" s="37"/>
      <c r="G37" s="38"/>
      <c r="H37" s="39"/>
      <c r="I37" s="40"/>
      <c r="J37" s="68" t="s">
        <v>832</v>
      </c>
      <c r="K37" s="407" t="s">
        <v>93</v>
      </c>
      <c r="L37" s="70">
        <v>11060</v>
      </c>
      <c r="M37" s="71">
        <v>43007</v>
      </c>
      <c r="N37" s="380" t="s">
        <v>883</v>
      </c>
      <c r="O37" s="72">
        <v>11770</v>
      </c>
      <c r="P37" s="113">
        <f t="shared" si="0"/>
        <v>710</v>
      </c>
      <c r="Q37" s="126">
        <v>26.5</v>
      </c>
      <c r="R37" s="127"/>
      <c r="S37" s="127"/>
      <c r="T37" s="39">
        <f t="shared" si="1"/>
        <v>311905</v>
      </c>
      <c r="U37" s="363" t="s">
        <v>72</v>
      </c>
      <c r="V37" s="353">
        <v>43031</v>
      </c>
      <c r="W37" s="368">
        <v>7540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362">
        <v>43031</v>
      </c>
      <c r="GU37" s="98">
        <v>17584</v>
      </c>
      <c r="GV37" s="65" t="s">
        <v>841</v>
      </c>
      <c r="GW37" s="74"/>
      <c r="GX37" s="74"/>
      <c r="GY37" s="391" t="s">
        <v>922</v>
      </c>
      <c r="GZ37" s="483">
        <v>2088</v>
      </c>
    </row>
    <row r="38" spans="1:208" x14ac:dyDescent="0.25">
      <c r="A38"/>
      <c r="D38" s="35"/>
      <c r="E38" s="36"/>
      <c r="F38" s="37"/>
      <c r="G38" s="38"/>
      <c r="H38" s="39"/>
      <c r="I38" s="40"/>
      <c r="J38" s="68" t="s">
        <v>833</v>
      </c>
      <c r="K38" s="407" t="s">
        <v>59</v>
      </c>
      <c r="L38" s="70">
        <v>18090</v>
      </c>
      <c r="M38" s="71">
        <v>43007</v>
      </c>
      <c r="N38" s="380" t="s">
        <v>882</v>
      </c>
      <c r="O38" s="72">
        <v>26080</v>
      </c>
      <c r="P38" s="113">
        <f t="shared" si="0"/>
        <v>7990</v>
      </c>
      <c r="Q38" s="117">
        <v>26.5</v>
      </c>
      <c r="R38" s="127"/>
      <c r="S38" s="127"/>
      <c r="T38" s="39">
        <f t="shared" si="1"/>
        <v>691120</v>
      </c>
      <c r="U38" s="363" t="s">
        <v>72</v>
      </c>
      <c r="V38" s="353">
        <v>43031</v>
      </c>
      <c r="W38" s="368">
        <v>17342</v>
      </c>
      <c r="X38" s="355"/>
      <c r="Y38" s="356"/>
      <c r="Z38" s="357"/>
      <c r="AA38" s="358"/>
      <c r="AB38" s="357"/>
      <c r="AC38" s="359"/>
      <c r="AD38" s="360"/>
      <c r="AE38" s="355"/>
      <c r="AF38" s="355"/>
      <c r="AG38" s="355"/>
      <c r="AH38" s="356"/>
      <c r="AI38" s="357"/>
      <c r="AJ38" s="358"/>
      <c r="AK38" s="357"/>
      <c r="AL38" s="359"/>
      <c r="AM38" s="360"/>
      <c r="AN38" s="355"/>
      <c r="AO38" s="355"/>
      <c r="AP38" s="355"/>
      <c r="AQ38" s="356"/>
      <c r="AR38" s="357"/>
      <c r="AS38" s="358"/>
      <c r="AT38" s="357"/>
      <c r="AU38" s="359"/>
      <c r="AV38" s="360"/>
      <c r="AW38" s="355"/>
      <c r="AX38" s="355"/>
      <c r="AY38" s="355"/>
      <c r="AZ38" s="356"/>
      <c r="BA38" s="357"/>
      <c r="BB38" s="358"/>
      <c r="BC38" s="357"/>
      <c r="BD38" s="359"/>
      <c r="BE38" s="360"/>
      <c r="BF38" s="355"/>
      <c r="BG38" s="355"/>
      <c r="BH38" s="355"/>
      <c r="BI38" s="356"/>
      <c r="BJ38" s="357"/>
      <c r="BK38" s="358"/>
      <c r="BL38" s="357"/>
      <c r="BM38" s="359"/>
      <c r="BN38" s="360"/>
      <c r="BO38" s="355"/>
      <c r="BP38" s="355"/>
      <c r="BQ38" s="355"/>
      <c r="BR38" s="356"/>
      <c r="BS38" s="357"/>
      <c r="BT38" s="358"/>
      <c r="BU38" s="357"/>
      <c r="BV38" s="359"/>
      <c r="BW38" s="360"/>
      <c r="BX38" s="355"/>
      <c r="BY38" s="355"/>
      <c r="BZ38" s="355"/>
      <c r="CA38" s="356"/>
      <c r="CB38" s="357"/>
      <c r="CC38" s="358"/>
      <c r="CD38" s="357"/>
      <c r="CE38" s="359"/>
      <c r="CF38" s="360"/>
      <c r="CG38" s="355"/>
      <c r="CH38" s="355"/>
      <c r="CI38" s="355"/>
      <c r="CJ38" s="356"/>
      <c r="CK38" s="357"/>
      <c r="CL38" s="358"/>
      <c r="CM38" s="357"/>
      <c r="CN38" s="359"/>
      <c r="CO38" s="360"/>
      <c r="CP38" s="355"/>
      <c r="CQ38" s="355"/>
      <c r="CR38" s="355"/>
      <c r="CS38" s="356"/>
      <c r="CT38" s="357"/>
      <c r="CU38" s="358"/>
      <c r="CV38" s="357"/>
      <c r="CW38" s="359"/>
      <c r="CX38" s="360"/>
      <c r="CY38" s="355"/>
      <c r="CZ38" s="355"/>
      <c r="DA38" s="355"/>
      <c r="DB38" s="356"/>
      <c r="DC38" s="357"/>
      <c r="DD38" s="358"/>
      <c r="DE38" s="357"/>
      <c r="DF38" s="359"/>
      <c r="DG38" s="360"/>
      <c r="DH38" s="355"/>
      <c r="DI38" s="355"/>
      <c r="DJ38" s="355"/>
      <c r="DK38" s="356"/>
      <c r="DL38" s="357"/>
      <c r="DM38" s="358"/>
      <c r="DN38" s="357"/>
      <c r="DO38" s="359"/>
      <c r="DP38" s="360"/>
      <c r="DQ38" s="355"/>
      <c r="DR38" s="355"/>
      <c r="DS38" s="355"/>
      <c r="DT38" s="356"/>
      <c r="DU38" s="357"/>
      <c r="DV38" s="358"/>
      <c r="DW38" s="357"/>
      <c r="DX38" s="359"/>
      <c r="DY38" s="360"/>
      <c r="DZ38" s="355"/>
      <c r="EA38" s="355"/>
      <c r="EB38" s="355"/>
      <c r="EC38" s="356"/>
      <c r="ED38" s="357"/>
      <c r="EE38" s="358"/>
      <c r="EF38" s="357"/>
      <c r="EG38" s="359"/>
      <c r="EH38" s="360"/>
      <c r="EI38" s="355"/>
      <c r="EJ38" s="355"/>
      <c r="EK38" s="355"/>
      <c r="EL38" s="356"/>
      <c r="EM38" s="357"/>
      <c r="EN38" s="358"/>
      <c r="EO38" s="357"/>
      <c r="EP38" s="359"/>
      <c r="EQ38" s="360"/>
      <c r="ER38" s="355"/>
      <c r="ES38" s="355"/>
      <c r="ET38" s="355"/>
      <c r="EU38" s="356"/>
      <c r="EV38" s="357"/>
      <c r="EW38" s="358"/>
      <c r="EX38" s="357"/>
      <c r="EY38" s="359"/>
      <c r="EZ38" s="360"/>
      <c r="FA38" s="355"/>
      <c r="FB38" s="355"/>
      <c r="FC38" s="355"/>
      <c r="FD38" s="356"/>
      <c r="FE38" s="357"/>
      <c r="FF38" s="358"/>
      <c r="FG38" s="357"/>
      <c r="FH38" s="359"/>
      <c r="FI38" s="360"/>
      <c r="FJ38" s="355"/>
      <c r="FK38" s="355"/>
      <c r="FL38" s="355"/>
      <c r="FM38" s="356"/>
      <c r="FN38" s="357"/>
      <c r="FO38" s="358"/>
      <c r="FP38" s="357"/>
      <c r="FQ38" s="359"/>
      <c r="FR38" s="360"/>
      <c r="FS38" s="355"/>
      <c r="FT38" s="355"/>
      <c r="FU38" s="355"/>
      <c r="FV38" s="356"/>
      <c r="FW38" s="357"/>
      <c r="FX38" s="358"/>
      <c r="FY38" s="357"/>
      <c r="FZ38" s="359"/>
      <c r="GA38" s="360"/>
      <c r="GB38" s="355"/>
      <c r="GC38" s="355"/>
      <c r="GD38" s="355"/>
      <c r="GE38" s="356"/>
      <c r="GF38" s="357"/>
      <c r="GG38" s="358"/>
      <c r="GH38" s="357"/>
      <c r="GI38" s="359"/>
      <c r="GJ38" s="360"/>
      <c r="GK38" s="355"/>
      <c r="GL38" s="355"/>
      <c r="GM38" s="355"/>
      <c r="GN38" s="356"/>
      <c r="GO38" s="357"/>
      <c r="GP38" s="358"/>
      <c r="GQ38" s="357"/>
      <c r="GR38" s="359"/>
      <c r="GS38" s="360"/>
      <c r="GT38" s="362">
        <v>43031</v>
      </c>
      <c r="GU38" s="98">
        <v>22176</v>
      </c>
      <c r="GV38" s="65" t="s">
        <v>842</v>
      </c>
      <c r="GW38" s="74"/>
      <c r="GX38" s="74"/>
      <c r="GY38" s="391" t="s">
        <v>922</v>
      </c>
      <c r="GZ38" s="483">
        <v>3248</v>
      </c>
    </row>
    <row r="39" spans="1:208" x14ac:dyDescent="0.25">
      <c r="A39"/>
      <c r="D39" s="35"/>
      <c r="E39" s="36"/>
      <c r="F39" s="37"/>
      <c r="G39" s="38"/>
      <c r="H39" s="39"/>
      <c r="I39" s="40"/>
      <c r="J39" s="68"/>
      <c r="K39" s="407"/>
      <c r="L39" s="70"/>
      <c r="M39" s="71"/>
      <c r="N39" s="56"/>
      <c r="O39" s="72"/>
      <c r="P39" s="113">
        <f t="shared" si="0"/>
        <v>0</v>
      </c>
      <c r="Q39" s="117"/>
      <c r="R39" s="117"/>
      <c r="S39" s="117"/>
      <c r="T39" s="39">
        <f>Q39*O39</f>
        <v>0</v>
      </c>
      <c r="U39" s="375"/>
      <c r="V39" s="144"/>
      <c r="W39" s="377"/>
      <c r="X39" s="146"/>
      <c r="Y39" s="147"/>
      <c r="Z39" s="148"/>
      <c r="AA39" s="149"/>
      <c r="AB39" s="148"/>
      <c r="AC39" s="150"/>
      <c r="AD39" s="151"/>
      <c r="AE39" s="146"/>
      <c r="AF39" s="146"/>
      <c r="AG39" s="146"/>
      <c r="AH39" s="147"/>
      <c r="AI39" s="148"/>
      <c r="AJ39" s="149"/>
      <c r="AK39" s="148"/>
      <c r="AL39" s="150"/>
      <c r="AM39" s="151"/>
      <c r="AN39" s="146"/>
      <c r="AO39" s="146"/>
      <c r="AP39" s="146"/>
      <c r="AQ39" s="147"/>
      <c r="AR39" s="148"/>
      <c r="AS39" s="149"/>
      <c r="AT39" s="148"/>
      <c r="AU39" s="150"/>
      <c r="AV39" s="151"/>
      <c r="AW39" s="146"/>
      <c r="AX39" s="146"/>
      <c r="AY39" s="146"/>
      <c r="AZ39" s="147"/>
      <c r="BA39" s="148"/>
      <c r="BB39" s="149"/>
      <c r="BC39" s="148"/>
      <c r="BD39" s="150"/>
      <c r="BE39" s="151"/>
      <c r="BF39" s="146"/>
      <c r="BG39" s="146"/>
      <c r="BH39" s="146"/>
      <c r="BI39" s="147"/>
      <c r="BJ39" s="148"/>
      <c r="BK39" s="149"/>
      <c r="BL39" s="148"/>
      <c r="BM39" s="150"/>
      <c r="BN39" s="151"/>
      <c r="BO39" s="146"/>
      <c r="BP39" s="146"/>
      <c r="BQ39" s="146"/>
      <c r="BR39" s="147"/>
      <c r="BS39" s="148"/>
      <c r="BT39" s="149"/>
      <c r="BU39" s="148"/>
      <c r="BV39" s="150"/>
      <c r="BW39" s="151"/>
      <c r="BX39" s="146"/>
      <c r="BY39" s="146"/>
      <c r="BZ39" s="146"/>
      <c r="CA39" s="147"/>
      <c r="CB39" s="148"/>
      <c r="CC39" s="149"/>
      <c r="CD39" s="148"/>
      <c r="CE39" s="150"/>
      <c r="CF39" s="151"/>
      <c r="CG39" s="146"/>
      <c r="CH39" s="146"/>
      <c r="CI39" s="146"/>
      <c r="CJ39" s="147"/>
      <c r="CK39" s="148"/>
      <c r="CL39" s="149"/>
      <c r="CM39" s="148"/>
      <c r="CN39" s="150"/>
      <c r="CO39" s="151"/>
      <c r="CP39" s="146"/>
      <c r="CQ39" s="146"/>
      <c r="CR39" s="146"/>
      <c r="CS39" s="147"/>
      <c r="CT39" s="148"/>
      <c r="CU39" s="149"/>
      <c r="CV39" s="148"/>
      <c r="CW39" s="150"/>
      <c r="CX39" s="151"/>
      <c r="CY39" s="146"/>
      <c r="CZ39" s="146"/>
      <c r="DA39" s="146"/>
      <c r="DB39" s="147"/>
      <c r="DC39" s="148"/>
      <c r="DD39" s="149"/>
      <c r="DE39" s="148"/>
      <c r="DF39" s="150"/>
      <c r="DG39" s="151"/>
      <c r="DH39" s="146"/>
      <c r="DI39" s="146"/>
      <c r="DJ39" s="146"/>
      <c r="DK39" s="147"/>
      <c r="DL39" s="148"/>
      <c r="DM39" s="149"/>
      <c r="DN39" s="148"/>
      <c r="DO39" s="150"/>
      <c r="DP39" s="151"/>
      <c r="DQ39" s="146"/>
      <c r="DR39" s="146"/>
      <c r="DS39" s="146"/>
      <c r="DT39" s="147"/>
      <c r="DU39" s="148"/>
      <c r="DV39" s="149"/>
      <c r="DW39" s="148"/>
      <c r="DX39" s="150"/>
      <c r="DY39" s="151"/>
      <c r="DZ39" s="146"/>
      <c r="EA39" s="146"/>
      <c r="EB39" s="146"/>
      <c r="EC39" s="147"/>
      <c r="ED39" s="148"/>
      <c r="EE39" s="149"/>
      <c r="EF39" s="148"/>
      <c r="EG39" s="150"/>
      <c r="EH39" s="151"/>
      <c r="EI39" s="146"/>
      <c r="EJ39" s="146"/>
      <c r="EK39" s="146"/>
      <c r="EL39" s="147"/>
      <c r="EM39" s="148"/>
      <c r="EN39" s="149"/>
      <c r="EO39" s="148"/>
      <c r="EP39" s="150"/>
      <c r="EQ39" s="151"/>
      <c r="ER39" s="146"/>
      <c r="ES39" s="146"/>
      <c r="ET39" s="146"/>
      <c r="EU39" s="147"/>
      <c r="EV39" s="148"/>
      <c r="EW39" s="149"/>
      <c r="EX39" s="148"/>
      <c r="EY39" s="150"/>
      <c r="EZ39" s="151"/>
      <c r="FA39" s="146"/>
      <c r="FB39" s="146"/>
      <c r="FC39" s="146"/>
      <c r="FD39" s="147"/>
      <c r="FE39" s="148"/>
      <c r="FF39" s="149"/>
      <c r="FG39" s="148"/>
      <c r="FH39" s="150"/>
      <c r="FI39" s="151"/>
      <c r="FJ39" s="146"/>
      <c r="FK39" s="146"/>
      <c r="FL39" s="146"/>
      <c r="FM39" s="147"/>
      <c r="FN39" s="148"/>
      <c r="FO39" s="149"/>
      <c r="FP39" s="148"/>
      <c r="FQ39" s="150"/>
      <c r="FR39" s="151"/>
      <c r="FS39" s="146"/>
      <c r="FT39" s="146"/>
      <c r="FU39" s="146"/>
      <c r="FV39" s="147"/>
      <c r="FW39" s="148"/>
      <c r="FX39" s="149"/>
      <c r="FY39" s="148"/>
      <c r="FZ39" s="150"/>
      <c r="GA39" s="151"/>
      <c r="GB39" s="146"/>
      <c r="GC39" s="146"/>
      <c r="GD39" s="146"/>
      <c r="GE39" s="147"/>
      <c r="GF39" s="148"/>
      <c r="GG39" s="149"/>
      <c r="GH39" s="148"/>
      <c r="GI39" s="150"/>
      <c r="GJ39" s="151"/>
      <c r="GK39" s="146"/>
      <c r="GL39" s="146"/>
      <c r="GM39" s="146"/>
      <c r="GN39" s="147"/>
      <c r="GO39" s="148"/>
      <c r="GP39" s="149"/>
      <c r="GQ39" s="148"/>
      <c r="GR39" s="150"/>
      <c r="GS39" s="151"/>
      <c r="GT39" s="379"/>
      <c r="GU39" s="98"/>
      <c r="GV39" s="65"/>
      <c r="GW39" s="74"/>
      <c r="GX39" s="74"/>
      <c r="GY39" s="167"/>
      <c r="GZ39" s="86"/>
    </row>
    <row r="40" spans="1:208" x14ac:dyDescent="0.25">
      <c r="A40"/>
      <c r="D40" s="35"/>
      <c r="E40" s="36"/>
      <c r="F40" s="37"/>
      <c r="G40" s="38"/>
      <c r="H40" s="39"/>
      <c r="I40" s="40"/>
      <c r="J40" s="68"/>
      <c r="K40" s="407"/>
      <c r="L40" s="70"/>
      <c r="M40" s="71"/>
      <c r="N40" s="56"/>
      <c r="O40" s="72"/>
      <c r="P40" s="113">
        <f t="shared" si="0"/>
        <v>0</v>
      </c>
      <c r="Q40" s="117"/>
      <c r="R40" s="117"/>
      <c r="S40" s="117"/>
      <c r="T40" s="39">
        <f>Q40*O40</f>
        <v>0</v>
      </c>
      <c r="U40" s="375"/>
      <c r="V40" s="144"/>
      <c r="W40" s="377"/>
      <c r="X40" s="146"/>
      <c r="Y40" s="147"/>
      <c r="Z40" s="148"/>
      <c r="AA40" s="149"/>
      <c r="AB40" s="148"/>
      <c r="AC40" s="150"/>
      <c r="AD40" s="151"/>
      <c r="AE40" s="146"/>
      <c r="AF40" s="146"/>
      <c r="AG40" s="146"/>
      <c r="AH40" s="147"/>
      <c r="AI40" s="148"/>
      <c r="AJ40" s="149"/>
      <c r="AK40" s="148"/>
      <c r="AL40" s="150"/>
      <c r="AM40" s="151"/>
      <c r="AN40" s="146"/>
      <c r="AO40" s="146"/>
      <c r="AP40" s="146"/>
      <c r="AQ40" s="147"/>
      <c r="AR40" s="148"/>
      <c r="AS40" s="149"/>
      <c r="AT40" s="148"/>
      <c r="AU40" s="150"/>
      <c r="AV40" s="151"/>
      <c r="AW40" s="146"/>
      <c r="AX40" s="146"/>
      <c r="AY40" s="146"/>
      <c r="AZ40" s="147"/>
      <c r="BA40" s="148"/>
      <c r="BB40" s="149"/>
      <c r="BC40" s="148"/>
      <c r="BD40" s="150"/>
      <c r="BE40" s="151"/>
      <c r="BF40" s="146"/>
      <c r="BG40" s="146"/>
      <c r="BH40" s="146"/>
      <c r="BI40" s="147"/>
      <c r="BJ40" s="148"/>
      <c r="BK40" s="149"/>
      <c r="BL40" s="148"/>
      <c r="BM40" s="150"/>
      <c r="BN40" s="151"/>
      <c r="BO40" s="146"/>
      <c r="BP40" s="146"/>
      <c r="BQ40" s="146"/>
      <c r="BR40" s="147"/>
      <c r="BS40" s="148"/>
      <c r="BT40" s="149"/>
      <c r="BU40" s="148"/>
      <c r="BV40" s="150"/>
      <c r="BW40" s="151"/>
      <c r="BX40" s="146"/>
      <c r="BY40" s="146"/>
      <c r="BZ40" s="146"/>
      <c r="CA40" s="147"/>
      <c r="CB40" s="148"/>
      <c r="CC40" s="149"/>
      <c r="CD40" s="148"/>
      <c r="CE40" s="150"/>
      <c r="CF40" s="151"/>
      <c r="CG40" s="146"/>
      <c r="CH40" s="146"/>
      <c r="CI40" s="146"/>
      <c r="CJ40" s="147"/>
      <c r="CK40" s="148"/>
      <c r="CL40" s="149"/>
      <c r="CM40" s="148"/>
      <c r="CN40" s="150"/>
      <c r="CO40" s="151"/>
      <c r="CP40" s="146"/>
      <c r="CQ40" s="146"/>
      <c r="CR40" s="146"/>
      <c r="CS40" s="147"/>
      <c r="CT40" s="148"/>
      <c r="CU40" s="149"/>
      <c r="CV40" s="148"/>
      <c r="CW40" s="150"/>
      <c r="CX40" s="151"/>
      <c r="CY40" s="146"/>
      <c r="CZ40" s="146"/>
      <c r="DA40" s="146"/>
      <c r="DB40" s="147"/>
      <c r="DC40" s="148"/>
      <c r="DD40" s="149"/>
      <c r="DE40" s="148"/>
      <c r="DF40" s="150"/>
      <c r="DG40" s="151"/>
      <c r="DH40" s="146"/>
      <c r="DI40" s="146"/>
      <c r="DJ40" s="146"/>
      <c r="DK40" s="147"/>
      <c r="DL40" s="148"/>
      <c r="DM40" s="149"/>
      <c r="DN40" s="148"/>
      <c r="DO40" s="150"/>
      <c r="DP40" s="151"/>
      <c r="DQ40" s="146"/>
      <c r="DR40" s="146"/>
      <c r="DS40" s="146"/>
      <c r="DT40" s="147"/>
      <c r="DU40" s="148"/>
      <c r="DV40" s="149"/>
      <c r="DW40" s="148"/>
      <c r="DX40" s="150"/>
      <c r="DY40" s="151"/>
      <c r="DZ40" s="146"/>
      <c r="EA40" s="146"/>
      <c r="EB40" s="146"/>
      <c r="EC40" s="147"/>
      <c r="ED40" s="148"/>
      <c r="EE40" s="149"/>
      <c r="EF40" s="148"/>
      <c r="EG40" s="150"/>
      <c r="EH40" s="151"/>
      <c r="EI40" s="146"/>
      <c r="EJ40" s="146"/>
      <c r="EK40" s="146"/>
      <c r="EL40" s="147"/>
      <c r="EM40" s="148"/>
      <c r="EN40" s="149"/>
      <c r="EO40" s="148"/>
      <c r="EP40" s="150"/>
      <c r="EQ40" s="151"/>
      <c r="ER40" s="146"/>
      <c r="ES40" s="146"/>
      <c r="ET40" s="146"/>
      <c r="EU40" s="147"/>
      <c r="EV40" s="148"/>
      <c r="EW40" s="149"/>
      <c r="EX40" s="148"/>
      <c r="EY40" s="150"/>
      <c r="EZ40" s="151"/>
      <c r="FA40" s="146"/>
      <c r="FB40" s="146"/>
      <c r="FC40" s="146"/>
      <c r="FD40" s="147"/>
      <c r="FE40" s="148"/>
      <c r="FF40" s="149"/>
      <c r="FG40" s="148"/>
      <c r="FH40" s="150"/>
      <c r="FI40" s="151"/>
      <c r="FJ40" s="146"/>
      <c r="FK40" s="146"/>
      <c r="FL40" s="146"/>
      <c r="FM40" s="147"/>
      <c r="FN40" s="148"/>
      <c r="FO40" s="149"/>
      <c r="FP40" s="148"/>
      <c r="FQ40" s="150"/>
      <c r="FR40" s="151"/>
      <c r="FS40" s="146"/>
      <c r="FT40" s="146"/>
      <c r="FU40" s="146"/>
      <c r="FV40" s="147"/>
      <c r="FW40" s="148"/>
      <c r="FX40" s="149"/>
      <c r="FY40" s="148"/>
      <c r="FZ40" s="150"/>
      <c r="GA40" s="151"/>
      <c r="GB40" s="146"/>
      <c r="GC40" s="146"/>
      <c r="GD40" s="146"/>
      <c r="GE40" s="147"/>
      <c r="GF40" s="148"/>
      <c r="GG40" s="149"/>
      <c r="GH40" s="148"/>
      <c r="GI40" s="150"/>
      <c r="GJ40" s="151"/>
      <c r="GK40" s="146"/>
      <c r="GL40" s="146"/>
      <c r="GM40" s="146"/>
      <c r="GN40" s="147"/>
      <c r="GO40" s="148"/>
      <c r="GP40" s="149"/>
      <c r="GQ40" s="148"/>
      <c r="GR40" s="150"/>
      <c r="GS40" s="151"/>
      <c r="GT40" s="152"/>
      <c r="GU40" s="98"/>
      <c r="GV40" s="65"/>
      <c r="GW40" s="74"/>
      <c r="GX40" s="74"/>
      <c r="GY40" s="167"/>
      <c r="GZ40" s="86"/>
    </row>
    <row r="41" spans="1:208" x14ac:dyDescent="0.25">
      <c r="A41"/>
      <c r="D41" s="35"/>
      <c r="E41" s="36"/>
      <c r="F41" s="37"/>
      <c r="G41" s="38"/>
      <c r="H41" s="39"/>
      <c r="I41" s="40"/>
      <c r="J41" s="68"/>
      <c r="K41" s="451"/>
      <c r="L41" s="70"/>
      <c r="M41" s="71"/>
      <c r="N41" s="56"/>
      <c r="O41" s="72"/>
      <c r="P41" s="113">
        <f t="shared" si="0"/>
        <v>0</v>
      </c>
      <c r="Q41" s="64"/>
      <c r="R41" s="117"/>
      <c r="S41" s="117"/>
      <c r="T41" s="39">
        <f>Q41*O41</f>
        <v>0</v>
      </c>
      <c r="U41" s="115"/>
      <c r="V41" s="112"/>
      <c r="W41" s="118"/>
      <c r="X41" s="17"/>
      <c r="Y41" s="20"/>
      <c r="Z41" s="92"/>
      <c r="AA41" s="93"/>
      <c r="AB41" s="92"/>
      <c r="AC41" s="94"/>
      <c r="AD41" s="95"/>
      <c r="AE41" s="17"/>
      <c r="AF41" s="17"/>
      <c r="AG41" s="17"/>
      <c r="AH41" s="20"/>
      <c r="AI41" s="92"/>
      <c r="AJ41" s="93"/>
      <c r="AK41" s="92"/>
      <c r="AL41" s="94"/>
      <c r="AM41" s="95"/>
      <c r="AN41" s="17"/>
      <c r="AO41" s="17"/>
      <c r="AP41" s="17"/>
      <c r="AQ41" s="20"/>
      <c r="AR41" s="92"/>
      <c r="AS41" s="93"/>
      <c r="AT41" s="92"/>
      <c r="AU41" s="94"/>
      <c r="AV41" s="95"/>
      <c r="AW41" s="17"/>
      <c r="AX41" s="17"/>
      <c r="AY41" s="17"/>
      <c r="AZ41" s="20"/>
      <c r="BA41" s="92"/>
      <c r="BB41" s="93"/>
      <c r="BC41" s="92"/>
      <c r="BD41" s="94"/>
      <c r="BE41" s="95"/>
      <c r="BF41" s="17"/>
      <c r="BG41" s="17"/>
      <c r="BH41" s="17"/>
      <c r="BI41" s="20"/>
      <c r="BJ41" s="92"/>
      <c r="BK41" s="93"/>
      <c r="BL41" s="92"/>
      <c r="BM41" s="94"/>
      <c r="BN41" s="95"/>
      <c r="BO41" s="17"/>
      <c r="BP41" s="17"/>
      <c r="BQ41" s="17"/>
      <c r="BR41" s="20"/>
      <c r="BS41" s="92"/>
      <c r="BT41" s="93"/>
      <c r="BU41" s="92"/>
      <c r="BV41" s="94"/>
      <c r="BW41" s="95"/>
      <c r="BX41" s="17"/>
      <c r="BY41" s="17"/>
      <c r="BZ41" s="17"/>
      <c r="CA41" s="20"/>
      <c r="CB41" s="92"/>
      <c r="CC41" s="93"/>
      <c r="CD41" s="92"/>
      <c r="CE41" s="94"/>
      <c r="CF41" s="95"/>
      <c r="CG41" s="17"/>
      <c r="CH41" s="17"/>
      <c r="CI41" s="17"/>
      <c r="CJ41" s="20"/>
      <c r="CK41" s="92"/>
      <c r="CL41" s="93"/>
      <c r="CM41" s="92"/>
      <c r="CN41" s="94"/>
      <c r="CO41" s="95"/>
      <c r="CP41" s="17"/>
      <c r="CQ41" s="17"/>
      <c r="CR41" s="17"/>
      <c r="CS41" s="20"/>
      <c r="CT41" s="92"/>
      <c r="CU41" s="93"/>
      <c r="CV41" s="92"/>
      <c r="CW41" s="94"/>
      <c r="CX41" s="95"/>
      <c r="CY41" s="17"/>
      <c r="CZ41" s="17"/>
      <c r="DA41" s="17"/>
      <c r="DB41" s="20"/>
      <c r="DC41" s="92"/>
      <c r="DD41" s="93"/>
      <c r="DE41" s="92"/>
      <c r="DF41" s="94"/>
      <c r="DG41" s="95"/>
      <c r="DH41" s="17"/>
      <c r="DI41" s="17"/>
      <c r="DJ41" s="17"/>
      <c r="DK41" s="20"/>
      <c r="DL41" s="92"/>
      <c r="DM41" s="93"/>
      <c r="DN41" s="92"/>
      <c r="DO41" s="94"/>
      <c r="DP41" s="95"/>
      <c r="DQ41" s="17"/>
      <c r="DR41" s="17"/>
      <c r="DS41" s="17"/>
      <c r="DT41" s="20"/>
      <c r="DU41" s="92"/>
      <c r="DV41" s="93"/>
      <c r="DW41" s="92"/>
      <c r="DX41" s="94"/>
      <c r="DY41" s="95"/>
      <c r="DZ41" s="17"/>
      <c r="EA41" s="17"/>
      <c r="EB41" s="17"/>
      <c r="EC41" s="20"/>
      <c r="ED41" s="92"/>
      <c r="EE41" s="93"/>
      <c r="EF41" s="92"/>
      <c r="EG41" s="94"/>
      <c r="EH41" s="95"/>
      <c r="EI41" s="17"/>
      <c r="EJ41" s="17"/>
      <c r="EK41" s="17"/>
      <c r="EL41" s="20"/>
      <c r="EM41" s="92"/>
      <c r="EN41" s="93"/>
      <c r="EO41" s="92"/>
      <c r="EP41" s="94"/>
      <c r="EQ41" s="95"/>
      <c r="ER41" s="17"/>
      <c r="ES41" s="17"/>
      <c r="ET41" s="17"/>
      <c r="EU41" s="20"/>
      <c r="EV41" s="92"/>
      <c r="EW41" s="93"/>
      <c r="EX41" s="92"/>
      <c r="EY41" s="94"/>
      <c r="EZ41" s="95"/>
      <c r="FA41" s="17"/>
      <c r="FB41" s="17"/>
      <c r="FC41" s="17"/>
      <c r="FD41" s="20"/>
      <c r="FE41" s="92"/>
      <c r="FF41" s="93"/>
      <c r="FG41" s="92"/>
      <c r="FH41" s="94"/>
      <c r="FI41" s="95"/>
      <c r="FJ41" s="17"/>
      <c r="FK41" s="17"/>
      <c r="FL41" s="17"/>
      <c r="FM41" s="20"/>
      <c r="FN41" s="92"/>
      <c r="FO41" s="93"/>
      <c r="FP41" s="92"/>
      <c r="FQ41" s="94"/>
      <c r="FR41" s="95"/>
      <c r="FS41" s="17"/>
      <c r="FT41" s="17"/>
      <c r="FU41" s="17"/>
      <c r="FV41" s="20"/>
      <c r="FW41" s="92"/>
      <c r="FX41" s="93"/>
      <c r="FY41" s="92"/>
      <c r="FZ41" s="94"/>
      <c r="GA41" s="95"/>
      <c r="GB41" s="17"/>
      <c r="GC41" s="17"/>
      <c r="GD41" s="17"/>
      <c r="GE41" s="20"/>
      <c r="GF41" s="92"/>
      <c r="GG41" s="93"/>
      <c r="GH41" s="92"/>
      <c r="GI41" s="94"/>
      <c r="GJ41" s="95"/>
      <c r="GK41" s="17"/>
      <c r="GL41" s="17"/>
      <c r="GM41" s="17"/>
      <c r="GN41" s="20"/>
      <c r="GO41" s="92"/>
      <c r="GP41" s="93"/>
      <c r="GQ41" s="92"/>
      <c r="GR41" s="94"/>
      <c r="GS41" s="95"/>
      <c r="GT41" s="128"/>
      <c r="GU41" s="98"/>
      <c r="GV41" s="129"/>
      <c r="GW41" s="74"/>
      <c r="GX41" s="74"/>
      <c r="GY41" s="167"/>
      <c r="GZ41" s="86"/>
    </row>
    <row r="42" spans="1:208" x14ac:dyDescent="0.25">
      <c r="A42"/>
      <c r="D42" s="35"/>
      <c r="E42" s="36"/>
      <c r="F42" s="37"/>
      <c r="G42" s="38"/>
      <c r="H42" s="39"/>
      <c r="I42" s="40"/>
      <c r="J42" s="68"/>
      <c r="K42" s="407"/>
      <c r="L42" s="70"/>
      <c r="M42" s="71"/>
      <c r="N42" s="119"/>
      <c r="O42" s="72"/>
      <c r="P42" s="113">
        <f>O42-L42</f>
        <v>0</v>
      </c>
      <c r="Q42" s="117"/>
      <c r="R42" s="117"/>
      <c r="S42" s="111"/>
      <c r="T42" s="39">
        <f>Q42*O42+S42+0</f>
        <v>0</v>
      </c>
      <c r="U42" s="375"/>
      <c r="V42" s="144"/>
      <c r="W42" s="377"/>
      <c r="X42" s="146"/>
      <c r="Y42" s="147"/>
      <c r="Z42" s="148"/>
      <c r="AA42" s="149"/>
      <c r="AB42" s="148"/>
      <c r="AC42" s="150"/>
      <c r="AD42" s="151"/>
      <c r="AE42" s="146"/>
      <c r="AF42" s="146"/>
      <c r="AG42" s="146"/>
      <c r="AH42" s="147"/>
      <c r="AI42" s="148"/>
      <c r="AJ42" s="149"/>
      <c r="AK42" s="148"/>
      <c r="AL42" s="150"/>
      <c r="AM42" s="151"/>
      <c r="AN42" s="146"/>
      <c r="AO42" s="146"/>
      <c r="AP42" s="146"/>
      <c r="AQ42" s="147"/>
      <c r="AR42" s="148"/>
      <c r="AS42" s="149"/>
      <c r="AT42" s="148"/>
      <c r="AU42" s="150"/>
      <c r="AV42" s="151"/>
      <c r="AW42" s="146"/>
      <c r="AX42" s="146"/>
      <c r="AY42" s="146"/>
      <c r="AZ42" s="147"/>
      <c r="BA42" s="148"/>
      <c r="BB42" s="149"/>
      <c r="BC42" s="148"/>
      <c r="BD42" s="150"/>
      <c r="BE42" s="151"/>
      <c r="BF42" s="146"/>
      <c r="BG42" s="146"/>
      <c r="BH42" s="146"/>
      <c r="BI42" s="147"/>
      <c r="BJ42" s="148"/>
      <c r="BK42" s="149"/>
      <c r="BL42" s="148"/>
      <c r="BM42" s="150"/>
      <c r="BN42" s="151"/>
      <c r="BO42" s="146"/>
      <c r="BP42" s="146"/>
      <c r="BQ42" s="146"/>
      <c r="BR42" s="147"/>
      <c r="BS42" s="148"/>
      <c r="BT42" s="149"/>
      <c r="BU42" s="148"/>
      <c r="BV42" s="150"/>
      <c r="BW42" s="151"/>
      <c r="BX42" s="146"/>
      <c r="BY42" s="146"/>
      <c r="BZ42" s="146"/>
      <c r="CA42" s="147"/>
      <c r="CB42" s="148"/>
      <c r="CC42" s="149"/>
      <c r="CD42" s="148"/>
      <c r="CE42" s="150"/>
      <c r="CF42" s="151"/>
      <c r="CG42" s="146"/>
      <c r="CH42" s="146"/>
      <c r="CI42" s="146"/>
      <c r="CJ42" s="147"/>
      <c r="CK42" s="148"/>
      <c r="CL42" s="149"/>
      <c r="CM42" s="148"/>
      <c r="CN42" s="150"/>
      <c r="CO42" s="151"/>
      <c r="CP42" s="146"/>
      <c r="CQ42" s="146"/>
      <c r="CR42" s="146"/>
      <c r="CS42" s="147"/>
      <c r="CT42" s="148"/>
      <c r="CU42" s="149"/>
      <c r="CV42" s="148"/>
      <c r="CW42" s="150"/>
      <c r="CX42" s="151"/>
      <c r="CY42" s="146"/>
      <c r="CZ42" s="146"/>
      <c r="DA42" s="146"/>
      <c r="DB42" s="147"/>
      <c r="DC42" s="148"/>
      <c r="DD42" s="149"/>
      <c r="DE42" s="148"/>
      <c r="DF42" s="150"/>
      <c r="DG42" s="151"/>
      <c r="DH42" s="146"/>
      <c r="DI42" s="146"/>
      <c r="DJ42" s="146"/>
      <c r="DK42" s="147"/>
      <c r="DL42" s="148"/>
      <c r="DM42" s="149"/>
      <c r="DN42" s="148"/>
      <c r="DO42" s="150"/>
      <c r="DP42" s="151"/>
      <c r="DQ42" s="146"/>
      <c r="DR42" s="146"/>
      <c r="DS42" s="146"/>
      <c r="DT42" s="147"/>
      <c r="DU42" s="148"/>
      <c r="DV42" s="149"/>
      <c r="DW42" s="148"/>
      <c r="DX42" s="150"/>
      <c r="DY42" s="151"/>
      <c r="DZ42" s="146"/>
      <c r="EA42" s="146"/>
      <c r="EB42" s="146"/>
      <c r="EC42" s="147"/>
      <c r="ED42" s="148"/>
      <c r="EE42" s="149"/>
      <c r="EF42" s="148"/>
      <c r="EG42" s="150"/>
      <c r="EH42" s="151"/>
      <c r="EI42" s="146"/>
      <c r="EJ42" s="146"/>
      <c r="EK42" s="146"/>
      <c r="EL42" s="147"/>
      <c r="EM42" s="148"/>
      <c r="EN42" s="149"/>
      <c r="EO42" s="148"/>
      <c r="EP42" s="150"/>
      <c r="EQ42" s="151"/>
      <c r="ER42" s="146"/>
      <c r="ES42" s="146"/>
      <c r="ET42" s="146"/>
      <c r="EU42" s="147"/>
      <c r="EV42" s="148"/>
      <c r="EW42" s="149"/>
      <c r="EX42" s="148"/>
      <c r="EY42" s="150"/>
      <c r="EZ42" s="151"/>
      <c r="FA42" s="146"/>
      <c r="FB42" s="146"/>
      <c r="FC42" s="146"/>
      <c r="FD42" s="147"/>
      <c r="FE42" s="148"/>
      <c r="FF42" s="149"/>
      <c r="FG42" s="148"/>
      <c r="FH42" s="150"/>
      <c r="FI42" s="151"/>
      <c r="FJ42" s="146"/>
      <c r="FK42" s="146"/>
      <c r="FL42" s="146"/>
      <c r="FM42" s="147"/>
      <c r="FN42" s="148"/>
      <c r="FO42" s="149"/>
      <c r="FP42" s="148"/>
      <c r="FQ42" s="150"/>
      <c r="FR42" s="151"/>
      <c r="FS42" s="146"/>
      <c r="FT42" s="146"/>
      <c r="FU42" s="146"/>
      <c r="FV42" s="147"/>
      <c r="FW42" s="148"/>
      <c r="FX42" s="149"/>
      <c r="FY42" s="148"/>
      <c r="FZ42" s="150"/>
      <c r="GA42" s="151"/>
      <c r="GB42" s="146"/>
      <c r="GC42" s="146"/>
      <c r="GD42" s="146"/>
      <c r="GE42" s="147"/>
      <c r="GF42" s="148"/>
      <c r="GG42" s="149"/>
      <c r="GH42" s="148"/>
      <c r="GI42" s="150"/>
      <c r="GJ42" s="151"/>
      <c r="GK42" s="146"/>
      <c r="GL42" s="146"/>
      <c r="GM42" s="146"/>
      <c r="GN42" s="147"/>
      <c r="GO42" s="148"/>
      <c r="GP42" s="149"/>
      <c r="GQ42" s="148"/>
      <c r="GR42" s="150"/>
      <c r="GS42" s="151"/>
      <c r="GT42" s="152"/>
      <c r="GU42" s="98"/>
      <c r="GV42" s="130"/>
      <c r="GW42" s="74"/>
      <c r="GX42" s="74"/>
      <c r="GY42" s="167"/>
      <c r="GZ42" s="86"/>
    </row>
    <row r="43" spans="1:208" x14ac:dyDescent="0.25">
      <c r="A43"/>
      <c r="D43" s="35"/>
      <c r="E43" s="36"/>
      <c r="F43" s="37"/>
      <c r="G43" s="38"/>
      <c r="H43" s="39"/>
      <c r="I43" s="40"/>
      <c r="J43" s="68"/>
      <c r="K43" s="407"/>
      <c r="L43" s="70"/>
      <c r="M43" s="71"/>
      <c r="N43" s="119"/>
      <c r="O43" s="72"/>
      <c r="P43" s="113">
        <f t="shared" ref="P43:P54" si="2">O43-L43</f>
        <v>0</v>
      </c>
      <c r="Q43" s="117"/>
      <c r="R43" s="117"/>
      <c r="S43" s="111"/>
      <c r="T43" s="39">
        <f>Q43*O43+S43+0</f>
        <v>0</v>
      </c>
      <c r="U43" s="375"/>
      <c r="V43" s="144"/>
      <c r="W43" s="377"/>
      <c r="X43" s="146"/>
      <c r="Y43" s="147"/>
      <c r="Z43" s="148"/>
      <c r="AA43" s="149"/>
      <c r="AB43" s="148"/>
      <c r="AC43" s="150"/>
      <c r="AD43" s="151"/>
      <c r="AE43" s="146"/>
      <c r="AF43" s="146"/>
      <c r="AG43" s="146"/>
      <c r="AH43" s="147"/>
      <c r="AI43" s="148"/>
      <c r="AJ43" s="149"/>
      <c r="AK43" s="148"/>
      <c r="AL43" s="150"/>
      <c r="AM43" s="151"/>
      <c r="AN43" s="146"/>
      <c r="AO43" s="146"/>
      <c r="AP43" s="146"/>
      <c r="AQ43" s="147"/>
      <c r="AR43" s="148"/>
      <c r="AS43" s="149"/>
      <c r="AT43" s="148"/>
      <c r="AU43" s="150"/>
      <c r="AV43" s="151"/>
      <c r="AW43" s="146"/>
      <c r="AX43" s="146"/>
      <c r="AY43" s="146"/>
      <c r="AZ43" s="147"/>
      <c r="BA43" s="148"/>
      <c r="BB43" s="149"/>
      <c r="BC43" s="148"/>
      <c r="BD43" s="150"/>
      <c r="BE43" s="151"/>
      <c r="BF43" s="146"/>
      <c r="BG43" s="146"/>
      <c r="BH43" s="146"/>
      <c r="BI43" s="147"/>
      <c r="BJ43" s="148"/>
      <c r="BK43" s="149"/>
      <c r="BL43" s="148"/>
      <c r="BM43" s="150"/>
      <c r="BN43" s="151"/>
      <c r="BO43" s="146"/>
      <c r="BP43" s="146"/>
      <c r="BQ43" s="146"/>
      <c r="BR43" s="147"/>
      <c r="BS43" s="148"/>
      <c r="BT43" s="149"/>
      <c r="BU43" s="148"/>
      <c r="BV43" s="150"/>
      <c r="BW43" s="151"/>
      <c r="BX43" s="146"/>
      <c r="BY43" s="146"/>
      <c r="BZ43" s="146"/>
      <c r="CA43" s="147"/>
      <c r="CB43" s="148"/>
      <c r="CC43" s="149"/>
      <c r="CD43" s="148"/>
      <c r="CE43" s="150"/>
      <c r="CF43" s="151"/>
      <c r="CG43" s="146"/>
      <c r="CH43" s="146"/>
      <c r="CI43" s="146"/>
      <c r="CJ43" s="147"/>
      <c r="CK43" s="148"/>
      <c r="CL43" s="149"/>
      <c r="CM43" s="148"/>
      <c r="CN43" s="150"/>
      <c r="CO43" s="151"/>
      <c r="CP43" s="146"/>
      <c r="CQ43" s="146"/>
      <c r="CR43" s="146"/>
      <c r="CS43" s="147"/>
      <c r="CT43" s="148"/>
      <c r="CU43" s="149"/>
      <c r="CV43" s="148"/>
      <c r="CW43" s="150"/>
      <c r="CX43" s="151"/>
      <c r="CY43" s="146"/>
      <c r="CZ43" s="146"/>
      <c r="DA43" s="146"/>
      <c r="DB43" s="147"/>
      <c r="DC43" s="148"/>
      <c r="DD43" s="149"/>
      <c r="DE43" s="148"/>
      <c r="DF43" s="150"/>
      <c r="DG43" s="151"/>
      <c r="DH43" s="146"/>
      <c r="DI43" s="146"/>
      <c r="DJ43" s="146"/>
      <c r="DK43" s="147"/>
      <c r="DL43" s="148"/>
      <c r="DM43" s="149"/>
      <c r="DN43" s="148"/>
      <c r="DO43" s="150"/>
      <c r="DP43" s="151"/>
      <c r="DQ43" s="146"/>
      <c r="DR43" s="146"/>
      <c r="DS43" s="146"/>
      <c r="DT43" s="147"/>
      <c r="DU43" s="148"/>
      <c r="DV43" s="149"/>
      <c r="DW43" s="148"/>
      <c r="DX43" s="150"/>
      <c r="DY43" s="151"/>
      <c r="DZ43" s="146"/>
      <c r="EA43" s="146"/>
      <c r="EB43" s="146"/>
      <c r="EC43" s="147"/>
      <c r="ED43" s="148"/>
      <c r="EE43" s="149"/>
      <c r="EF43" s="148"/>
      <c r="EG43" s="150"/>
      <c r="EH43" s="151"/>
      <c r="EI43" s="146"/>
      <c r="EJ43" s="146"/>
      <c r="EK43" s="146"/>
      <c r="EL43" s="147"/>
      <c r="EM43" s="148"/>
      <c r="EN43" s="149"/>
      <c r="EO43" s="148"/>
      <c r="EP43" s="150"/>
      <c r="EQ43" s="151"/>
      <c r="ER43" s="146"/>
      <c r="ES43" s="146"/>
      <c r="ET43" s="146"/>
      <c r="EU43" s="147"/>
      <c r="EV43" s="148"/>
      <c r="EW43" s="149"/>
      <c r="EX43" s="148"/>
      <c r="EY43" s="150"/>
      <c r="EZ43" s="151"/>
      <c r="FA43" s="146"/>
      <c r="FB43" s="146"/>
      <c r="FC43" s="146"/>
      <c r="FD43" s="147"/>
      <c r="FE43" s="148"/>
      <c r="FF43" s="149"/>
      <c r="FG43" s="148"/>
      <c r="FH43" s="150"/>
      <c r="FI43" s="151"/>
      <c r="FJ43" s="146"/>
      <c r="FK43" s="146"/>
      <c r="FL43" s="146"/>
      <c r="FM43" s="147"/>
      <c r="FN43" s="148"/>
      <c r="FO43" s="149"/>
      <c r="FP43" s="148"/>
      <c r="FQ43" s="150"/>
      <c r="FR43" s="151"/>
      <c r="FS43" s="146"/>
      <c r="FT43" s="146"/>
      <c r="FU43" s="146"/>
      <c r="FV43" s="147"/>
      <c r="FW43" s="148"/>
      <c r="FX43" s="149"/>
      <c r="FY43" s="148"/>
      <c r="FZ43" s="150"/>
      <c r="GA43" s="151"/>
      <c r="GB43" s="146"/>
      <c r="GC43" s="146"/>
      <c r="GD43" s="146"/>
      <c r="GE43" s="147"/>
      <c r="GF43" s="148"/>
      <c r="GG43" s="149"/>
      <c r="GH43" s="148"/>
      <c r="GI43" s="150"/>
      <c r="GJ43" s="151"/>
      <c r="GK43" s="146"/>
      <c r="GL43" s="146"/>
      <c r="GM43" s="146"/>
      <c r="GN43" s="147"/>
      <c r="GO43" s="148"/>
      <c r="GP43" s="149"/>
      <c r="GQ43" s="148"/>
      <c r="GR43" s="150"/>
      <c r="GS43" s="151"/>
      <c r="GT43" s="152"/>
      <c r="GU43" s="131"/>
      <c r="GV43" s="130"/>
      <c r="GW43" s="74"/>
      <c r="GX43" s="74"/>
      <c r="GY43" s="167"/>
      <c r="GZ43" s="86"/>
    </row>
    <row r="44" spans="1:208" x14ac:dyDescent="0.25">
      <c r="A44"/>
      <c r="D44" s="35"/>
      <c r="E44" s="36"/>
      <c r="F44" s="37"/>
      <c r="G44" s="38"/>
      <c r="H44" s="39"/>
      <c r="I44" s="40"/>
      <c r="J44" s="68"/>
      <c r="K44" s="407"/>
      <c r="L44" s="70"/>
      <c r="M44" s="71"/>
      <c r="N44" s="119"/>
      <c r="O44" s="72"/>
      <c r="P44" s="113">
        <f t="shared" si="2"/>
        <v>0</v>
      </c>
      <c r="Q44" s="117"/>
      <c r="R44" s="893"/>
      <c r="S44" s="894"/>
      <c r="T44" s="39">
        <f>Q44*O44</f>
        <v>0</v>
      </c>
      <c r="U44" s="375"/>
      <c r="V44" s="144"/>
      <c r="W44" s="377"/>
      <c r="X44" s="146"/>
      <c r="Y44" s="147"/>
      <c r="Z44" s="148"/>
      <c r="AA44" s="149"/>
      <c r="AB44" s="148"/>
      <c r="AC44" s="150"/>
      <c r="AD44" s="151"/>
      <c r="AE44" s="146"/>
      <c r="AF44" s="146"/>
      <c r="AG44" s="146"/>
      <c r="AH44" s="147"/>
      <c r="AI44" s="148"/>
      <c r="AJ44" s="149"/>
      <c r="AK44" s="148"/>
      <c r="AL44" s="150"/>
      <c r="AM44" s="151"/>
      <c r="AN44" s="146"/>
      <c r="AO44" s="146"/>
      <c r="AP44" s="146"/>
      <c r="AQ44" s="147"/>
      <c r="AR44" s="148"/>
      <c r="AS44" s="149"/>
      <c r="AT44" s="148"/>
      <c r="AU44" s="150"/>
      <c r="AV44" s="151"/>
      <c r="AW44" s="146"/>
      <c r="AX44" s="146"/>
      <c r="AY44" s="146"/>
      <c r="AZ44" s="147"/>
      <c r="BA44" s="148"/>
      <c r="BB44" s="149"/>
      <c r="BC44" s="148"/>
      <c r="BD44" s="150"/>
      <c r="BE44" s="151"/>
      <c r="BF44" s="146"/>
      <c r="BG44" s="146"/>
      <c r="BH44" s="146"/>
      <c r="BI44" s="147"/>
      <c r="BJ44" s="148"/>
      <c r="BK44" s="149"/>
      <c r="BL44" s="148"/>
      <c r="BM44" s="150"/>
      <c r="BN44" s="151"/>
      <c r="BO44" s="146"/>
      <c r="BP44" s="146"/>
      <c r="BQ44" s="146"/>
      <c r="BR44" s="147"/>
      <c r="BS44" s="148"/>
      <c r="BT44" s="149"/>
      <c r="BU44" s="148"/>
      <c r="BV44" s="150"/>
      <c r="BW44" s="151"/>
      <c r="BX44" s="146"/>
      <c r="BY44" s="146"/>
      <c r="BZ44" s="146"/>
      <c r="CA44" s="147"/>
      <c r="CB44" s="148"/>
      <c r="CC44" s="149"/>
      <c r="CD44" s="148"/>
      <c r="CE44" s="150"/>
      <c r="CF44" s="151"/>
      <c r="CG44" s="146"/>
      <c r="CH44" s="146"/>
      <c r="CI44" s="146"/>
      <c r="CJ44" s="147"/>
      <c r="CK44" s="148"/>
      <c r="CL44" s="149"/>
      <c r="CM44" s="148"/>
      <c r="CN44" s="150"/>
      <c r="CO44" s="151"/>
      <c r="CP44" s="146"/>
      <c r="CQ44" s="146"/>
      <c r="CR44" s="146"/>
      <c r="CS44" s="147"/>
      <c r="CT44" s="148"/>
      <c r="CU44" s="149"/>
      <c r="CV44" s="148"/>
      <c r="CW44" s="150"/>
      <c r="CX44" s="151"/>
      <c r="CY44" s="146"/>
      <c r="CZ44" s="146"/>
      <c r="DA44" s="146"/>
      <c r="DB44" s="147"/>
      <c r="DC44" s="148"/>
      <c r="DD44" s="149"/>
      <c r="DE44" s="148"/>
      <c r="DF44" s="150"/>
      <c r="DG44" s="151"/>
      <c r="DH44" s="146"/>
      <c r="DI44" s="146"/>
      <c r="DJ44" s="146"/>
      <c r="DK44" s="147"/>
      <c r="DL44" s="148"/>
      <c r="DM44" s="149"/>
      <c r="DN44" s="148"/>
      <c r="DO44" s="150"/>
      <c r="DP44" s="151"/>
      <c r="DQ44" s="146"/>
      <c r="DR44" s="146"/>
      <c r="DS44" s="146"/>
      <c r="DT44" s="147"/>
      <c r="DU44" s="148"/>
      <c r="DV44" s="149"/>
      <c r="DW44" s="148"/>
      <c r="DX44" s="150"/>
      <c r="DY44" s="151"/>
      <c r="DZ44" s="146"/>
      <c r="EA44" s="146"/>
      <c r="EB44" s="146"/>
      <c r="EC44" s="147"/>
      <c r="ED44" s="148"/>
      <c r="EE44" s="149"/>
      <c r="EF44" s="148"/>
      <c r="EG44" s="150"/>
      <c r="EH44" s="151"/>
      <c r="EI44" s="146"/>
      <c r="EJ44" s="146"/>
      <c r="EK44" s="146"/>
      <c r="EL44" s="147"/>
      <c r="EM44" s="148"/>
      <c r="EN44" s="149"/>
      <c r="EO44" s="148"/>
      <c r="EP44" s="150"/>
      <c r="EQ44" s="151"/>
      <c r="ER44" s="146"/>
      <c r="ES44" s="146"/>
      <c r="ET44" s="146"/>
      <c r="EU44" s="147"/>
      <c r="EV44" s="148"/>
      <c r="EW44" s="149"/>
      <c r="EX44" s="148"/>
      <c r="EY44" s="150"/>
      <c r="EZ44" s="151"/>
      <c r="FA44" s="146"/>
      <c r="FB44" s="146"/>
      <c r="FC44" s="146"/>
      <c r="FD44" s="147"/>
      <c r="FE44" s="148"/>
      <c r="FF44" s="149"/>
      <c r="FG44" s="148"/>
      <c r="FH44" s="150"/>
      <c r="FI44" s="151"/>
      <c r="FJ44" s="146"/>
      <c r="FK44" s="146"/>
      <c r="FL44" s="146"/>
      <c r="FM44" s="147"/>
      <c r="FN44" s="148"/>
      <c r="FO44" s="149"/>
      <c r="FP44" s="148"/>
      <c r="FQ44" s="150"/>
      <c r="FR44" s="151"/>
      <c r="FS44" s="146"/>
      <c r="FT44" s="146"/>
      <c r="FU44" s="146"/>
      <c r="FV44" s="147"/>
      <c r="FW44" s="148"/>
      <c r="FX44" s="149"/>
      <c r="FY44" s="148"/>
      <c r="FZ44" s="150"/>
      <c r="GA44" s="151"/>
      <c r="GB44" s="146"/>
      <c r="GC44" s="146"/>
      <c r="GD44" s="146"/>
      <c r="GE44" s="147"/>
      <c r="GF44" s="148"/>
      <c r="GG44" s="149"/>
      <c r="GH44" s="148"/>
      <c r="GI44" s="150"/>
      <c r="GJ44" s="151"/>
      <c r="GK44" s="146"/>
      <c r="GL44" s="146"/>
      <c r="GM44" s="146"/>
      <c r="GN44" s="147"/>
      <c r="GO44" s="148"/>
      <c r="GP44" s="149"/>
      <c r="GQ44" s="148"/>
      <c r="GR44" s="150"/>
      <c r="GS44" s="151"/>
      <c r="GT44" s="152"/>
      <c r="GU44" s="131"/>
      <c r="GV44" s="130"/>
      <c r="GW44" s="74"/>
      <c r="GX44" s="74"/>
      <c r="GY44" s="167"/>
      <c r="GZ44" s="86"/>
    </row>
    <row r="45" spans="1:208" x14ac:dyDescent="0.25">
      <c r="A45"/>
      <c r="D45" s="35"/>
      <c r="E45" s="36"/>
      <c r="F45" s="37"/>
      <c r="G45" s="38"/>
      <c r="H45" s="39"/>
      <c r="I45" s="40"/>
      <c r="J45" s="68"/>
      <c r="K45" s="407"/>
      <c r="L45" s="70"/>
      <c r="M45" s="71"/>
      <c r="N45" s="56"/>
      <c r="O45" s="72"/>
      <c r="P45" s="113">
        <f t="shared" si="2"/>
        <v>0</v>
      </c>
      <c r="Q45" s="117"/>
      <c r="R45" s="117"/>
      <c r="S45" s="117"/>
      <c r="T45" s="39">
        <f t="shared" ref="T45:T52" si="3">Q45*O45+S45+0</f>
        <v>0</v>
      </c>
      <c r="U45" s="375"/>
      <c r="V45" s="144"/>
      <c r="W45" s="377"/>
      <c r="X45" s="146"/>
      <c r="Y45" s="147"/>
      <c r="Z45" s="148"/>
      <c r="AA45" s="149"/>
      <c r="AB45" s="148"/>
      <c r="AC45" s="150"/>
      <c r="AD45" s="151"/>
      <c r="AE45" s="146"/>
      <c r="AF45" s="146"/>
      <c r="AG45" s="146"/>
      <c r="AH45" s="147"/>
      <c r="AI45" s="148"/>
      <c r="AJ45" s="149"/>
      <c r="AK45" s="148"/>
      <c r="AL45" s="150"/>
      <c r="AM45" s="151"/>
      <c r="AN45" s="146"/>
      <c r="AO45" s="146"/>
      <c r="AP45" s="146"/>
      <c r="AQ45" s="147"/>
      <c r="AR45" s="148"/>
      <c r="AS45" s="149"/>
      <c r="AT45" s="148"/>
      <c r="AU45" s="150"/>
      <c r="AV45" s="151"/>
      <c r="AW45" s="146"/>
      <c r="AX45" s="146"/>
      <c r="AY45" s="146"/>
      <c r="AZ45" s="147"/>
      <c r="BA45" s="148"/>
      <c r="BB45" s="149"/>
      <c r="BC45" s="148"/>
      <c r="BD45" s="150"/>
      <c r="BE45" s="151"/>
      <c r="BF45" s="146"/>
      <c r="BG45" s="146"/>
      <c r="BH45" s="146"/>
      <c r="BI45" s="147"/>
      <c r="BJ45" s="148"/>
      <c r="BK45" s="149"/>
      <c r="BL45" s="148"/>
      <c r="BM45" s="150"/>
      <c r="BN45" s="151"/>
      <c r="BO45" s="146"/>
      <c r="BP45" s="146"/>
      <c r="BQ45" s="146"/>
      <c r="BR45" s="147"/>
      <c r="BS45" s="148"/>
      <c r="BT45" s="149"/>
      <c r="BU45" s="148"/>
      <c r="BV45" s="150"/>
      <c r="BW45" s="151"/>
      <c r="BX45" s="146"/>
      <c r="BY45" s="146"/>
      <c r="BZ45" s="146"/>
      <c r="CA45" s="147"/>
      <c r="CB45" s="148"/>
      <c r="CC45" s="149"/>
      <c r="CD45" s="148"/>
      <c r="CE45" s="150"/>
      <c r="CF45" s="151"/>
      <c r="CG45" s="146"/>
      <c r="CH45" s="146"/>
      <c r="CI45" s="146"/>
      <c r="CJ45" s="147"/>
      <c r="CK45" s="148"/>
      <c r="CL45" s="149"/>
      <c r="CM45" s="148"/>
      <c r="CN45" s="150"/>
      <c r="CO45" s="151"/>
      <c r="CP45" s="146"/>
      <c r="CQ45" s="146"/>
      <c r="CR45" s="146"/>
      <c r="CS45" s="147"/>
      <c r="CT45" s="148"/>
      <c r="CU45" s="149"/>
      <c r="CV45" s="148"/>
      <c r="CW45" s="150"/>
      <c r="CX45" s="151"/>
      <c r="CY45" s="146"/>
      <c r="CZ45" s="146"/>
      <c r="DA45" s="146"/>
      <c r="DB45" s="147"/>
      <c r="DC45" s="148"/>
      <c r="DD45" s="149"/>
      <c r="DE45" s="148"/>
      <c r="DF45" s="150"/>
      <c r="DG45" s="151"/>
      <c r="DH45" s="146"/>
      <c r="DI45" s="146"/>
      <c r="DJ45" s="146"/>
      <c r="DK45" s="147"/>
      <c r="DL45" s="148"/>
      <c r="DM45" s="149"/>
      <c r="DN45" s="148"/>
      <c r="DO45" s="150"/>
      <c r="DP45" s="151"/>
      <c r="DQ45" s="146"/>
      <c r="DR45" s="146"/>
      <c r="DS45" s="146"/>
      <c r="DT45" s="147"/>
      <c r="DU45" s="148"/>
      <c r="DV45" s="149"/>
      <c r="DW45" s="148"/>
      <c r="DX45" s="150"/>
      <c r="DY45" s="151"/>
      <c r="DZ45" s="146"/>
      <c r="EA45" s="146"/>
      <c r="EB45" s="146"/>
      <c r="EC45" s="147"/>
      <c r="ED45" s="148"/>
      <c r="EE45" s="149"/>
      <c r="EF45" s="148"/>
      <c r="EG45" s="150"/>
      <c r="EH45" s="151"/>
      <c r="EI45" s="146"/>
      <c r="EJ45" s="146"/>
      <c r="EK45" s="146"/>
      <c r="EL45" s="147"/>
      <c r="EM45" s="148"/>
      <c r="EN45" s="149"/>
      <c r="EO45" s="148"/>
      <c r="EP45" s="150"/>
      <c r="EQ45" s="151"/>
      <c r="ER45" s="146"/>
      <c r="ES45" s="146"/>
      <c r="ET45" s="146"/>
      <c r="EU45" s="147"/>
      <c r="EV45" s="148"/>
      <c r="EW45" s="149"/>
      <c r="EX45" s="148"/>
      <c r="EY45" s="150"/>
      <c r="EZ45" s="151"/>
      <c r="FA45" s="146"/>
      <c r="FB45" s="146"/>
      <c r="FC45" s="146"/>
      <c r="FD45" s="147"/>
      <c r="FE45" s="148"/>
      <c r="FF45" s="149"/>
      <c r="FG45" s="148"/>
      <c r="FH45" s="150"/>
      <c r="FI45" s="151"/>
      <c r="FJ45" s="146"/>
      <c r="FK45" s="146"/>
      <c r="FL45" s="146"/>
      <c r="FM45" s="147"/>
      <c r="FN45" s="148"/>
      <c r="FO45" s="149"/>
      <c r="FP45" s="148"/>
      <c r="FQ45" s="150"/>
      <c r="FR45" s="151"/>
      <c r="FS45" s="146"/>
      <c r="FT45" s="146"/>
      <c r="FU45" s="146"/>
      <c r="FV45" s="147"/>
      <c r="FW45" s="148"/>
      <c r="FX45" s="149"/>
      <c r="FY45" s="148"/>
      <c r="FZ45" s="150"/>
      <c r="GA45" s="151"/>
      <c r="GB45" s="146"/>
      <c r="GC45" s="146"/>
      <c r="GD45" s="146"/>
      <c r="GE45" s="147"/>
      <c r="GF45" s="148"/>
      <c r="GG45" s="149"/>
      <c r="GH45" s="148"/>
      <c r="GI45" s="150"/>
      <c r="GJ45" s="151"/>
      <c r="GK45" s="146"/>
      <c r="GL45" s="146"/>
      <c r="GM45" s="146"/>
      <c r="GN45" s="147"/>
      <c r="GO45" s="148"/>
      <c r="GP45" s="149"/>
      <c r="GQ45" s="148"/>
      <c r="GR45" s="150"/>
      <c r="GS45" s="151"/>
      <c r="GT45" s="152"/>
      <c r="GU45" s="98"/>
      <c r="GV45" s="130"/>
      <c r="GW45" s="74"/>
      <c r="GX45" s="132"/>
      <c r="GY45" s="167"/>
      <c r="GZ45" s="86"/>
    </row>
    <row r="46" spans="1:208" x14ac:dyDescent="0.25">
      <c r="A46"/>
      <c r="D46" s="35"/>
      <c r="E46" s="36"/>
      <c r="F46" s="37"/>
      <c r="G46" s="38"/>
      <c r="H46" s="39"/>
      <c r="I46" s="40"/>
      <c r="J46" s="68"/>
      <c r="K46" s="407"/>
      <c r="L46" s="70"/>
      <c r="M46" s="71"/>
      <c r="N46" s="56"/>
      <c r="O46" s="72"/>
      <c r="P46" s="113">
        <f t="shared" si="2"/>
        <v>0</v>
      </c>
      <c r="Q46" s="117"/>
      <c r="R46" s="117"/>
      <c r="S46" s="117"/>
      <c r="T46" s="39">
        <f t="shared" si="3"/>
        <v>0</v>
      </c>
      <c r="U46" s="115"/>
      <c r="V46" s="112"/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152"/>
      <c r="GU46" s="98"/>
      <c r="GV46" s="130"/>
      <c r="GW46" s="74"/>
      <c r="GX46" s="132"/>
      <c r="GY46" s="167"/>
      <c r="GZ46" s="86"/>
    </row>
    <row r="47" spans="1:208" x14ac:dyDescent="0.25">
      <c r="A47"/>
      <c r="D47" s="35"/>
      <c r="E47" s="36"/>
      <c r="F47" s="37"/>
      <c r="G47" s="38"/>
      <c r="H47" s="39"/>
      <c r="I47" s="40"/>
      <c r="J47" s="68"/>
      <c r="K47" s="407"/>
      <c r="L47" s="70"/>
      <c r="M47" s="71"/>
      <c r="N47" s="56"/>
      <c r="O47" s="72"/>
      <c r="P47" s="113">
        <f t="shared" si="2"/>
        <v>0</v>
      </c>
      <c r="Q47" s="117"/>
      <c r="R47" s="117"/>
      <c r="S47" s="117"/>
      <c r="T47" s="39">
        <f t="shared" si="3"/>
        <v>0</v>
      </c>
      <c r="U47" s="115"/>
      <c r="V47" s="112"/>
      <c r="W47" s="377"/>
      <c r="X47" s="146"/>
      <c r="Y47" s="147"/>
      <c r="Z47" s="148"/>
      <c r="AA47" s="149"/>
      <c r="AB47" s="148"/>
      <c r="AC47" s="150"/>
      <c r="AD47" s="151"/>
      <c r="AE47" s="146"/>
      <c r="AF47" s="146"/>
      <c r="AG47" s="146"/>
      <c r="AH47" s="147"/>
      <c r="AI47" s="148"/>
      <c r="AJ47" s="149"/>
      <c r="AK47" s="148"/>
      <c r="AL47" s="150"/>
      <c r="AM47" s="151"/>
      <c r="AN47" s="146"/>
      <c r="AO47" s="146"/>
      <c r="AP47" s="146"/>
      <c r="AQ47" s="147"/>
      <c r="AR47" s="148"/>
      <c r="AS47" s="149"/>
      <c r="AT47" s="148"/>
      <c r="AU47" s="150"/>
      <c r="AV47" s="151"/>
      <c r="AW47" s="146"/>
      <c r="AX47" s="146"/>
      <c r="AY47" s="146"/>
      <c r="AZ47" s="147"/>
      <c r="BA47" s="148"/>
      <c r="BB47" s="149"/>
      <c r="BC47" s="148"/>
      <c r="BD47" s="150"/>
      <c r="BE47" s="151"/>
      <c r="BF47" s="146"/>
      <c r="BG47" s="146"/>
      <c r="BH47" s="146"/>
      <c r="BI47" s="147"/>
      <c r="BJ47" s="148"/>
      <c r="BK47" s="149"/>
      <c r="BL47" s="148"/>
      <c r="BM47" s="150"/>
      <c r="BN47" s="151"/>
      <c r="BO47" s="146"/>
      <c r="BP47" s="146"/>
      <c r="BQ47" s="146"/>
      <c r="BR47" s="147"/>
      <c r="BS47" s="148"/>
      <c r="BT47" s="149"/>
      <c r="BU47" s="148"/>
      <c r="BV47" s="150"/>
      <c r="BW47" s="151"/>
      <c r="BX47" s="146"/>
      <c r="BY47" s="146"/>
      <c r="BZ47" s="146"/>
      <c r="CA47" s="147"/>
      <c r="CB47" s="148"/>
      <c r="CC47" s="149"/>
      <c r="CD47" s="148"/>
      <c r="CE47" s="150"/>
      <c r="CF47" s="151"/>
      <c r="CG47" s="146"/>
      <c r="CH47" s="146"/>
      <c r="CI47" s="146"/>
      <c r="CJ47" s="147"/>
      <c r="CK47" s="148"/>
      <c r="CL47" s="149"/>
      <c r="CM47" s="148"/>
      <c r="CN47" s="150"/>
      <c r="CO47" s="151"/>
      <c r="CP47" s="146"/>
      <c r="CQ47" s="146"/>
      <c r="CR47" s="146"/>
      <c r="CS47" s="147"/>
      <c r="CT47" s="148"/>
      <c r="CU47" s="149"/>
      <c r="CV47" s="148"/>
      <c r="CW47" s="150"/>
      <c r="CX47" s="151"/>
      <c r="CY47" s="146"/>
      <c r="CZ47" s="146"/>
      <c r="DA47" s="146"/>
      <c r="DB47" s="147"/>
      <c r="DC47" s="148"/>
      <c r="DD47" s="149"/>
      <c r="DE47" s="148"/>
      <c r="DF47" s="150"/>
      <c r="DG47" s="151"/>
      <c r="DH47" s="146"/>
      <c r="DI47" s="146"/>
      <c r="DJ47" s="146"/>
      <c r="DK47" s="147"/>
      <c r="DL47" s="148"/>
      <c r="DM47" s="149"/>
      <c r="DN47" s="148"/>
      <c r="DO47" s="150"/>
      <c r="DP47" s="151"/>
      <c r="DQ47" s="146"/>
      <c r="DR47" s="146"/>
      <c r="DS47" s="146"/>
      <c r="DT47" s="147"/>
      <c r="DU47" s="148"/>
      <c r="DV47" s="149"/>
      <c r="DW47" s="148"/>
      <c r="DX47" s="150"/>
      <c r="DY47" s="151"/>
      <c r="DZ47" s="146"/>
      <c r="EA47" s="146"/>
      <c r="EB47" s="146"/>
      <c r="EC47" s="147"/>
      <c r="ED47" s="148"/>
      <c r="EE47" s="149"/>
      <c r="EF47" s="148"/>
      <c r="EG47" s="150"/>
      <c r="EH47" s="151"/>
      <c r="EI47" s="146"/>
      <c r="EJ47" s="146"/>
      <c r="EK47" s="146"/>
      <c r="EL47" s="147"/>
      <c r="EM47" s="148"/>
      <c r="EN47" s="149"/>
      <c r="EO47" s="148"/>
      <c r="EP47" s="150"/>
      <c r="EQ47" s="151"/>
      <c r="ER47" s="146"/>
      <c r="ES47" s="146"/>
      <c r="ET47" s="146"/>
      <c r="EU47" s="147"/>
      <c r="EV47" s="148"/>
      <c r="EW47" s="149"/>
      <c r="EX47" s="148"/>
      <c r="EY47" s="150"/>
      <c r="EZ47" s="151"/>
      <c r="FA47" s="146"/>
      <c r="FB47" s="146"/>
      <c r="FC47" s="146"/>
      <c r="FD47" s="147"/>
      <c r="FE47" s="148"/>
      <c r="FF47" s="149"/>
      <c r="FG47" s="148"/>
      <c r="FH47" s="150"/>
      <c r="FI47" s="151"/>
      <c r="FJ47" s="146"/>
      <c r="FK47" s="146"/>
      <c r="FL47" s="146"/>
      <c r="FM47" s="147"/>
      <c r="FN47" s="148"/>
      <c r="FO47" s="149"/>
      <c r="FP47" s="148"/>
      <c r="FQ47" s="150"/>
      <c r="FR47" s="151"/>
      <c r="FS47" s="146"/>
      <c r="FT47" s="146"/>
      <c r="FU47" s="146"/>
      <c r="FV47" s="147"/>
      <c r="FW47" s="148"/>
      <c r="FX47" s="149"/>
      <c r="FY47" s="148"/>
      <c r="FZ47" s="150"/>
      <c r="GA47" s="151"/>
      <c r="GB47" s="146"/>
      <c r="GC47" s="146"/>
      <c r="GD47" s="146"/>
      <c r="GE47" s="147"/>
      <c r="GF47" s="148"/>
      <c r="GG47" s="149"/>
      <c r="GH47" s="148"/>
      <c r="GI47" s="150"/>
      <c r="GJ47" s="151"/>
      <c r="GK47" s="146"/>
      <c r="GL47" s="146"/>
      <c r="GM47" s="146"/>
      <c r="GN47" s="147"/>
      <c r="GO47" s="148"/>
      <c r="GP47" s="149"/>
      <c r="GQ47" s="148"/>
      <c r="GR47" s="150"/>
      <c r="GS47" s="151"/>
      <c r="GT47" s="152"/>
      <c r="GU47" s="98"/>
      <c r="GV47" s="130"/>
      <c r="GW47" s="74"/>
      <c r="GX47" s="132"/>
      <c r="GY47" s="167"/>
      <c r="GZ47" s="86"/>
    </row>
    <row r="48" spans="1:208" x14ac:dyDescent="0.25">
      <c r="A48"/>
      <c r="D48" s="35"/>
      <c r="E48" s="36"/>
      <c r="F48" s="37"/>
      <c r="G48" s="38"/>
      <c r="H48" s="39"/>
      <c r="I48" s="40"/>
      <c r="J48" s="68"/>
      <c r="K48" s="407"/>
      <c r="L48" s="70"/>
      <c r="M48" s="71"/>
      <c r="N48" s="56"/>
      <c r="O48" s="72"/>
      <c r="P48" s="113">
        <f t="shared" si="2"/>
        <v>0</v>
      </c>
      <c r="Q48" s="117"/>
      <c r="R48" s="117"/>
      <c r="S48" s="117"/>
      <c r="T48" s="39">
        <f t="shared" si="3"/>
        <v>0</v>
      </c>
      <c r="U48" s="115"/>
      <c r="V48" s="112"/>
      <c r="W48" s="377"/>
      <c r="X48" s="146"/>
      <c r="Y48" s="147"/>
      <c r="Z48" s="148"/>
      <c r="AA48" s="149"/>
      <c r="AB48" s="148"/>
      <c r="AC48" s="150"/>
      <c r="AD48" s="151"/>
      <c r="AE48" s="146"/>
      <c r="AF48" s="146"/>
      <c r="AG48" s="146"/>
      <c r="AH48" s="147"/>
      <c r="AI48" s="148"/>
      <c r="AJ48" s="149"/>
      <c r="AK48" s="148"/>
      <c r="AL48" s="150"/>
      <c r="AM48" s="151"/>
      <c r="AN48" s="146"/>
      <c r="AO48" s="146"/>
      <c r="AP48" s="146"/>
      <c r="AQ48" s="147"/>
      <c r="AR48" s="148"/>
      <c r="AS48" s="149"/>
      <c r="AT48" s="148"/>
      <c r="AU48" s="150"/>
      <c r="AV48" s="151"/>
      <c r="AW48" s="146"/>
      <c r="AX48" s="146"/>
      <c r="AY48" s="146"/>
      <c r="AZ48" s="147"/>
      <c r="BA48" s="148"/>
      <c r="BB48" s="149"/>
      <c r="BC48" s="148"/>
      <c r="BD48" s="150"/>
      <c r="BE48" s="151"/>
      <c r="BF48" s="146"/>
      <c r="BG48" s="146"/>
      <c r="BH48" s="146"/>
      <c r="BI48" s="147"/>
      <c r="BJ48" s="148"/>
      <c r="BK48" s="149"/>
      <c r="BL48" s="148"/>
      <c r="BM48" s="150"/>
      <c r="BN48" s="151"/>
      <c r="BO48" s="146"/>
      <c r="BP48" s="146"/>
      <c r="BQ48" s="146"/>
      <c r="BR48" s="147"/>
      <c r="BS48" s="148"/>
      <c r="BT48" s="149"/>
      <c r="BU48" s="148"/>
      <c r="BV48" s="150"/>
      <c r="BW48" s="151"/>
      <c r="BX48" s="146"/>
      <c r="BY48" s="146"/>
      <c r="BZ48" s="146"/>
      <c r="CA48" s="147"/>
      <c r="CB48" s="148"/>
      <c r="CC48" s="149"/>
      <c r="CD48" s="148"/>
      <c r="CE48" s="150"/>
      <c r="CF48" s="151"/>
      <c r="CG48" s="146"/>
      <c r="CH48" s="146"/>
      <c r="CI48" s="146"/>
      <c r="CJ48" s="147"/>
      <c r="CK48" s="148"/>
      <c r="CL48" s="149"/>
      <c r="CM48" s="148"/>
      <c r="CN48" s="150"/>
      <c r="CO48" s="151"/>
      <c r="CP48" s="146"/>
      <c r="CQ48" s="146"/>
      <c r="CR48" s="146"/>
      <c r="CS48" s="147"/>
      <c r="CT48" s="148"/>
      <c r="CU48" s="149"/>
      <c r="CV48" s="148"/>
      <c r="CW48" s="150"/>
      <c r="CX48" s="151"/>
      <c r="CY48" s="146"/>
      <c r="CZ48" s="146"/>
      <c r="DA48" s="146"/>
      <c r="DB48" s="147"/>
      <c r="DC48" s="148"/>
      <c r="DD48" s="149"/>
      <c r="DE48" s="148"/>
      <c r="DF48" s="150"/>
      <c r="DG48" s="151"/>
      <c r="DH48" s="146"/>
      <c r="DI48" s="146"/>
      <c r="DJ48" s="146"/>
      <c r="DK48" s="147"/>
      <c r="DL48" s="148"/>
      <c r="DM48" s="149"/>
      <c r="DN48" s="148"/>
      <c r="DO48" s="150"/>
      <c r="DP48" s="151"/>
      <c r="DQ48" s="146"/>
      <c r="DR48" s="146"/>
      <c r="DS48" s="146"/>
      <c r="DT48" s="147"/>
      <c r="DU48" s="148"/>
      <c r="DV48" s="149"/>
      <c r="DW48" s="148"/>
      <c r="DX48" s="150"/>
      <c r="DY48" s="151"/>
      <c r="DZ48" s="146"/>
      <c r="EA48" s="146"/>
      <c r="EB48" s="146"/>
      <c r="EC48" s="147"/>
      <c r="ED48" s="148"/>
      <c r="EE48" s="149"/>
      <c r="EF48" s="148"/>
      <c r="EG48" s="150"/>
      <c r="EH48" s="151"/>
      <c r="EI48" s="146"/>
      <c r="EJ48" s="146"/>
      <c r="EK48" s="146"/>
      <c r="EL48" s="147"/>
      <c r="EM48" s="148"/>
      <c r="EN48" s="149"/>
      <c r="EO48" s="148"/>
      <c r="EP48" s="150"/>
      <c r="EQ48" s="151"/>
      <c r="ER48" s="146"/>
      <c r="ES48" s="146"/>
      <c r="ET48" s="146"/>
      <c r="EU48" s="147"/>
      <c r="EV48" s="148"/>
      <c r="EW48" s="149"/>
      <c r="EX48" s="148"/>
      <c r="EY48" s="150"/>
      <c r="EZ48" s="151"/>
      <c r="FA48" s="146"/>
      <c r="FB48" s="146"/>
      <c r="FC48" s="146"/>
      <c r="FD48" s="147"/>
      <c r="FE48" s="148"/>
      <c r="FF48" s="149"/>
      <c r="FG48" s="148"/>
      <c r="FH48" s="150"/>
      <c r="FI48" s="151"/>
      <c r="FJ48" s="146"/>
      <c r="FK48" s="146"/>
      <c r="FL48" s="146"/>
      <c r="FM48" s="147"/>
      <c r="FN48" s="148"/>
      <c r="FO48" s="149"/>
      <c r="FP48" s="148"/>
      <c r="FQ48" s="150"/>
      <c r="FR48" s="151"/>
      <c r="FS48" s="146"/>
      <c r="FT48" s="146"/>
      <c r="FU48" s="146"/>
      <c r="FV48" s="147"/>
      <c r="FW48" s="148"/>
      <c r="FX48" s="149"/>
      <c r="FY48" s="148"/>
      <c r="FZ48" s="150"/>
      <c r="GA48" s="151"/>
      <c r="GB48" s="146"/>
      <c r="GC48" s="146"/>
      <c r="GD48" s="146"/>
      <c r="GE48" s="147"/>
      <c r="GF48" s="148"/>
      <c r="GG48" s="149"/>
      <c r="GH48" s="148"/>
      <c r="GI48" s="150"/>
      <c r="GJ48" s="151"/>
      <c r="GK48" s="146"/>
      <c r="GL48" s="146"/>
      <c r="GM48" s="146"/>
      <c r="GN48" s="147"/>
      <c r="GO48" s="148"/>
      <c r="GP48" s="149"/>
      <c r="GQ48" s="148"/>
      <c r="GR48" s="150"/>
      <c r="GS48" s="151"/>
      <c r="GT48" s="152"/>
      <c r="GU48" s="98"/>
      <c r="GV48" s="130"/>
      <c r="GW48" s="74"/>
      <c r="GX48" s="132"/>
      <c r="GY48" s="167"/>
      <c r="GZ48" s="86"/>
    </row>
    <row r="49" spans="1:208" x14ac:dyDescent="0.25">
      <c r="A49"/>
      <c r="D49" s="35"/>
      <c r="E49" s="36"/>
      <c r="F49" s="37"/>
      <c r="G49" s="38"/>
      <c r="H49" s="39"/>
      <c r="I49" s="40"/>
      <c r="J49" s="68"/>
      <c r="K49" s="407"/>
      <c r="L49" s="70"/>
      <c r="M49" s="71"/>
      <c r="N49" s="56"/>
      <c r="O49" s="72"/>
      <c r="P49" s="113">
        <f t="shared" si="2"/>
        <v>0</v>
      </c>
      <c r="Q49" s="117"/>
      <c r="R49" s="117"/>
      <c r="S49" s="117"/>
      <c r="T49" s="39">
        <f t="shared" si="3"/>
        <v>0</v>
      </c>
      <c r="U49" s="115"/>
      <c r="V49" s="112"/>
      <c r="W49" s="377"/>
      <c r="X49" s="146"/>
      <c r="Y49" s="147"/>
      <c r="Z49" s="148"/>
      <c r="AA49" s="149"/>
      <c r="AB49" s="148"/>
      <c r="AC49" s="150"/>
      <c r="AD49" s="151"/>
      <c r="AE49" s="146"/>
      <c r="AF49" s="146"/>
      <c r="AG49" s="146"/>
      <c r="AH49" s="147"/>
      <c r="AI49" s="148"/>
      <c r="AJ49" s="149"/>
      <c r="AK49" s="148"/>
      <c r="AL49" s="150"/>
      <c r="AM49" s="151"/>
      <c r="AN49" s="146"/>
      <c r="AO49" s="146"/>
      <c r="AP49" s="146"/>
      <c r="AQ49" s="147"/>
      <c r="AR49" s="148"/>
      <c r="AS49" s="149"/>
      <c r="AT49" s="148"/>
      <c r="AU49" s="150"/>
      <c r="AV49" s="151"/>
      <c r="AW49" s="146"/>
      <c r="AX49" s="146"/>
      <c r="AY49" s="146"/>
      <c r="AZ49" s="147"/>
      <c r="BA49" s="148"/>
      <c r="BB49" s="149"/>
      <c r="BC49" s="148"/>
      <c r="BD49" s="150"/>
      <c r="BE49" s="151"/>
      <c r="BF49" s="146"/>
      <c r="BG49" s="146"/>
      <c r="BH49" s="146"/>
      <c r="BI49" s="147"/>
      <c r="BJ49" s="148"/>
      <c r="BK49" s="149"/>
      <c r="BL49" s="148"/>
      <c r="BM49" s="150"/>
      <c r="BN49" s="151"/>
      <c r="BO49" s="146"/>
      <c r="BP49" s="146"/>
      <c r="BQ49" s="146"/>
      <c r="BR49" s="147"/>
      <c r="BS49" s="148"/>
      <c r="BT49" s="149"/>
      <c r="BU49" s="148"/>
      <c r="BV49" s="150"/>
      <c r="BW49" s="151"/>
      <c r="BX49" s="146"/>
      <c r="BY49" s="146"/>
      <c r="BZ49" s="146"/>
      <c r="CA49" s="147"/>
      <c r="CB49" s="148"/>
      <c r="CC49" s="149"/>
      <c r="CD49" s="148"/>
      <c r="CE49" s="150"/>
      <c r="CF49" s="151"/>
      <c r="CG49" s="146"/>
      <c r="CH49" s="146"/>
      <c r="CI49" s="146"/>
      <c r="CJ49" s="147"/>
      <c r="CK49" s="148"/>
      <c r="CL49" s="149"/>
      <c r="CM49" s="148"/>
      <c r="CN49" s="150"/>
      <c r="CO49" s="151"/>
      <c r="CP49" s="146"/>
      <c r="CQ49" s="146"/>
      <c r="CR49" s="146"/>
      <c r="CS49" s="147"/>
      <c r="CT49" s="148"/>
      <c r="CU49" s="149"/>
      <c r="CV49" s="148"/>
      <c r="CW49" s="150"/>
      <c r="CX49" s="151"/>
      <c r="CY49" s="146"/>
      <c r="CZ49" s="146"/>
      <c r="DA49" s="146"/>
      <c r="DB49" s="147"/>
      <c r="DC49" s="148"/>
      <c r="DD49" s="149"/>
      <c r="DE49" s="148"/>
      <c r="DF49" s="150"/>
      <c r="DG49" s="151"/>
      <c r="DH49" s="146"/>
      <c r="DI49" s="146"/>
      <c r="DJ49" s="146"/>
      <c r="DK49" s="147"/>
      <c r="DL49" s="148"/>
      <c r="DM49" s="149"/>
      <c r="DN49" s="148"/>
      <c r="DO49" s="150"/>
      <c r="DP49" s="151"/>
      <c r="DQ49" s="146"/>
      <c r="DR49" s="146"/>
      <c r="DS49" s="146"/>
      <c r="DT49" s="147"/>
      <c r="DU49" s="148"/>
      <c r="DV49" s="149"/>
      <c r="DW49" s="148"/>
      <c r="DX49" s="150"/>
      <c r="DY49" s="151"/>
      <c r="DZ49" s="146"/>
      <c r="EA49" s="146"/>
      <c r="EB49" s="146"/>
      <c r="EC49" s="147"/>
      <c r="ED49" s="148"/>
      <c r="EE49" s="149"/>
      <c r="EF49" s="148"/>
      <c r="EG49" s="150"/>
      <c r="EH49" s="151"/>
      <c r="EI49" s="146"/>
      <c r="EJ49" s="146"/>
      <c r="EK49" s="146"/>
      <c r="EL49" s="147"/>
      <c r="EM49" s="148"/>
      <c r="EN49" s="149"/>
      <c r="EO49" s="148"/>
      <c r="EP49" s="150"/>
      <c r="EQ49" s="151"/>
      <c r="ER49" s="146"/>
      <c r="ES49" s="146"/>
      <c r="ET49" s="146"/>
      <c r="EU49" s="147"/>
      <c r="EV49" s="148"/>
      <c r="EW49" s="149"/>
      <c r="EX49" s="148"/>
      <c r="EY49" s="150"/>
      <c r="EZ49" s="151"/>
      <c r="FA49" s="146"/>
      <c r="FB49" s="146"/>
      <c r="FC49" s="146"/>
      <c r="FD49" s="147"/>
      <c r="FE49" s="148"/>
      <c r="FF49" s="149"/>
      <c r="FG49" s="148"/>
      <c r="FH49" s="150"/>
      <c r="FI49" s="151"/>
      <c r="FJ49" s="146"/>
      <c r="FK49" s="146"/>
      <c r="FL49" s="146"/>
      <c r="FM49" s="147"/>
      <c r="FN49" s="148"/>
      <c r="FO49" s="149"/>
      <c r="FP49" s="148"/>
      <c r="FQ49" s="150"/>
      <c r="FR49" s="151"/>
      <c r="FS49" s="146"/>
      <c r="FT49" s="146"/>
      <c r="FU49" s="146"/>
      <c r="FV49" s="147"/>
      <c r="FW49" s="148"/>
      <c r="FX49" s="149"/>
      <c r="FY49" s="148"/>
      <c r="FZ49" s="150"/>
      <c r="GA49" s="151"/>
      <c r="GB49" s="146"/>
      <c r="GC49" s="146"/>
      <c r="GD49" s="146"/>
      <c r="GE49" s="147"/>
      <c r="GF49" s="148"/>
      <c r="GG49" s="149"/>
      <c r="GH49" s="148"/>
      <c r="GI49" s="150"/>
      <c r="GJ49" s="151"/>
      <c r="GK49" s="146"/>
      <c r="GL49" s="146"/>
      <c r="GM49" s="146"/>
      <c r="GN49" s="147"/>
      <c r="GO49" s="148"/>
      <c r="GP49" s="149"/>
      <c r="GQ49" s="148"/>
      <c r="GR49" s="150"/>
      <c r="GS49" s="151"/>
      <c r="GT49" s="152"/>
      <c r="GU49" s="98"/>
      <c r="GV49" s="130"/>
      <c r="GW49" s="74"/>
      <c r="GX49" s="132"/>
      <c r="GY49" s="167"/>
      <c r="GZ49" s="86"/>
    </row>
    <row r="50" spans="1:208" x14ac:dyDescent="0.25">
      <c r="A50"/>
      <c r="D50" s="35"/>
      <c r="E50" s="36"/>
      <c r="F50" s="37"/>
      <c r="G50" s="38"/>
      <c r="H50" s="39"/>
      <c r="I50" s="40"/>
      <c r="J50" s="76"/>
      <c r="K50" s="407"/>
      <c r="L50" s="70"/>
      <c r="M50" s="71"/>
      <c r="N50" s="119"/>
      <c r="O50" s="72"/>
      <c r="P50" s="113">
        <f t="shared" si="2"/>
        <v>0</v>
      </c>
      <c r="Q50" s="117"/>
      <c r="R50" s="117"/>
      <c r="S50" s="117"/>
      <c r="T50" s="39">
        <f t="shared" si="3"/>
        <v>0</v>
      </c>
      <c r="U50" s="375"/>
      <c r="V50" s="144"/>
      <c r="W50" s="377"/>
      <c r="X50" s="146"/>
      <c r="Y50" s="147"/>
      <c r="Z50" s="148"/>
      <c r="AA50" s="149"/>
      <c r="AB50" s="148"/>
      <c r="AC50" s="150"/>
      <c r="AD50" s="151"/>
      <c r="AE50" s="146"/>
      <c r="AF50" s="146"/>
      <c r="AG50" s="146"/>
      <c r="AH50" s="147"/>
      <c r="AI50" s="148"/>
      <c r="AJ50" s="149"/>
      <c r="AK50" s="148"/>
      <c r="AL50" s="150"/>
      <c r="AM50" s="151"/>
      <c r="AN50" s="146"/>
      <c r="AO50" s="146"/>
      <c r="AP50" s="146"/>
      <c r="AQ50" s="147"/>
      <c r="AR50" s="148"/>
      <c r="AS50" s="149"/>
      <c r="AT50" s="148"/>
      <c r="AU50" s="150"/>
      <c r="AV50" s="151"/>
      <c r="AW50" s="146"/>
      <c r="AX50" s="146"/>
      <c r="AY50" s="146"/>
      <c r="AZ50" s="147"/>
      <c r="BA50" s="148"/>
      <c r="BB50" s="149"/>
      <c r="BC50" s="148"/>
      <c r="BD50" s="150"/>
      <c r="BE50" s="151"/>
      <c r="BF50" s="146"/>
      <c r="BG50" s="146"/>
      <c r="BH50" s="146"/>
      <c r="BI50" s="147"/>
      <c r="BJ50" s="148"/>
      <c r="BK50" s="149"/>
      <c r="BL50" s="148"/>
      <c r="BM50" s="150"/>
      <c r="BN50" s="151"/>
      <c r="BO50" s="146"/>
      <c r="BP50" s="146"/>
      <c r="BQ50" s="146"/>
      <c r="BR50" s="147"/>
      <c r="BS50" s="148"/>
      <c r="BT50" s="149"/>
      <c r="BU50" s="148"/>
      <c r="BV50" s="150"/>
      <c r="BW50" s="151"/>
      <c r="BX50" s="146"/>
      <c r="BY50" s="146"/>
      <c r="BZ50" s="146"/>
      <c r="CA50" s="147"/>
      <c r="CB50" s="148"/>
      <c r="CC50" s="149"/>
      <c r="CD50" s="148"/>
      <c r="CE50" s="150"/>
      <c r="CF50" s="151"/>
      <c r="CG50" s="146"/>
      <c r="CH50" s="146"/>
      <c r="CI50" s="146"/>
      <c r="CJ50" s="147"/>
      <c r="CK50" s="148"/>
      <c r="CL50" s="149"/>
      <c r="CM50" s="148"/>
      <c r="CN50" s="150"/>
      <c r="CO50" s="151"/>
      <c r="CP50" s="146"/>
      <c r="CQ50" s="146"/>
      <c r="CR50" s="146"/>
      <c r="CS50" s="147"/>
      <c r="CT50" s="148"/>
      <c r="CU50" s="149"/>
      <c r="CV50" s="148"/>
      <c r="CW50" s="150"/>
      <c r="CX50" s="151"/>
      <c r="CY50" s="146"/>
      <c r="CZ50" s="146"/>
      <c r="DA50" s="146"/>
      <c r="DB50" s="147"/>
      <c r="DC50" s="148"/>
      <c r="DD50" s="149"/>
      <c r="DE50" s="148"/>
      <c r="DF50" s="150"/>
      <c r="DG50" s="151"/>
      <c r="DH50" s="146"/>
      <c r="DI50" s="146"/>
      <c r="DJ50" s="146"/>
      <c r="DK50" s="147"/>
      <c r="DL50" s="148"/>
      <c r="DM50" s="149"/>
      <c r="DN50" s="148"/>
      <c r="DO50" s="150"/>
      <c r="DP50" s="151"/>
      <c r="DQ50" s="146"/>
      <c r="DR50" s="146"/>
      <c r="DS50" s="146"/>
      <c r="DT50" s="147"/>
      <c r="DU50" s="148"/>
      <c r="DV50" s="149"/>
      <c r="DW50" s="148"/>
      <c r="DX50" s="150"/>
      <c r="DY50" s="151"/>
      <c r="DZ50" s="146"/>
      <c r="EA50" s="146"/>
      <c r="EB50" s="146"/>
      <c r="EC50" s="147"/>
      <c r="ED50" s="148"/>
      <c r="EE50" s="149"/>
      <c r="EF50" s="148"/>
      <c r="EG50" s="150"/>
      <c r="EH50" s="151"/>
      <c r="EI50" s="146"/>
      <c r="EJ50" s="146"/>
      <c r="EK50" s="146"/>
      <c r="EL50" s="147"/>
      <c r="EM50" s="148"/>
      <c r="EN50" s="149"/>
      <c r="EO50" s="148"/>
      <c r="EP50" s="150"/>
      <c r="EQ50" s="151"/>
      <c r="ER50" s="146"/>
      <c r="ES50" s="146"/>
      <c r="ET50" s="146"/>
      <c r="EU50" s="147"/>
      <c r="EV50" s="148"/>
      <c r="EW50" s="149"/>
      <c r="EX50" s="148"/>
      <c r="EY50" s="150"/>
      <c r="EZ50" s="151"/>
      <c r="FA50" s="146"/>
      <c r="FB50" s="146"/>
      <c r="FC50" s="146"/>
      <c r="FD50" s="147"/>
      <c r="FE50" s="148"/>
      <c r="FF50" s="149"/>
      <c r="FG50" s="148"/>
      <c r="FH50" s="150"/>
      <c r="FI50" s="151"/>
      <c r="FJ50" s="146"/>
      <c r="FK50" s="146"/>
      <c r="FL50" s="146"/>
      <c r="FM50" s="147"/>
      <c r="FN50" s="148"/>
      <c r="FO50" s="149"/>
      <c r="FP50" s="148"/>
      <c r="FQ50" s="150"/>
      <c r="FR50" s="151"/>
      <c r="FS50" s="146"/>
      <c r="FT50" s="146"/>
      <c r="FU50" s="146"/>
      <c r="FV50" s="147"/>
      <c r="FW50" s="148"/>
      <c r="FX50" s="149"/>
      <c r="FY50" s="148"/>
      <c r="FZ50" s="150"/>
      <c r="GA50" s="151"/>
      <c r="GB50" s="146"/>
      <c r="GC50" s="146"/>
      <c r="GD50" s="146"/>
      <c r="GE50" s="147"/>
      <c r="GF50" s="148"/>
      <c r="GG50" s="149"/>
      <c r="GH50" s="148"/>
      <c r="GI50" s="150"/>
      <c r="GJ50" s="151"/>
      <c r="GK50" s="146"/>
      <c r="GL50" s="146"/>
      <c r="GM50" s="146"/>
      <c r="GN50" s="147"/>
      <c r="GO50" s="148"/>
      <c r="GP50" s="149"/>
      <c r="GQ50" s="148"/>
      <c r="GR50" s="150"/>
      <c r="GS50" s="151"/>
      <c r="GT50" s="378"/>
      <c r="GU50" s="98"/>
      <c r="GV50" s="130"/>
      <c r="GW50" s="74"/>
      <c r="GX50" s="74"/>
      <c r="GY50" s="167"/>
      <c r="GZ50" s="86"/>
    </row>
    <row r="51" spans="1:208" x14ac:dyDescent="0.25">
      <c r="A51"/>
      <c r="D51" s="35"/>
      <c r="E51" s="36"/>
      <c r="F51" s="37"/>
      <c r="G51" s="38"/>
      <c r="H51" s="39"/>
      <c r="I51" s="40"/>
      <c r="J51" s="76"/>
      <c r="K51" s="451"/>
      <c r="L51" s="70"/>
      <c r="M51" s="71"/>
      <c r="N51" s="119"/>
      <c r="O51" s="72"/>
      <c r="P51" s="113">
        <f t="shared" si="2"/>
        <v>0</v>
      </c>
      <c r="Q51" s="117"/>
      <c r="R51" s="117"/>
      <c r="S51" s="117"/>
      <c r="T51" s="39">
        <f t="shared" si="3"/>
        <v>0</v>
      </c>
      <c r="U51" s="375"/>
      <c r="V51" s="144"/>
      <c r="W51" s="377"/>
      <c r="X51" s="146"/>
      <c r="Y51" s="147"/>
      <c r="Z51" s="148"/>
      <c r="AA51" s="149"/>
      <c r="AB51" s="148"/>
      <c r="AC51" s="150"/>
      <c r="AD51" s="151"/>
      <c r="AE51" s="146"/>
      <c r="AF51" s="146"/>
      <c r="AG51" s="146"/>
      <c r="AH51" s="147"/>
      <c r="AI51" s="148"/>
      <c r="AJ51" s="149"/>
      <c r="AK51" s="148"/>
      <c r="AL51" s="150"/>
      <c r="AM51" s="151"/>
      <c r="AN51" s="146"/>
      <c r="AO51" s="146"/>
      <c r="AP51" s="146"/>
      <c r="AQ51" s="147"/>
      <c r="AR51" s="148"/>
      <c r="AS51" s="149"/>
      <c r="AT51" s="148"/>
      <c r="AU51" s="150"/>
      <c r="AV51" s="151"/>
      <c r="AW51" s="146"/>
      <c r="AX51" s="146"/>
      <c r="AY51" s="146"/>
      <c r="AZ51" s="147"/>
      <c r="BA51" s="148"/>
      <c r="BB51" s="149"/>
      <c r="BC51" s="148"/>
      <c r="BD51" s="150"/>
      <c r="BE51" s="151"/>
      <c r="BF51" s="146"/>
      <c r="BG51" s="146"/>
      <c r="BH51" s="146"/>
      <c r="BI51" s="147"/>
      <c r="BJ51" s="148"/>
      <c r="BK51" s="149"/>
      <c r="BL51" s="148"/>
      <c r="BM51" s="150"/>
      <c r="BN51" s="151"/>
      <c r="BO51" s="146"/>
      <c r="BP51" s="146"/>
      <c r="BQ51" s="146"/>
      <c r="BR51" s="147"/>
      <c r="BS51" s="148"/>
      <c r="BT51" s="149"/>
      <c r="BU51" s="148"/>
      <c r="BV51" s="150"/>
      <c r="BW51" s="151"/>
      <c r="BX51" s="146"/>
      <c r="BY51" s="146"/>
      <c r="BZ51" s="146"/>
      <c r="CA51" s="147"/>
      <c r="CB51" s="148"/>
      <c r="CC51" s="149"/>
      <c r="CD51" s="148"/>
      <c r="CE51" s="150"/>
      <c r="CF51" s="151"/>
      <c r="CG51" s="146"/>
      <c r="CH51" s="146"/>
      <c r="CI51" s="146"/>
      <c r="CJ51" s="147"/>
      <c r="CK51" s="148"/>
      <c r="CL51" s="149"/>
      <c r="CM51" s="148"/>
      <c r="CN51" s="150"/>
      <c r="CO51" s="151"/>
      <c r="CP51" s="146"/>
      <c r="CQ51" s="146"/>
      <c r="CR51" s="146"/>
      <c r="CS51" s="147"/>
      <c r="CT51" s="148"/>
      <c r="CU51" s="149"/>
      <c r="CV51" s="148"/>
      <c r="CW51" s="150"/>
      <c r="CX51" s="151"/>
      <c r="CY51" s="146"/>
      <c r="CZ51" s="146"/>
      <c r="DA51" s="146"/>
      <c r="DB51" s="147"/>
      <c r="DC51" s="148"/>
      <c r="DD51" s="149"/>
      <c r="DE51" s="148"/>
      <c r="DF51" s="150"/>
      <c r="DG51" s="151"/>
      <c r="DH51" s="146"/>
      <c r="DI51" s="146"/>
      <c r="DJ51" s="146"/>
      <c r="DK51" s="147"/>
      <c r="DL51" s="148"/>
      <c r="DM51" s="149"/>
      <c r="DN51" s="148"/>
      <c r="DO51" s="150"/>
      <c r="DP51" s="151"/>
      <c r="DQ51" s="146"/>
      <c r="DR51" s="146"/>
      <c r="DS51" s="146"/>
      <c r="DT51" s="147"/>
      <c r="DU51" s="148"/>
      <c r="DV51" s="149"/>
      <c r="DW51" s="148"/>
      <c r="DX51" s="150"/>
      <c r="DY51" s="151"/>
      <c r="DZ51" s="146"/>
      <c r="EA51" s="146"/>
      <c r="EB51" s="146"/>
      <c r="EC51" s="147"/>
      <c r="ED51" s="148"/>
      <c r="EE51" s="149"/>
      <c r="EF51" s="148"/>
      <c r="EG51" s="150"/>
      <c r="EH51" s="151"/>
      <c r="EI51" s="146"/>
      <c r="EJ51" s="146"/>
      <c r="EK51" s="146"/>
      <c r="EL51" s="147"/>
      <c r="EM51" s="148"/>
      <c r="EN51" s="149"/>
      <c r="EO51" s="148"/>
      <c r="EP51" s="150"/>
      <c r="EQ51" s="151"/>
      <c r="ER51" s="146"/>
      <c r="ES51" s="146"/>
      <c r="ET51" s="146"/>
      <c r="EU51" s="147"/>
      <c r="EV51" s="148"/>
      <c r="EW51" s="149"/>
      <c r="EX51" s="148"/>
      <c r="EY51" s="150"/>
      <c r="EZ51" s="151"/>
      <c r="FA51" s="146"/>
      <c r="FB51" s="146"/>
      <c r="FC51" s="146"/>
      <c r="FD51" s="147"/>
      <c r="FE51" s="148"/>
      <c r="FF51" s="149"/>
      <c r="FG51" s="148"/>
      <c r="FH51" s="150"/>
      <c r="FI51" s="151"/>
      <c r="FJ51" s="146"/>
      <c r="FK51" s="146"/>
      <c r="FL51" s="146"/>
      <c r="FM51" s="147"/>
      <c r="FN51" s="148"/>
      <c r="FO51" s="149"/>
      <c r="FP51" s="148"/>
      <c r="FQ51" s="150"/>
      <c r="FR51" s="151"/>
      <c r="FS51" s="146"/>
      <c r="FT51" s="146"/>
      <c r="FU51" s="146"/>
      <c r="FV51" s="147"/>
      <c r="FW51" s="148"/>
      <c r="FX51" s="149"/>
      <c r="FY51" s="148"/>
      <c r="FZ51" s="150"/>
      <c r="GA51" s="151"/>
      <c r="GB51" s="146"/>
      <c r="GC51" s="146"/>
      <c r="GD51" s="146"/>
      <c r="GE51" s="147"/>
      <c r="GF51" s="148"/>
      <c r="GG51" s="149"/>
      <c r="GH51" s="148"/>
      <c r="GI51" s="150"/>
      <c r="GJ51" s="151"/>
      <c r="GK51" s="146"/>
      <c r="GL51" s="146"/>
      <c r="GM51" s="146"/>
      <c r="GN51" s="147"/>
      <c r="GO51" s="148"/>
      <c r="GP51" s="149"/>
      <c r="GQ51" s="148"/>
      <c r="GR51" s="150"/>
      <c r="GS51" s="151"/>
      <c r="GT51" s="378"/>
      <c r="GU51" s="98"/>
      <c r="GV51" s="133"/>
      <c r="GW51" s="134"/>
      <c r="GX51" s="134"/>
      <c r="GY51" s="167"/>
      <c r="GZ51" s="86"/>
    </row>
    <row r="52" spans="1:208" x14ac:dyDescent="0.25">
      <c r="A52"/>
      <c r="D52" s="35"/>
      <c r="E52" s="36"/>
      <c r="F52" s="37"/>
      <c r="G52" s="38"/>
      <c r="H52" s="39"/>
      <c r="I52" s="40"/>
      <c r="J52" s="68"/>
      <c r="K52" s="407"/>
      <c r="L52" s="70"/>
      <c r="M52" s="71"/>
      <c r="N52" s="119"/>
      <c r="O52" s="72"/>
      <c r="P52" s="113">
        <f t="shared" si="2"/>
        <v>0</v>
      </c>
      <c r="Q52" s="117"/>
      <c r="R52" s="117"/>
      <c r="S52" s="117"/>
      <c r="T52" s="39">
        <f t="shared" si="3"/>
        <v>0</v>
      </c>
      <c r="U52" s="115"/>
      <c r="V52" s="112"/>
      <c r="W52" s="118"/>
      <c r="X52" s="17"/>
      <c r="Y52" s="20"/>
      <c r="Z52" s="92"/>
      <c r="AA52" s="93"/>
      <c r="AB52" s="92"/>
      <c r="AC52" s="94"/>
      <c r="AD52" s="95"/>
      <c r="AE52" s="17"/>
      <c r="AF52" s="17"/>
      <c r="AG52" s="17"/>
      <c r="AH52" s="20"/>
      <c r="AI52" s="92"/>
      <c r="AJ52" s="93"/>
      <c r="AK52" s="92"/>
      <c r="AL52" s="94"/>
      <c r="AM52" s="95"/>
      <c r="AN52" s="17"/>
      <c r="AO52" s="17"/>
      <c r="AP52" s="17"/>
      <c r="AQ52" s="20"/>
      <c r="AR52" s="92"/>
      <c r="AS52" s="93"/>
      <c r="AT52" s="92"/>
      <c r="AU52" s="94"/>
      <c r="AV52" s="95"/>
      <c r="AW52" s="17"/>
      <c r="AX52" s="17"/>
      <c r="AY52" s="17"/>
      <c r="AZ52" s="20"/>
      <c r="BA52" s="92"/>
      <c r="BB52" s="93"/>
      <c r="BC52" s="92"/>
      <c r="BD52" s="94"/>
      <c r="BE52" s="95"/>
      <c r="BF52" s="17"/>
      <c r="BG52" s="17"/>
      <c r="BH52" s="17"/>
      <c r="BI52" s="20"/>
      <c r="BJ52" s="92"/>
      <c r="BK52" s="93"/>
      <c r="BL52" s="92"/>
      <c r="BM52" s="94"/>
      <c r="BN52" s="95"/>
      <c r="BO52" s="17"/>
      <c r="BP52" s="17"/>
      <c r="BQ52" s="17"/>
      <c r="BR52" s="20"/>
      <c r="BS52" s="92"/>
      <c r="BT52" s="93"/>
      <c r="BU52" s="92"/>
      <c r="BV52" s="94"/>
      <c r="BW52" s="95"/>
      <c r="BX52" s="17"/>
      <c r="BY52" s="17"/>
      <c r="BZ52" s="17"/>
      <c r="CA52" s="20"/>
      <c r="CB52" s="92"/>
      <c r="CC52" s="93"/>
      <c r="CD52" s="92"/>
      <c r="CE52" s="94"/>
      <c r="CF52" s="95"/>
      <c r="CG52" s="17"/>
      <c r="CH52" s="17"/>
      <c r="CI52" s="17"/>
      <c r="CJ52" s="20"/>
      <c r="CK52" s="92"/>
      <c r="CL52" s="93"/>
      <c r="CM52" s="92"/>
      <c r="CN52" s="94"/>
      <c r="CO52" s="95"/>
      <c r="CP52" s="17"/>
      <c r="CQ52" s="17"/>
      <c r="CR52" s="17"/>
      <c r="CS52" s="20"/>
      <c r="CT52" s="92"/>
      <c r="CU52" s="93"/>
      <c r="CV52" s="92"/>
      <c r="CW52" s="94"/>
      <c r="CX52" s="95"/>
      <c r="CY52" s="17"/>
      <c r="CZ52" s="17"/>
      <c r="DA52" s="17"/>
      <c r="DB52" s="20"/>
      <c r="DC52" s="92"/>
      <c r="DD52" s="93"/>
      <c r="DE52" s="92"/>
      <c r="DF52" s="94"/>
      <c r="DG52" s="95"/>
      <c r="DH52" s="17"/>
      <c r="DI52" s="17"/>
      <c r="DJ52" s="17"/>
      <c r="DK52" s="20"/>
      <c r="DL52" s="92"/>
      <c r="DM52" s="93"/>
      <c r="DN52" s="92"/>
      <c r="DO52" s="94"/>
      <c r="DP52" s="95"/>
      <c r="DQ52" s="17"/>
      <c r="DR52" s="17"/>
      <c r="DS52" s="17"/>
      <c r="DT52" s="20"/>
      <c r="DU52" s="92"/>
      <c r="DV52" s="93"/>
      <c r="DW52" s="92"/>
      <c r="DX52" s="94"/>
      <c r="DY52" s="95"/>
      <c r="DZ52" s="17"/>
      <c r="EA52" s="17"/>
      <c r="EB52" s="17"/>
      <c r="EC52" s="20"/>
      <c r="ED52" s="92"/>
      <c r="EE52" s="93"/>
      <c r="EF52" s="92"/>
      <c r="EG52" s="94"/>
      <c r="EH52" s="95"/>
      <c r="EI52" s="17"/>
      <c r="EJ52" s="17"/>
      <c r="EK52" s="17"/>
      <c r="EL52" s="20"/>
      <c r="EM52" s="92"/>
      <c r="EN52" s="93"/>
      <c r="EO52" s="92"/>
      <c r="EP52" s="94"/>
      <c r="EQ52" s="95"/>
      <c r="ER52" s="17"/>
      <c r="ES52" s="17"/>
      <c r="ET52" s="17"/>
      <c r="EU52" s="20"/>
      <c r="EV52" s="92"/>
      <c r="EW52" s="93"/>
      <c r="EX52" s="92"/>
      <c r="EY52" s="94"/>
      <c r="EZ52" s="95"/>
      <c r="FA52" s="17"/>
      <c r="FB52" s="17"/>
      <c r="FC52" s="17"/>
      <c r="FD52" s="20"/>
      <c r="FE52" s="92"/>
      <c r="FF52" s="93"/>
      <c r="FG52" s="92"/>
      <c r="FH52" s="94"/>
      <c r="FI52" s="95"/>
      <c r="FJ52" s="17"/>
      <c r="FK52" s="17"/>
      <c r="FL52" s="17"/>
      <c r="FM52" s="20"/>
      <c r="FN52" s="92"/>
      <c r="FO52" s="93"/>
      <c r="FP52" s="92"/>
      <c r="FQ52" s="94"/>
      <c r="FR52" s="95"/>
      <c r="FS52" s="17"/>
      <c r="FT52" s="17"/>
      <c r="FU52" s="17"/>
      <c r="FV52" s="20"/>
      <c r="FW52" s="92"/>
      <c r="FX52" s="93"/>
      <c r="FY52" s="92"/>
      <c r="FZ52" s="94"/>
      <c r="GA52" s="95"/>
      <c r="GB52" s="17"/>
      <c r="GC52" s="17"/>
      <c r="GD52" s="17"/>
      <c r="GE52" s="20"/>
      <c r="GF52" s="92"/>
      <c r="GG52" s="93"/>
      <c r="GH52" s="92"/>
      <c r="GI52" s="94"/>
      <c r="GJ52" s="95"/>
      <c r="GK52" s="17"/>
      <c r="GL52" s="17"/>
      <c r="GM52" s="17"/>
      <c r="GN52" s="20"/>
      <c r="GO52" s="92"/>
      <c r="GP52" s="93"/>
      <c r="GQ52" s="92"/>
      <c r="GR52" s="94"/>
      <c r="GS52" s="95"/>
      <c r="GT52" s="122"/>
      <c r="GU52" s="98"/>
      <c r="GV52" s="133"/>
      <c r="GW52" s="134"/>
      <c r="GX52" s="134"/>
      <c r="GY52" s="167"/>
      <c r="GZ52" s="86"/>
    </row>
    <row r="53" spans="1:208" x14ac:dyDescent="0.25">
      <c r="A53"/>
      <c r="D53" s="35"/>
      <c r="E53" s="36"/>
      <c r="F53" s="37"/>
      <c r="G53" s="38"/>
      <c r="H53" s="39"/>
      <c r="I53" s="40"/>
      <c r="J53" s="68"/>
      <c r="K53" s="407"/>
      <c r="L53" s="70"/>
      <c r="M53" s="71"/>
      <c r="N53" s="56"/>
      <c r="O53" s="72"/>
      <c r="P53" s="113">
        <f t="shared" si="2"/>
        <v>0</v>
      </c>
      <c r="Q53" s="117"/>
      <c r="R53" s="117"/>
      <c r="S53" s="117"/>
      <c r="T53" s="39">
        <f t="shared" ref="T53" si="4">Q53*O53</f>
        <v>0</v>
      </c>
      <c r="U53" s="115"/>
      <c r="V53" s="112"/>
      <c r="W53" s="118"/>
      <c r="X53" s="17"/>
      <c r="Y53" s="20"/>
      <c r="Z53" s="92"/>
      <c r="AA53" s="93"/>
      <c r="AB53" s="92"/>
      <c r="AC53" s="94"/>
      <c r="AD53" s="95"/>
      <c r="AE53" s="17"/>
      <c r="AF53" s="17"/>
      <c r="AG53" s="17"/>
      <c r="AH53" s="20"/>
      <c r="AI53" s="92"/>
      <c r="AJ53" s="93"/>
      <c r="AK53" s="92"/>
      <c r="AL53" s="94"/>
      <c r="AM53" s="95"/>
      <c r="AN53" s="17"/>
      <c r="AO53" s="17"/>
      <c r="AP53" s="17"/>
      <c r="AQ53" s="20"/>
      <c r="AR53" s="92"/>
      <c r="AS53" s="93"/>
      <c r="AT53" s="92"/>
      <c r="AU53" s="94"/>
      <c r="AV53" s="95"/>
      <c r="AW53" s="17"/>
      <c r="AX53" s="17"/>
      <c r="AY53" s="17"/>
      <c r="AZ53" s="20"/>
      <c r="BA53" s="92"/>
      <c r="BB53" s="93"/>
      <c r="BC53" s="92"/>
      <c r="BD53" s="94"/>
      <c r="BE53" s="95"/>
      <c r="BF53" s="17"/>
      <c r="BG53" s="17"/>
      <c r="BH53" s="17"/>
      <c r="BI53" s="20"/>
      <c r="BJ53" s="92"/>
      <c r="BK53" s="93"/>
      <c r="BL53" s="92"/>
      <c r="BM53" s="94"/>
      <c r="BN53" s="95"/>
      <c r="BO53" s="17"/>
      <c r="BP53" s="17"/>
      <c r="BQ53" s="17"/>
      <c r="BR53" s="20"/>
      <c r="BS53" s="92"/>
      <c r="BT53" s="93"/>
      <c r="BU53" s="92"/>
      <c r="BV53" s="94"/>
      <c r="BW53" s="95"/>
      <c r="BX53" s="17"/>
      <c r="BY53" s="17"/>
      <c r="BZ53" s="17"/>
      <c r="CA53" s="20"/>
      <c r="CB53" s="92"/>
      <c r="CC53" s="93"/>
      <c r="CD53" s="92"/>
      <c r="CE53" s="94"/>
      <c r="CF53" s="95"/>
      <c r="CG53" s="17"/>
      <c r="CH53" s="17"/>
      <c r="CI53" s="17"/>
      <c r="CJ53" s="20"/>
      <c r="CK53" s="92"/>
      <c r="CL53" s="93"/>
      <c r="CM53" s="92"/>
      <c r="CN53" s="94"/>
      <c r="CO53" s="95"/>
      <c r="CP53" s="17"/>
      <c r="CQ53" s="17"/>
      <c r="CR53" s="17"/>
      <c r="CS53" s="20"/>
      <c r="CT53" s="92"/>
      <c r="CU53" s="93"/>
      <c r="CV53" s="92"/>
      <c r="CW53" s="94"/>
      <c r="CX53" s="95"/>
      <c r="CY53" s="17"/>
      <c r="CZ53" s="17"/>
      <c r="DA53" s="17"/>
      <c r="DB53" s="20"/>
      <c r="DC53" s="92"/>
      <c r="DD53" s="93"/>
      <c r="DE53" s="92"/>
      <c r="DF53" s="94"/>
      <c r="DG53" s="95"/>
      <c r="DH53" s="17"/>
      <c r="DI53" s="17"/>
      <c r="DJ53" s="17"/>
      <c r="DK53" s="20"/>
      <c r="DL53" s="92"/>
      <c r="DM53" s="93"/>
      <c r="DN53" s="92"/>
      <c r="DO53" s="94"/>
      <c r="DP53" s="95"/>
      <c r="DQ53" s="17"/>
      <c r="DR53" s="17"/>
      <c r="DS53" s="17"/>
      <c r="DT53" s="20"/>
      <c r="DU53" s="92"/>
      <c r="DV53" s="93"/>
      <c r="DW53" s="92"/>
      <c r="DX53" s="94"/>
      <c r="DY53" s="95"/>
      <c r="DZ53" s="17"/>
      <c r="EA53" s="17"/>
      <c r="EB53" s="17"/>
      <c r="EC53" s="20"/>
      <c r="ED53" s="92"/>
      <c r="EE53" s="93"/>
      <c r="EF53" s="92"/>
      <c r="EG53" s="94"/>
      <c r="EH53" s="95"/>
      <c r="EI53" s="17"/>
      <c r="EJ53" s="17"/>
      <c r="EK53" s="17"/>
      <c r="EL53" s="20"/>
      <c r="EM53" s="92"/>
      <c r="EN53" s="93"/>
      <c r="EO53" s="92"/>
      <c r="EP53" s="94"/>
      <c r="EQ53" s="95"/>
      <c r="ER53" s="17"/>
      <c r="ES53" s="17"/>
      <c r="ET53" s="17"/>
      <c r="EU53" s="20"/>
      <c r="EV53" s="92"/>
      <c r="EW53" s="93"/>
      <c r="EX53" s="92"/>
      <c r="EY53" s="94"/>
      <c r="EZ53" s="95"/>
      <c r="FA53" s="17"/>
      <c r="FB53" s="17"/>
      <c r="FC53" s="17"/>
      <c r="FD53" s="20"/>
      <c r="FE53" s="92"/>
      <c r="FF53" s="93"/>
      <c r="FG53" s="92"/>
      <c r="FH53" s="94"/>
      <c r="FI53" s="95"/>
      <c r="FJ53" s="17"/>
      <c r="FK53" s="17"/>
      <c r="FL53" s="17"/>
      <c r="FM53" s="20"/>
      <c r="FN53" s="92"/>
      <c r="FO53" s="93"/>
      <c r="FP53" s="92"/>
      <c r="FQ53" s="94"/>
      <c r="FR53" s="95"/>
      <c r="FS53" s="17"/>
      <c r="FT53" s="17"/>
      <c r="FU53" s="17"/>
      <c r="FV53" s="20"/>
      <c r="FW53" s="92"/>
      <c r="FX53" s="93"/>
      <c r="FY53" s="92"/>
      <c r="FZ53" s="94"/>
      <c r="GA53" s="95"/>
      <c r="GB53" s="17"/>
      <c r="GC53" s="17"/>
      <c r="GD53" s="17"/>
      <c r="GE53" s="20"/>
      <c r="GF53" s="92"/>
      <c r="GG53" s="93"/>
      <c r="GH53" s="92"/>
      <c r="GI53" s="94"/>
      <c r="GJ53" s="95"/>
      <c r="GK53" s="17"/>
      <c r="GL53" s="17"/>
      <c r="GM53" s="17"/>
      <c r="GN53" s="20"/>
      <c r="GO53" s="92"/>
      <c r="GP53" s="93"/>
      <c r="GQ53" s="92"/>
      <c r="GR53" s="94"/>
      <c r="GS53" s="95"/>
      <c r="GT53" s="122"/>
      <c r="GU53" s="98"/>
      <c r="GV53" s="135"/>
      <c r="GW53" s="134"/>
      <c r="GX53" s="136"/>
      <c r="GY53" s="167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407"/>
      <c r="L54" s="70"/>
      <c r="M54" s="71"/>
      <c r="N54" s="56"/>
      <c r="O54" s="72"/>
      <c r="P54" s="113">
        <f t="shared" si="2"/>
        <v>0</v>
      </c>
      <c r="Q54" s="64"/>
      <c r="R54" s="117"/>
      <c r="S54" s="117"/>
      <c r="T54" s="39">
        <f>Q54*O54</f>
        <v>0</v>
      </c>
      <c r="U54" s="115"/>
      <c r="V54" s="83"/>
      <c r="W54" s="118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137"/>
      <c r="GU54" s="98"/>
      <c r="GV54" s="129"/>
      <c r="GW54" s="74"/>
      <c r="GX54" s="74"/>
      <c r="GY54" s="167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407"/>
      <c r="L55" s="70"/>
      <c r="M55" s="71"/>
      <c r="N55" s="56"/>
      <c r="O55" s="72"/>
      <c r="P55" s="113">
        <f t="shared" si="0"/>
        <v>0</v>
      </c>
      <c r="Q55" s="117"/>
      <c r="R55" s="117"/>
      <c r="S55" s="117"/>
      <c r="T55" s="39">
        <f>Q55*O55</f>
        <v>0</v>
      </c>
      <c r="U55" s="115"/>
      <c r="V55" s="112"/>
      <c r="W55" s="118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128"/>
      <c r="GU55" s="98"/>
      <c r="GV55" s="129"/>
      <c r="GW55" s="74"/>
      <c r="GX55" s="74"/>
      <c r="GY55" s="167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68"/>
      <c r="K56" s="407"/>
      <c r="L56" s="70"/>
      <c r="M56" s="71"/>
      <c r="N56" s="56"/>
      <c r="O56" s="72"/>
      <c r="P56" s="113">
        <f t="shared" si="0"/>
        <v>0</v>
      </c>
      <c r="Q56" s="117"/>
      <c r="R56" s="117"/>
      <c r="S56" s="117"/>
      <c r="T56" s="39">
        <f>Q56*O56</f>
        <v>0</v>
      </c>
      <c r="U56" s="115"/>
      <c r="V56" s="112"/>
      <c r="W56" s="118"/>
      <c r="X56" s="17"/>
      <c r="Y56" s="20"/>
      <c r="Z56" s="92"/>
      <c r="AA56" s="93"/>
      <c r="AB56" s="92"/>
      <c r="AC56" s="94"/>
      <c r="AD56" s="95"/>
      <c r="AE56" s="17"/>
      <c r="AF56" s="17"/>
      <c r="AG56" s="17"/>
      <c r="AH56" s="20"/>
      <c r="AI56" s="92"/>
      <c r="AJ56" s="93"/>
      <c r="AK56" s="92"/>
      <c r="AL56" s="94"/>
      <c r="AM56" s="95"/>
      <c r="AN56" s="17"/>
      <c r="AO56" s="17"/>
      <c r="AP56" s="17"/>
      <c r="AQ56" s="20"/>
      <c r="AR56" s="92"/>
      <c r="AS56" s="93"/>
      <c r="AT56" s="92"/>
      <c r="AU56" s="94"/>
      <c r="AV56" s="95"/>
      <c r="AW56" s="17"/>
      <c r="AX56" s="17"/>
      <c r="AY56" s="17"/>
      <c r="AZ56" s="20"/>
      <c r="BA56" s="92"/>
      <c r="BB56" s="93"/>
      <c r="BC56" s="92"/>
      <c r="BD56" s="94"/>
      <c r="BE56" s="95"/>
      <c r="BF56" s="17"/>
      <c r="BG56" s="17"/>
      <c r="BH56" s="17"/>
      <c r="BI56" s="20"/>
      <c r="BJ56" s="92"/>
      <c r="BK56" s="93"/>
      <c r="BL56" s="92"/>
      <c r="BM56" s="94"/>
      <c r="BN56" s="95"/>
      <c r="BO56" s="17"/>
      <c r="BP56" s="17"/>
      <c r="BQ56" s="17"/>
      <c r="BR56" s="20"/>
      <c r="BS56" s="92"/>
      <c r="BT56" s="93"/>
      <c r="BU56" s="92"/>
      <c r="BV56" s="94"/>
      <c r="BW56" s="95"/>
      <c r="BX56" s="17"/>
      <c r="BY56" s="17"/>
      <c r="BZ56" s="17"/>
      <c r="CA56" s="20"/>
      <c r="CB56" s="92"/>
      <c r="CC56" s="93"/>
      <c r="CD56" s="92"/>
      <c r="CE56" s="94"/>
      <c r="CF56" s="95"/>
      <c r="CG56" s="17"/>
      <c r="CH56" s="17"/>
      <c r="CI56" s="17"/>
      <c r="CJ56" s="20"/>
      <c r="CK56" s="92"/>
      <c r="CL56" s="93"/>
      <c r="CM56" s="92"/>
      <c r="CN56" s="94"/>
      <c r="CO56" s="95"/>
      <c r="CP56" s="17"/>
      <c r="CQ56" s="17"/>
      <c r="CR56" s="17"/>
      <c r="CS56" s="20"/>
      <c r="CT56" s="92"/>
      <c r="CU56" s="93"/>
      <c r="CV56" s="92"/>
      <c r="CW56" s="94"/>
      <c r="CX56" s="95"/>
      <c r="CY56" s="17"/>
      <c r="CZ56" s="17"/>
      <c r="DA56" s="17"/>
      <c r="DB56" s="20"/>
      <c r="DC56" s="92"/>
      <c r="DD56" s="93"/>
      <c r="DE56" s="92"/>
      <c r="DF56" s="94"/>
      <c r="DG56" s="95"/>
      <c r="DH56" s="17"/>
      <c r="DI56" s="17"/>
      <c r="DJ56" s="17"/>
      <c r="DK56" s="20"/>
      <c r="DL56" s="92"/>
      <c r="DM56" s="93"/>
      <c r="DN56" s="92"/>
      <c r="DO56" s="94"/>
      <c r="DP56" s="95"/>
      <c r="DQ56" s="17"/>
      <c r="DR56" s="17"/>
      <c r="DS56" s="17"/>
      <c r="DT56" s="20"/>
      <c r="DU56" s="92"/>
      <c r="DV56" s="93"/>
      <c r="DW56" s="92"/>
      <c r="DX56" s="94"/>
      <c r="DY56" s="95"/>
      <c r="DZ56" s="17"/>
      <c r="EA56" s="17"/>
      <c r="EB56" s="17"/>
      <c r="EC56" s="20"/>
      <c r="ED56" s="92"/>
      <c r="EE56" s="93"/>
      <c r="EF56" s="92"/>
      <c r="EG56" s="94"/>
      <c r="EH56" s="95"/>
      <c r="EI56" s="17"/>
      <c r="EJ56" s="17"/>
      <c r="EK56" s="17"/>
      <c r="EL56" s="20"/>
      <c r="EM56" s="92"/>
      <c r="EN56" s="93"/>
      <c r="EO56" s="92"/>
      <c r="EP56" s="94"/>
      <c r="EQ56" s="95"/>
      <c r="ER56" s="17"/>
      <c r="ES56" s="17"/>
      <c r="ET56" s="17"/>
      <c r="EU56" s="20"/>
      <c r="EV56" s="92"/>
      <c r="EW56" s="93"/>
      <c r="EX56" s="92"/>
      <c r="EY56" s="94"/>
      <c r="EZ56" s="95"/>
      <c r="FA56" s="17"/>
      <c r="FB56" s="17"/>
      <c r="FC56" s="17"/>
      <c r="FD56" s="20"/>
      <c r="FE56" s="92"/>
      <c r="FF56" s="93"/>
      <c r="FG56" s="92"/>
      <c r="FH56" s="94"/>
      <c r="FI56" s="95"/>
      <c r="FJ56" s="17"/>
      <c r="FK56" s="17"/>
      <c r="FL56" s="17"/>
      <c r="FM56" s="20"/>
      <c r="FN56" s="92"/>
      <c r="FO56" s="93"/>
      <c r="FP56" s="92"/>
      <c r="FQ56" s="94"/>
      <c r="FR56" s="95"/>
      <c r="FS56" s="17"/>
      <c r="FT56" s="17"/>
      <c r="FU56" s="17"/>
      <c r="FV56" s="20"/>
      <c r="FW56" s="92"/>
      <c r="FX56" s="93"/>
      <c r="FY56" s="92"/>
      <c r="FZ56" s="94"/>
      <c r="GA56" s="95"/>
      <c r="GB56" s="17"/>
      <c r="GC56" s="17"/>
      <c r="GD56" s="17"/>
      <c r="GE56" s="20"/>
      <c r="GF56" s="92"/>
      <c r="GG56" s="93"/>
      <c r="GH56" s="92"/>
      <c r="GI56" s="94"/>
      <c r="GJ56" s="95"/>
      <c r="GK56" s="17"/>
      <c r="GL56" s="17"/>
      <c r="GM56" s="17"/>
      <c r="GN56" s="20"/>
      <c r="GO56" s="92"/>
      <c r="GP56" s="93"/>
      <c r="GQ56" s="92"/>
      <c r="GR56" s="94"/>
      <c r="GS56" s="95"/>
      <c r="GT56" s="97"/>
      <c r="GU56" s="98"/>
      <c r="GV56" s="130"/>
      <c r="GW56" s="74"/>
      <c r="GX56" s="74"/>
      <c r="GY56" s="167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407"/>
      <c r="L57" s="70"/>
      <c r="M57" s="71"/>
      <c r="N57" s="56"/>
      <c r="O57" s="72"/>
      <c r="P57" s="113">
        <f t="shared" si="0"/>
        <v>0</v>
      </c>
      <c r="Q57" s="117"/>
      <c r="R57" s="117"/>
      <c r="S57" s="117"/>
      <c r="T57" s="39">
        <f>Q57*O57</f>
        <v>0</v>
      </c>
      <c r="U57" s="138"/>
      <c r="V57" s="139"/>
      <c r="W57" s="121"/>
      <c r="X57" s="17"/>
      <c r="Y57" s="20"/>
      <c r="Z57" s="92"/>
      <c r="AA57" s="93"/>
      <c r="AB57" s="92"/>
      <c r="AC57" s="94"/>
      <c r="AD57" s="95"/>
      <c r="AE57" s="17"/>
      <c r="AF57" s="17"/>
      <c r="AG57" s="17"/>
      <c r="AH57" s="20"/>
      <c r="AI57" s="92"/>
      <c r="AJ57" s="93"/>
      <c r="AK57" s="92"/>
      <c r="AL57" s="94"/>
      <c r="AM57" s="95"/>
      <c r="AN57" s="17"/>
      <c r="AO57" s="17"/>
      <c r="AP57" s="17"/>
      <c r="AQ57" s="20"/>
      <c r="AR57" s="92"/>
      <c r="AS57" s="93"/>
      <c r="AT57" s="92"/>
      <c r="AU57" s="94"/>
      <c r="AV57" s="95"/>
      <c r="AW57" s="17"/>
      <c r="AX57" s="17"/>
      <c r="AY57" s="17"/>
      <c r="AZ57" s="20"/>
      <c r="BA57" s="92"/>
      <c r="BB57" s="93"/>
      <c r="BC57" s="92"/>
      <c r="BD57" s="94"/>
      <c r="BE57" s="95"/>
      <c r="BF57" s="17"/>
      <c r="BG57" s="17"/>
      <c r="BH57" s="17"/>
      <c r="BI57" s="20"/>
      <c r="BJ57" s="92"/>
      <c r="BK57" s="93"/>
      <c r="BL57" s="92"/>
      <c r="BM57" s="94"/>
      <c r="BN57" s="95"/>
      <c r="BO57" s="17"/>
      <c r="BP57" s="17"/>
      <c r="BQ57" s="17"/>
      <c r="BR57" s="20"/>
      <c r="BS57" s="92"/>
      <c r="BT57" s="93"/>
      <c r="BU57" s="92"/>
      <c r="BV57" s="94"/>
      <c r="BW57" s="95"/>
      <c r="BX57" s="17"/>
      <c r="BY57" s="17"/>
      <c r="BZ57" s="17"/>
      <c r="CA57" s="20"/>
      <c r="CB57" s="92"/>
      <c r="CC57" s="93"/>
      <c r="CD57" s="92"/>
      <c r="CE57" s="94"/>
      <c r="CF57" s="95"/>
      <c r="CG57" s="17"/>
      <c r="CH57" s="17"/>
      <c r="CI57" s="17"/>
      <c r="CJ57" s="20"/>
      <c r="CK57" s="92"/>
      <c r="CL57" s="93"/>
      <c r="CM57" s="92"/>
      <c r="CN57" s="94"/>
      <c r="CO57" s="95"/>
      <c r="CP57" s="17"/>
      <c r="CQ57" s="17"/>
      <c r="CR57" s="17"/>
      <c r="CS57" s="20"/>
      <c r="CT57" s="92"/>
      <c r="CU57" s="93"/>
      <c r="CV57" s="92"/>
      <c r="CW57" s="94"/>
      <c r="CX57" s="95"/>
      <c r="CY57" s="17"/>
      <c r="CZ57" s="17"/>
      <c r="DA57" s="17"/>
      <c r="DB57" s="20"/>
      <c r="DC57" s="92"/>
      <c r="DD57" s="93"/>
      <c r="DE57" s="92"/>
      <c r="DF57" s="94"/>
      <c r="DG57" s="95"/>
      <c r="DH57" s="17"/>
      <c r="DI57" s="17"/>
      <c r="DJ57" s="17"/>
      <c r="DK57" s="20"/>
      <c r="DL57" s="92"/>
      <c r="DM57" s="93"/>
      <c r="DN57" s="92"/>
      <c r="DO57" s="94"/>
      <c r="DP57" s="95"/>
      <c r="DQ57" s="17"/>
      <c r="DR57" s="17"/>
      <c r="DS57" s="17"/>
      <c r="DT57" s="20"/>
      <c r="DU57" s="92"/>
      <c r="DV57" s="93"/>
      <c r="DW57" s="92"/>
      <c r="DX57" s="94"/>
      <c r="DY57" s="95"/>
      <c r="DZ57" s="17"/>
      <c r="EA57" s="17"/>
      <c r="EB57" s="17"/>
      <c r="EC57" s="20"/>
      <c r="ED57" s="92"/>
      <c r="EE57" s="93"/>
      <c r="EF57" s="92"/>
      <c r="EG57" s="94"/>
      <c r="EH57" s="95"/>
      <c r="EI57" s="17"/>
      <c r="EJ57" s="17"/>
      <c r="EK57" s="17"/>
      <c r="EL57" s="20"/>
      <c r="EM57" s="92"/>
      <c r="EN57" s="93"/>
      <c r="EO57" s="92"/>
      <c r="EP57" s="94"/>
      <c r="EQ57" s="95"/>
      <c r="ER57" s="17"/>
      <c r="ES57" s="17"/>
      <c r="ET57" s="17"/>
      <c r="EU57" s="20"/>
      <c r="EV57" s="92"/>
      <c r="EW57" s="93"/>
      <c r="EX57" s="92"/>
      <c r="EY57" s="94"/>
      <c r="EZ57" s="95"/>
      <c r="FA57" s="17"/>
      <c r="FB57" s="17"/>
      <c r="FC57" s="17"/>
      <c r="FD57" s="20"/>
      <c r="FE57" s="92"/>
      <c r="FF57" s="93"/>
      <c r="FG57" s="92"/>
      <c r="FH57" s="94"/>
      <c r="FI57" s="95"/>
      <c r="FJ57" s="17"/>
      <c r="FK57" s="17"/>
      <c r="FL57" s="17"/>
      <c r="FM57" s="20"/>
      <c r="FN57" s="92"/>
      <c r="FO57" s="93"/>
      <c r="FP57" s="92"/>
      <c r="FQ57" s="94"/>
      <c r="FR57" s="95"/>
      <c r="FS57" s="17"/>
      <c r="FT57" s="17"/>
      <c r="FU57" s="17"/>
      <c r="FV57" s="20"/>
      <c r="FW57" s="92"/>
      <c r="FX57" s="93"/>
      <c r="FY57" s="92"/>
      <c r="FZ57" s="94"/>
      <c r="GA57" s="95"/>
      <c r="GB57" s="17"/>
      <c r="GC57" s="17"/>
      <c r="GD57" s="17"/>
      <c r="GE57" s="20"/>
      <c r="GF57" s="92"/>
      <c r="GG57" s="93"/>
      <c r="GH57" s="92"/>
      <c r="GI57" s="94"/>
      <c r="GJ57" s="95"/>
      <c r="GK57" s="17"/>
      <c r="GL57" s="17"/>
      <c r="GM57" s="17"/>
      <c r="GN57" s="20"/>
      <c r="GO57" s="92"/>
      <c r="GP57" s="93"/>
      <c r="GQ57" s="92"/>
      <c r="GR57" s="94"/>
      <c r="GS57" s="95"/>
      <c r="GT57" s="97"/>
      <c r="GU57" s="98"/>
      <c r="GV57" s="130"/>
      <c r="GW57" s="74"/>
      <c r="GX57" s="74"/>
      <c r="GY57" s="167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68"/>
      <c r="K58" s="407"/>
      <c r="L58" s="70"/>
      <c r="M58" s="71"/>
      <c r="N58" s="56"/>
      <c r="O58" s="72"/>
      <c r="P58" s="113">
        <f t="shared" si="0"/>
        <v>0</v>
      </c>
      <c r="Q58" s="117"/>
      <c r="R58" s="117"/>
      <c r="S58" s="140"/>
      <c r="T58" s="39">
        <f t="shared" si="1"/>
        <v>0</v>
      </c>
      <c r="U58" s="138"/>
      <c r="V58" s="112"/>
      <c r="W58" s="121"/>
      <c r="X58" s="17"/>
      <c r="Y58" s="20"/>
      <c r="Z58" s="92"/>
      <c r="AA58" s="93"/>
      <c r="AB58" s="92"/>
      <c r="AC58" s="94"/>
      <c r="AD58" s="95"/>
      <c r="AE58" s="17"/>
      <c r="AF58" s="17"/>
      <c r="AG58" s="17"/>
      <c r="AH58" s="20"/>
      <c r="AI58" s="92"/>
      <c r="AJ58" s="93"/>
      <c r="AK58" s="92"/>
      <c r="AL58" s="94"/>
      <c r="AM58" s="95"/>
      <c r="AN58" s="17"/>
      <c r="AO58" s="17"/>
      <c r="AP58" s="17"/>
      <c r="AQ58" s="20"/>
      <c r="AR58" s="92"/>
      <c r="AS58" s="93"/>
      <c r="AT58" s="92"/>
      <c r="AU58" s="94"/>
      <c r="AV58" s="95"/>
      <c r="AW58" s="17"/>
      <c r="AX58" s="17"/>
      <c r="AY58" s="17"/>
      <c r="AZ58" s="20"/>
      <c r="BA58" s="92"/>
      <c r="BB58" s="93"/>
      <c r="BC58" s="92"/>
      <c r="BD58" s="94"/>
      <c r="BE58" s="95"/>
      <c r="BF58" s="17"/>
      <c r="BG58" s="17"/>
      <c r="BH58" s="17"/>
      <c r="BI58" s="20"/>
      <c r="BJ58" s="92"/>
      <c r="BK58" s="93"/>
      <c r="BL58" s="92"/>
      <c r="BM58" s="94"/>
      <c r="BN58" s="95"/>
      <c r="BO58" s="17"/>
      <c r="BP58" s="17"/>
      <c r="BQ58" s="17"/>
      <c r="BR58" s="20"/>
      <c r="BS58" s="92"/>
      <c r="BT58" s="93"/>
      <c r="BU58" s="92"/>
      <c r="BV58" s="94"/>
      <c r="BW58" s="95"/>
      <c r="BX58" s="17"/>
      <c r="BY58" s="17"/>
      <c r="BZ58" s="17"/>
      <c r="CA58" s="20"/>
      <c r="CB58" s="92"/>
      <c r="CC58" s="93"/>
      <c r="CD58" s="92"/>
      <c r="CE58" s="94"/>
      <c r="CF58" s="95"/>
      <c r="CG58" s="17"/>
      <c r="CH58" s="17"/>
      <c r="CI58" s="17"/>
      <c r="CJ58" s="20"/>
      <c r="CK58" s="92"/>
      <c r="CL58" s="93"/>
      <c r="CM58" s="92"/>
      <c r="CN58" s="94"/>
      <c r="CO58" s="95"/>
      <c r="CP58" s="17"/>
      <c r="CQ58" s="17"/>
      <c r="CR58" s="17"/>
      <c r="CS58" s="20"/>
      <c r="CT58" s="92"/>
      <c r="CU58" s="93"/>
      <c r="CV58" s="92"/>
      <c r="CW58" s="94"/>
      <c r="CX58" s="95"/>
      <c r="CY58" s="17"/>
      <c r="CZ58" s="17"/>
      <c r="DA58" s="17"/>
      <c r="DB58" s="20"/>
      <c r="DC58" s="92"/>
      <c r="DD58" s="93"/>
      <c r="DE58" s="92"/>
      <c r="DF58" s="94"/>
      <c r="DG58" s="95"/>
      <c r="DH58" s="17"/>
      <c r="DI58" s="17"/>
      <c r="DJ58" s="17"/>
      <c r="DK58" s="20"/>
      <c r="DL58" s="92"/>
      <c r="DM58" s="93"/>
      <c r="DN58" s="92"/>
      <c r="DO58" s="94"/>
      <c r="DP58" s="95"/>
      <c r="DQ58" s="17"/>
      <c r="DR58" s="17"/>
      <c r="DS58" s="17"/>
      <c r="DT58" s="20"/>
      <c r="DU58" s="92"/>
      <c r="DV58" s="93"/>
      <c r="DW58" s="92"/>
      <c r="DX58" s="94"/>
      <c r="DY58" s="95"/>
      <c r="DZ58" s="17"/>
      <c r="EA58" s="17"/>
      <c r="EB58" s="17"/>
      <c r="EC58" s="20"/>
      <c r="ED58" s="92"/>
      <c r="EE58" s="93"/>
      <c r="EF58" s="92"/>
      <c r="EG58" s="94"/>
      <c r="EH58" s="95"/>
      <c r="EI58" s="17"/>
      <c r="EJ58" s="17"/>
      <c r="EK58" s="17"/>
      <c r="EL58" s="20"/>
      <c r="EM58" s="92"/>
      <c r="EN58" s="93"/>
      <c r="EO58" s="92"/>
      <c r="EP58" s="94"/>
      <c r="EQ58" s="95"/>
      <c r="ER58" s="17"/>
      <c r="ES58" s="17"/>
      <c r="ET58" s="17"/>
      <c r="EU58" s="20"/>
      <c r="EV58" s="92"/>
      <c r="EW58" s="93"/>
      <c r="EX58" s="92"/>
      <c r="EY58" s="94"/>
      <c r="EZ58" s="95"/>
      <c r="FA58" s="17"/>
      <c r="FB58" s="17"/>
      <c r="FC58" s="17"/>
      <c r="FD58" s="20"/>
      <c r="FE58" s="92"/>
      <c r="FF58" s="93"/>
      <c r="FG58" s="92"/>
      <c r="FH58" s="94"/>
      <c r="FI58" s="95"/>
      <c r="FJ58" s="17"/>
      <c r="FK58" s="17"/>
      <c r="FL58" s="17"/>
      <c r="FM58" s="20"/>
      <c r="FN58" s="92"/>
      <c r="FO58" s="93"/>
      <c r="FP58" s="92"/>
      <c r="FQ58" s="94"/>
      <c r="FR58" s="95"/>
      <c r="FS58" s="17"/>
      <c r="FT58" s="17"/>
      <c r="FU58" s="17"/>
      <c r="FV58" s="20"/>
      <c r="FW58" s="92"/>
      <c r="FX58" s="93"/>
      <c r="FY58" s="92"/>
      <c r="FZ58" s="94"/>
      <c r="GA58" s="95"/>
      <c r="GB58" s="17"/>
      <c r="GC58" s="17"/>
      <c r="GD58" s="17"/>
      <c r="GE58" s="20"/>
      <c r="GF58" s="92"/>
      <c r="GG58" s="93"/>
      <c r="GH58" s="92"/>
      <c r="GI58" s="94"/>
      <c r="GJ58" s="95"/>
      <c r="GK58" s="17"/>
      <c r="GL58" s="17"/>
      <c r="GM58" s="17"/>
      <c r="GN58" s="20"/>
      <c r="GO58" s="92"/>
      <c r="GP58" s="93"/>
      <c r="GQ58" s="92"/>
      <c r="GR58" s="94"/>
      <c r="GS58" s="95"/>
      <c r="GT58" s="97"/>
      <c r="GU58" s="98"/>
      <c r="GV58" s="130"/>
      <c r="GW58" s="74"/>
      <c r="GX58" s="74"/>
      <c r="GY58" s="167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407"/>
      <c r="L59" s="70"/>
      <c r="M59" s="71"/>
      <c r="N59" s="56"/>
      <c r="O59" s="72"/>
      <c r="P59" s="113">
        <f t="shared" si="0"/>
        <v>0</v>
      </c>
      <c r="Q59" s="117"/>
      <c r="R59" s="117"/>
      <c r="S59" s="117"/>
      <c r="T59" s="39">
        <f t="shared" si="1"/>
        <v>0</v>
      </c>
      <c r="U59" s="138"/>
      <c r="V59" s="112"/>
      <c r="W59" s="121"/>
      <c r="X59" s="17"/>
      <c r="Y59" s="20"/>
      <c r="Z59" s="92"/>
      <c r="AA59" s="93"/>
      <c r="AB59" s="92"/>
      <c r="AC59" s="94"/>
      <c r="AD59" s="95"/>
      <c r="AE59" s="17"/>
      <c r="AF59" s="17"/>
      <c r="AG59" s="17"/>
      <c r="AH59" s="20"/>
      <c r="AI59" s="92"/>
      <c r="AJ59" s="93"/>
      <c r="AK59" s="92"/>
      <c r="AL59" s="94"/>
      <c r="AM59" s="95"/>
      <c r="AN59" s="17"/>
      <c r="AO59" s="17"/>
      <c r="AP59" s="17"/>
      <c r="AQ59" s="20"/>
      <c r="AR59" s="92"/>
      <c r="AS59" s="93"/>
      <c r="AT59" s="92"/>
      <c r="AU59" s="94"/>
      <c r="AV59" s="95"/>
      <c r="AW59" s="17"/>
      <c r="AX59" s="17"/>
      <c r="AY59" s="17"/>
      <c r="AZ59" s="20"/>
      <c r="BA59" s="92"/>
      <c r="BB59" s="93"/>
      <c r="BC59" s="92"/>
      <c r="BD59" s="94"/>
      <c r="BE59" s="95"/>
      <c r="BF59" s="17"/>
      <c r="BG59" s="17"/>
      <c r="BH59" s="17"/>
      <c r="BI59" s="20"/>
      <c r="BJ59" s="92"/>
      <c r="BK59" s="93"/>
      <c r="BL59" s="92"/>
      <c r="BM59" s="94"/>
      <c r="BN59" s="95"/>
      <c r="BO59" s="17"/>
      <c r="BP59" s="17"/>
      <c r="BQ59" s="17"/>
      <c r="BR59" s="20"/>
      <c r="BS59" s="92"/>
      <c r="BT59" s="93"/>
      <c r="BU59" s="92"/>
      <c r="BV59" s="94"/>
      <c r="BW59" s="95"/>
      <c r="BX59" s="17"/>
      <c r="BY59" s="17"/>
      <c r="BZ59" s="17"/>
      <c r="CA59" s="20"/>
      <c r="CB59" s="92"/>
      <c r="CC59" s="93"/>
      <c r="CD59" s="92"/>
      <c r="CE59" s="94"/>
      <c r="CF59" s="95"/>
      <c r="CG59" s="17"/>
      <c r="CH59" s="17"/>
      <c r="CI59" s="17"/>
      <c r="CJ59" s="20"/>
      <c r="CK59" s="92"/>
      <c r="CL59" s="93"/>
      <c r="CM59" s="92"/>
      <c r="CN59" s="94"/>
      <c r="CO59" s="95"/>
      <c r="CP59" s="17"/>
      <c r="CQ59" s="17"/>
      <c r="CR59" s="17"/>
      <c r="CS59" s="20"/>
      <c r="CT59" s="92"/>
      <c r="CU59" s="93"/>
      <c r="CV59" s="92"/>
      <c r="CW59" s="94"/>
      <c r="CX59" s="95"/>
      <c r="CY59" s="17"/>
      <c r="CZ59" s="17"/>
      <c r="DA59" s="17"/>
      <c r="DB59" s="20"/>
      <c r="DC59" s="92"/>
      <c r="DD59" s="93"/>
      <c r="DE59" s="92"/>
      <c r="DF59" s="94"/>
      <c r="DG59" s="95"/>
      <c r="DH59" s="17"/>
      <c r="DI59" s="17"/>
      <c r="DJ59" s="17"/>
      <c r="DK59" s="20"/>
      <c r="DL59" s="92"/>
      <c r="DM59" s="93"/>
      <c r="DN59" s="92"/>
      <c r="DO59" s="94"/>
      <c r="DP59" s="95"/>
      <c r="DQ59" s="17"/>
      <c r="DR59" s="17"/>
      <c r="DS59" s="17"/>
      <c r="DT59" s="20"/>
      <c r="DU59" s="92"/>
      <c r="DV59" s="93"/>
      <c r="DW59" s="92"/>
      <c r="DX59" s="94"/>
      <c r="DY59" s="95"/>
      <c r="DZ59" s="17"/>
      <c r="EA59" s="17"/>
      <c r="EB59" s="17"/>
      <c r="EC59" s="20"/>
      <c r="ED59" s="92"/>
      <c r="EE59" s="93"/>
      <c r="EF59" s="92"/>
      <c r="EG59" s="94"/>
      <c r="EH59" s="95"/>
      <c r="EI59" s="17"/>
      <c r="EJ59" s="17"/>
      <c r="EK59" s="17"/>
      <c r="EL59" s="20"/>
      <c r="EM59" s="92"/>
      <c r="EN59" s="93"/>
      <c r="EO59" s="92"/>
      <c r="EP59" s="94"/>
      <c r="EQ59" s="95"/>
      <c r="ER59" s="17"/>
      <c r="ES59" s="17"/>
      <c r="ET59" s="17"/>
      <c r="EU59" s="20"/>
      <c r="EV59" s="92"/>
      <c r="EW59" s="93"/>
      <c r="EX59" s="92"/>
      <c r="EY59" s="94"/>
      <c r="EZ59" s="95"/>
      <c r="FA59" s="17"/>
      <c r="FB59" s="17"/>
      <c r="FC59" s="17"/>
      <c r="FD59" s="20"/>
      <c r="FE59" s="92"/>
      <c r="FF59" s="93"/>
      <c r="FG59" s="92"/>
      <c r="FH59" s="94"/>
      <c r="FI59" s="95"/>
      <c r="FJ59" s="17"/>
      <c r="FK59" s="17"/>
      <c r="FL59" s="17"/>
      <c r="FM59" s="20"/>
      <c r="FN59" s="92"/>
      <c r="FO59" s="93"/>
      <c r="FP59" s="92"/>
      <c r="FQ59" s="94"/>
      <c r="FR59" s="95"/>
      <c r="FS59" s="17"/>
      <c r="FT59" s="17"/>
      <c r="FU59" s="17"/>
      <c r="FV59" s="20"/>
      <c r="FW59" s="92"/>
      <c r="FX59" s="93"/>
      <c r="FY59" s="92"/>
      <c r="FZ59" s="94"/>
      <c r="GA59" s="95"/>
      <c r="GB59" s="17"/>
      <c r="GC59" s="17"/>
      <c r="GD59" s="17"/>
      <c r="GE59" s="20"/>
      <c r="GF59" s="92"/>
      <c r="GG59" s="93"/>
      <c r="GH59" s="92"/>
      <c r="GI59" s="94"/>
      <c r="GJ59" s="95"/>
      <c r="GK59" s="17"/>
      <c r="GL59" s="17"/>
      <c r="GM59" s="17"/>
      <c r="GN59" s="20"/>
      <c r="GO59" s="92"/>
      <c r="GP59" s="93"/>
      <c r="GQ59" s="92"/>
      <c r="GR59" s="94"/>
      <c r="GS59" s="95"/>
      <c r="GT59" s="97"/>
      <c r="GU59" s="98"/>
      <c r="GV59" s="130"/>
      <c r="GW59" s="141"/>
      <c r="GX59" s="141"/>
      <c r="GY59" s="167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407"/>
      <c r="L60" s="70"/>
      <c r="M60" s="71"/>
      <c r="N60" s="56"/>
      <c r="O60" s="72"/>
      <c r="P60" s="113">
        <f t="shared" si="0"/>
        <v>0</v>
      </c>
      <c r="Q60" s="117"/>
      <c r="R60" s="117"/>
      <c r="S60" s="117"/>
      <c r="T60" s="39">
        <f t="shared" si="1"/>
        <v>0</v>
      </c>
      <c r="U60" s="138"/>
      <c r="V60" s="112"/>
      <c r="W60" s="121"/>
      <c r="X60" s="17"/>
      <c r="Y60" s="20"/>
      <c r="Z60" s="92"/>
      <c r="AA60" s="93"/>
      <c r="AB60" s="92"/>
      <c r="AC60" s="94"/>
      <c r="AD60" s="95"/>
      <c r="AE60" s="17"/>
      <c r="AF60" s="17"/>
      <c r="AG60" s="17"/>
      <c r="AH60" s="20"/>
      <c r="AI60" s="92"/>
      <c r="AJ60" s="93"/>
      <c r="AK60" s="92"/>
      <c r="AL60" s="94"/>
      <c r="AM60" s="95"/>
      <c r="AN60" s="17"/>
      <c r="AO60" s="17"/>
      <c r="AP60" s="17"/>
      <c r="AQ60" s="20"/>
      <c r="AR60" s="92"/>
      <c r="AS60" s="93"/>
      <c r="AT60" s="92"/>
      <c r="AU60" s="94"/>
      <c r="AV60" s="95"/>
      <c r="AW60" s="17"/>
      <c r="AX60" s="17"/>
      <c r="AY60" s="17"/>
      <c r="AZ60" s="20"/>
      <c r="BA60" s="92"/>
      <c r="BB60" s="93"/>
      <c r="BC60" s="92"/>
      <c r="BD60" s="94"/>
      <c r="BE60" s="95"/>
      <c r="BF60" s="17"/>
      <c r="BG60" s="17"/>
      <c r="BH60" s="17"/>
      <c r="BI60" s="20"/>
      <c r="BJ60" s="92"/>
      <c r="BK60" s="93"/>
      <c r="BL60" s="92"/>
      <c r="BM60" s="94"/>
      <c r="BN60" s="95"/>
      <c r="BO60" s="17"/>
      <c r="BP60" s="17"/>
      <c r="BQ60" s="17"/>
      <c r="BR60" s="20"/>
      <c r="BS60" s="92"/>
      <c r="BT60" s="93"/>
      <c r="BU60" s="92"/>
      <c r="BV60" s="94"/>
      <c r="BW60" s="95"/>
      <c r="BX60" s="17"/>
      <c r="BY60" s="17"/>
      <c r="BZ60" s="17"/>
      <c r="CA60" s="20"/>
      <c r="CB60" s="92"/>
      <c r="CC60" s="93"/>
      <c r="CD60" s="92"/>
      <c r="CE60" s="94"/>
      <c r="CF60" s="95"/>
      <c r="CG60" s="17"/>
      <c r="CH60" s="17"/>
      <c r="CI60" s="17"/>
      <c r="CJ60" s="20"/>
      <c r="CK60" s="92"/>
      <c r="CL60" s="93"/>
      <c r="CM60" s="92"/>
      <c r="CN60" s="94"/>
      <c r="CO60" s="95"/>
      <c r="CP60" s="17"/>
      <c r="CQ60" s="17"/>
      <c r="CR60" s="17"/>
      <c r="CS60" s="20"/>
      <c r="CT60" s="92"/>
      <c r="CU60" s="93"/>
      <c r="CV60" s="92"/>
      <c r="CW60" s="94"/>
      <c r="CX60" s="95"/>
      <c r="CY60" s="17"/>
      <c r="CZ60" s="17"/>
      <c r="DA60" s="17"/>
      <c r="DB60" s="20"/>
      <c r="DC60" s="92"/>
      <c r="DD60" s="93"/>
      <c r="DE60" s="92"/>
      <c r="DF60" s="94"/>
      <c r="DG60" s="95"/>
      <c r="DH60" s="17"/>
      <c r="DI60" s="17"/>
      <c r="DJ60" s="17"/>
      <c r="DK60" s="20"/>
      <c r="DL60" s="92"/>
      <c r="DM60" s="93"/>
      <c r="DN60" s="92"/>
      <c r="DO60" s="94"/>
      <c r="DP60" s="95"/>
      <c r="DQ60" s="17"/>
      <c r="DR60" s="17"/>
      <c r="DS60" s="17"/>
      <c r="DT60" s="20"/>
      <c r="DU60" s="92"/>
      <c r="DV60" s="93"/>
      <c r="DW60" s="92"/>
      <c r="DX60" s="94"/>
      <c r="DY60" s="95"/>
      <c r="DZ60" s="17"/>
      <c r="EA60" s="17"/>
      <c r="EB60" s="17"/>
      <c r="EC60" s="20"/>
      <c r="ED60" s="92"/>
      <c r="EE60" s="93"/>
      <c r="EF60" s="92"/>
      <c r="EG60" s="94"/>
      <c r="EH60" s="95"/>
      <c r="EI60" s="17"/>
      <c r="EJ60" s="17"/>
      <c r="EK60" s="17"/>
      <c r="EL60" s="20"/>
      <c r="EM60" s="92"/>
      <c r="EN60" s="93"/>
      <c r="EO60" s="92"/>
      <c r="EP60" s="94"/>
      <c r="EQ60" s="95"/>
      <c r="ER60" s="17"/>
      <c r="ES60" s="17"/>
      <c r="ET60" s="17"/>
      <c r="EU60" s="20"/>
      <c r="EV60" s="92"/>
      <c r="EW60" s="93"/>
      <c r="EX60" s="92"/>
      <c r="EY60" s="94"/>
      <c r="EZ60" s="95"/>
      <c r="FA60" s="17"/>
      <c r="FB60" s="17"/>
      <c r="FC60" s="17"/>
      <c r="FD60" s="20"/>
      <c r="FE60" s="92"/>
      <c r="FF60" s="93"/>
      <c r="FG60" s="92"/>
      <c r="FH60" s="94"/>
      <c r="FI60" s="95"/>
      <c r="FJ60" s="17"/>
      <c r="FK60" s="17"/>
      <c r="FL60" s="17"/>
      <c r="FM60" s="20"/>
      <c r="FN60" s="92"/>
      <c r="FO60" s="93"/>
      <c r="FP60" s="92"/>
      <c r="FQ60" s="94"/>
      <c r="FR60" s="95"/>
      <c r="FS60" s="17"/>
      <c r="FT60" s="17"/>
      <c r="FU60" s="17"/>
      <c r="FV60" s="20"/>
      <c r="FW60" s="92"/>
      <c r="FX60" s="93"/>
      <c r="FY60" s="92"/>
      <c r="FZ60" s="94"/>
      <c r="GA60" s="95"/>
      <c r="GB60" s="17"/>
      <c r="GC60" s="17"/>
      <c r="GD60" s="17"/>
      <c r="GE60" s="20"/>
      <c r="GF60" s="92"/>
      <c r="GG60" s="93"/>
      <c r="GH60" s="92"/>
      <c r="GI60" s="94"/>
      <c r="GJ60" s="95"/>
      <c r="GK60" s="17"/>
      <c r="GL60" s="17"/>
      <c r="GM60" s="17"/>
      <c r="GN60" s="20"/>
      <c r="GO60" s="92"/>
      <c r="GP60" s="93"/>
      <c r="GQ60" s="92"/>
      <c r="GR60" s="94"/>
      <c r="GS60" s="95"/>
      <c r="GT60" s="97"/>
      <c r="GU60" s="98"/>
      <c r="GV60" s="130"/>
      <c r="GW60" s="141"/>
      <c r="GX60" s="141"/>
      <c r="GY60" s="167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76"/>
      <c r="K61" s="407"/>
      <c r="L61" s="70"/>
      <c r="M61" s="71"/>
      <c r="N61" s="142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43"/>
      <c r="V61" s="144"/>
      <c r="W61" s="145"/>
      <c r="X61" s="146"/>
      <c r="Y61" s="147"/>
      <c r="Z61" s="148"/>
      <c r="AA61" s="149"/>
      <c r="AB61" s="148"/>
      <c r="AC61" s="150"/>
      <c r="AD61" s="151"/>
      <c r="AE61" s="146"/>
      <c r="AF61" s="146"/>
      <c r="AG61" s="146"/>
      <c r="AH61" s="147"/>
      <c r="AI61" s="148"/>
      <c r="AJ61" s="149"/>
      <c r="AK61" s="148"/>
      <c r="AL61" s="150"/>
      <c r="AM61" s="151"/>
      <c r="AN61" s="146"/>
      <c r="AO61" s="146"/>
      <c r="AP61" s="146"/>
      <c r="AQ61" s="147"/>
      <c r="AR61" s="148"/>
      <c r="AS61" s="149"/>
      <c r="AT61" s="148"/>
      <c r="AU61" s="150"/>
      <c r="AV61" s="151"/>
      <c r="AW61" s="146"/>
      <c r="AX61" s="146"/>
      <c r="AY61" s="146"/>
      <c r="AZ61" s="147"/>
      <c r="BA61" s="148"/>
      <c r="BB61" s="149"/>
      <c r="BC61" s="148"/>
      <c r="BD61" s="150"/>
      <c r="BE61" s="151"/>
      <c r="BF61" s="146"/>
      <c r="BG61" s="146"/>
      <c r="BH61" s="146"/>
      <c r="BI61" s="147"/>
      <c r="BJ61" s="148"/>
      <c r="BK61" s="149"/>
      <c r="BL61" s="148"/>
      <c r="BM61" s="150"/>
      <c r="BN61" s="151"/>
      <c r="BO61" s="146"/>
      <c r="BP61" s="146"/>
      <c r="BQ61" s="146"/>
      <c r="BR61" s="147"/>
      <c r="BS61" s="148"/>
      <c r="BT61" s="149"/>
      <c r="BU61" s="148"/>
      <c r="BV61" s="150"/>
      <c r="BW61" s="151"/>
      <c r="BX61" s="146"/>
      <c r="BY61" s="146"/>
      <c r="BZ61" s="146"/>
      <c r="CA61" s="147"/>
      <c r="CB61" s="148"/>
      <c r="CC61" s="149"/>
      <c r="CD61" s="148"/>
      <c r="CE61" s="150"/>
      <c r="CF61" s="151"/>
      <c r="CG61" s="146"/>
      <c r="CH61" s="146"/>
      <c r="CI61" s="146"/>
      <c r="CJ61" s="147"/>
      <c r="CK61" s="148"/>
      <c r="CL61" s="149"/>
      <c r="CM61" s="148"/>
      <c r="CN61" s="150"/>
      <c r="CO61" s="151"/>
      <c r="CP61" s="146"/>
      <c r="CQ61" s="146"/>
      <c r="CR61" s="146"/>
      <c r="CS61" s="147"/>
      <c r="CT61" s="148"/>
      <c r="CU61" s="149"/>
      <c r="CV61" s="148"/>
      <c r="CW61" s="150"/>
      <c r="CX61" s="151"/>
      <c r="CY61" s="146"/>
      <c r="CZ61" s="146"/>
      <c r="DA61" s="146"/>
      <c r="DB61" s="147"/>
      <c r="DC61" s="148"/>
      <c r="DD61" s="149"/>
      <c r="DE61" s="148"/>
      <c r="DF61" s="150"/>
      <c r="DG61" s="151"/>
      <c r="DH61" s="146"/>
      <c r="DI61" s="146"/>
      <c r="DJ61" s="146"/>
      <c r="DK61" s="147"/>
      <c r="DL61" s="148"/>
      <c r="DM61" s="149"/>
      <c r="DN61" s="148"/>
      <c r="DO61" s="150"/>
      <c r="DP61" s="151"/>
      <c r="DQ61" s="146"/>
      <c r="DR61" s="146"/>
      <c r="DS61" s="146"/>
      <c r="DT61" s="147"/>
      <c r="DU61" s="148"/>
      <c r="DV61" s="149"/>
      <c r="DW61" s="148"/>
      <c r="DX61" s="150"/>
      <c r="DY61" s="151"/>
      <c r="DZ61" s="146"/>
      <c r="EA61" s="146"/>
      <c r="EB61" s="146"/>
      <c r="EC61" s="147"/>
      <c r="ED61" s="148"/>
      <c r="EE61" s="149"/>
      <c r="EF61" s="148"/>
      <c r="EG61" s="150"/>
      <c r="EH61" s="151"/>
      <c r="EI61" s="146"/>
      <c r="EJ61" s="146"/>
      <c r="EK61" s="146"/>
      <c r="EL61" s="147"/>
      <c r="EM61" s="148"/>
      <c r="EN61" s="149"/>
      <c r="EO61" s="148"/>
      <c r="EP61" s="150"/>
      <c r="EQ61" s="151"/>
      <c r="ER61" s="146"/>
      <c r="ES61" s="146"/>
      <c r="ET61" s="146"/>
      <c r="EU61" s="147"/>
      <c r="EV61" s="148"/>
      <c r="EW61" s="149"/>
      <c r="EX61" s="148"/>
      <c r="EY61" s="150"/>
      <c r="EZ61" s="151"/>
      <c r="FA61" s="146"/>
      <c r="FB61" s="146"/>
      <c r="FC61" s="146"/>
      <c r="FD61" s="147"/>
      <c r="FE61" s="148"/>
      <c r="FF61" s="149"/>
      <c r="FG61" s="148"/>
      <c r="FH61" s="150"/>
      <c r="FI61" s="151"/>
      <c r="FJ61" s="146"/>
      <c r="FK61" s="146"/>
      <c r="FL61" s="146"/>
      <c r="FM61" s="147"/>
      <c r="FN61" s="148"/>
      <c r="FO61" s="149"/>
      <c r="FP61" s="148"/>
      <c r="FQ61" s="150"/>
      <c r="FR61" s="151"/>
      <c r="FS61" s="146"/>
      <c r="FT61" s="146"/>
      <c r="FU61" s="146"/>
      <c r="FV61" s="147"/>
      <c r="FW61" s="148"/>
      <c r="FX61" s="149"/>
      <c r="FY61" s="148"/>
      <c r="FZ61" s="150"/>
      <c r="GA61" s="151"/>
      <c r="GB61" s="146"/>
      <c r="GC61" s="146"/>
      <c r="GD61" s="146"/>
      <c r="GE61" s="147"/>
      <c r="GF61" s="148"/>
      <c r="GG61" s="149"/>
      <c r="GH61" s="148"/>
      <c r="GI61" s="150"/>
      <c r="GJ61" s="151"/>
      <c r="GK61" s="146"/>
      <c r="GL61" s="146"/>
      <c r="GM61" s="146"/>
      <c r="GN61" s="147"/>
      <c r="GO61" s="148"/>
      <c r="GP61" s="149"/>
      <c r="GQ61" s="148"/>
      <c r="GR61" s="150"/>
      <c r="GS61" s="151"/>
      <c r="GT61" s="152"/>
      <c r="GU61" s="131"/>
      <c r="GV61" s="153"/>
      <c r="GW61" s="141"/>
      <c r="GX61" s="141"/>
      <c r="GY61" s="167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407"/>
      <c r="L62" s="70"/>
      <c r="M62" s="71"/>
      <c r="N62" s="142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43"/>
      <c r="V62" s="154"/>
      <c r="W62" s="155"/>
      <c r="X62" s="146"/>
      <c r="Y62" s="147"/>
      <c r="Z62" s="148"/>
      <c r="AA62" s="149"/>
      <c r="AB62" s="148"/>
      <c r="AC62" s="150"/>
      <c r="AD62" s="151"/>
      <c r="AE62" s="146"/>
      <c r="AF62" s="146"/>
      <c r="AG62" s="146"/>
      <c r="AH62" s="147"/>
      <c r="AI62" s="148"/>
      <c r="AJ62" s="149"/>
      <c r="AK62" s="148"/>
      <c r="AL62" s="150"/>
      <c r="AM62" s="151"/>
      <c r="AN62" s="146"/>
      <c r="AO62" s="146"/>
      <c r="AP62" s="146"/>
      <c r="AQ62" s="147"/>
      <c r="AR62" s="148"/>
      <c r="AS62" s="149"/>
      <c r="AT62" s="148"/>
      <c r="AU62" s="150"/>
      <c r="AV62" s="151"/>
      <c r="AW62" s="146"/>
      <c r="AX62" s="146"/>
      <c r="AY62" s="146"/>
      <c r="AZ62" s="147"/>
      <c r="BA62" s="148"/>
      <c r="BB62" s="149"/>
      <c r="BC62" s="148"/>
      <c r="BD62" s="150"/>
      <c r="BE62" s="151"/>
      <c r="BF62" s="146"/>
      <c r="BG62" s="146"/>
      <c r="BH62" s="146"/>
      <c r="BI62" s="147"/>
      <c r="BJ62" s="148"/>
      <c r="BK62" s="149"/>
      <c r="BL62" s="148"/>
      <c r="BM62" s="150"/>
      <c r="BN62" s="151"/>
      <c r="BO62" s="146"/>
      <c r="BP62" s="146"/>
      <c r="BQ62" s="146"/>
      <c r="BR62" s="147"/>
      <c r="BS62" s="148"/>
      <c r="BT62" s="149"/>
      <c r="BU62" s="148"/>
      <c r="BV62" s="150"/>
      <c r="BW62" s="151"/>
      <c r="BX62" s="146"/>
      <c r="BY62" s="146"/>
      <c r="BZ62" s="146"/>
      <c r="CA62" s="147"/>
      <c r="CB62" s="148"/>
      <c r="CC62" s="149"/>
      <c r="CD62" s="148"/>
      <c r="CE62" s="150"/>
      <c r="CF62" s="151"/>
      <c r="CG62" s="146"/>
      <c r="CH62" s="146"/>
      <c r="CI62" s="146"/>
      <c r="CJ62" s="147"/>
      <c r="CK62" s="148"/>
      <c r="CL62" s="149"/>
      <c r="CM62" s="148"/>
      <c r="CN62" s="150"/>
      <c r="CO62" s="151"/>
      <c r="CP62" s="146"/>
      <c r="CQ62" s="146"/>
      <c r="CR62" s="146"/>
      <c r="CS62" s="147"/>
      <c r="CT62" s="148"/>
      <c r="CU62" s="149"/>
      <c r="CV62" s="148"/>
      <c r="CW62" s="150"/>
      <c r="CX62" s="151"/>
      <c r="CY62" s="146"/>
      <c r="CZ62" s="146"/>
      <c r="DA62" s="146"/>
      <c r="DB62" s="147"/>
      <c r="DC62" s="148"/>
      <c r="DD62" s="149"/>
      <c r="DE62" s="148"/>
      <c r="DF62" s="150"/>
      <c r="DG62" s="151"/>
      <c r="DH62" s="146"/>
      <c r="DI62" s="146"/>
      <c r="DJ62" s="146"/>
      <c r="DK62" s="147"/>
      <c r="DL62" s="148"/>
      <c r="DM62" s="149"/>
      <c r="DN62" s="148"/>
      <c r="DO62" s="150"/>
      <c r="DP62" s="151"/>
      <c r="DQ62" s="146"/>
      <c r="DR62" s="146"/>
      <c r="DS62" s="146"/>
      <c r="DT62" s="147"/>
      <c r="DU62" s="148"/>
      <c r="DV62" s="149"/>
      <c r="DW62" s="148"/>
      <c r="DX62" s="150"/>
      <c r="DY62" s="151"/>
      <c r="DZ62" s="146"/>
      <c r="EA62" s="146"/>
      <c r="EB62" s="146"/>
      <c r="EC62" s="147"/>
      <c r="ED62" s="148"/>
      <c r="EE62" s="149"/>
      <c r="EF62" s="148"/>
      <c r="EG62" s="150"/>
      <c r="EH62" s="151"/>
      <c r="EI62" s="146"/>
      <c r="EJ62" s="146"/>
      <c r="EK62" s="146"/>
      <c r="EL62" s="147"/>
      <c r="EM62" s="148"/>
      <c r="EN62" s="149"/>
      <c r="EO62" s="148"/>
      <c r="EP62" s="150"/>
      <c r="EQ62" s="151"/>
      <c r="ER62" s="146"/>
      <c r="ES62" s="146"/>
      <c r="ET62" s="146"/>
      <c r="EU62" s="147"/>
      <c r="EV62" s="148"/>
      <c r="EW62" s="149"/>
      <c r="EX62" s="148"/>
      <c r="EY62" s="150"/>
      <c r="EZ62" s="151"/>
      <c r="FA62" s="146"/>
      <c r="FB62" s="146"/>
      <c r="FC62" s="146"/>
      <c r="FD62" s="147"/>
      <c r="FE62" s="148"/>
      <c r="FF62" s="149"/>
      <c r="FG62" s="148"/>
      <c r="FH62" s="150"/>
      <c r="FI62" s="151"/>
      <c r="FJ62" s="146"/>
      <c r="FK62" s="146"/>
      <c r="FL62" s="146"/>
      <c r="FM62" s="147"/>
      <c r="FN62" s="148"/>
      <c r="FO62" s="149"/>
      <c r="FP62" s="148"/>
      <c r="FQ62" s="150"/>
      <c r="FR62" s="151"/>
      <c r="FS62" s="146"/>
      <c r="FT62" s="146"/>
      <c r="FU62" s="146"/>
      <c r="FV62" s="147"/>
      <c r="FW62" s="148"/>
      <c r="FX62" s="149"/>
      <c r="FY62" s="148"/>
      <c r="FZ62" s="150"/>
      <c r="GA62" s="151"/>
      <c r="GB62" s="146"/>
      <c r="GC62" s="146"/>
      <c r="GD62" s="146"/>
      <c r="GE62" s="147"/>
      <c r="GF62" s="148"/>
      <c r="GG62" s="149"/>
      <c r="GH62" s="148"/>
      <c r="GI62" s="150"/>
      <c r="GJ62" s="151"/>
      <c r="GK62" s="146"/>
      <c r="GL62" s="146"/>
      <c r="GM62" s="146"/>
      <c r="GN62" s="147"/>
      <c r="GO62" s="148"/>
      <c r="GP62" s="149"/>
      <c r="GQ62" s="148"/>
      <c r="GR62" s="150"/>
      <c r="GS62" s="151"/>
      <c r="GT62" s="154"/>
      <c r="GU62" s="156"/>
      <c r="GV62" s="153"/>
      <c r="GW62" s="141"/>
      <c r="GX62" s="141"/>
      <c r="GY62" s="167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68"/>
      <c r="K63" s="407"/>
      <c r="L63" s="70"/>
      <c r="M63" s="71"/>
      <c r="N63" s="142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43"/>
      <c r="V63" s="154"/>
      <c r="W63" s="157"/>
      <c r="X63" s="146"/>
      <c r="Y63" s="147"/>
      <c r="Z63" s="148"/>
      <c r="AA63" s="149"/>
      <c r="AB63" s="148"/>
      <c r="AC63" s="150"/>
      <c r="AD63" s="151"/>
      <c r="AE63" s="146"/>
      <c r="AF63" s="146"/>
      <c r="AG63" s="146"/>
      <c r="AH63" s="147"/>
      <c r="AI63" s="148"/>
      <c r="AJ63" s="149"/>
      <c r="AK63" s="148"/>
      <c r="AL63" s="150"/>
      <c r="AM63" s="151"/>
      <c r="AN63" s="146"/>
      <c r="AO63" s="146"/>
      <c r="AP63" s="146"/>
      <c r="AQ63" s="147"/>
      <c r="AR63" s="148"/>
      <c r="AS63" s="149"/>
      <c r="AT63" s="148"/>
      <c r="AU63" s="150"/>
      <c r="AV63" s="151"/>
      <c r="AW63" s="146"/>
      <c r="AX63" s="146"/>
      <c r="AY63" s="146"/>
      <c r="AZ63" s="147"/>
      <c r="BA63" s="148"/>
      <c r="BB63" s="149"/>
      <c r="BC63" s="148"/>
      <c r="BD63" s="150"/>
      <c r="BE63" s="151"/>
      <c r="BF63" s="146"/>
      <c r="BG63" s="146"/>
      <c r="BH63" s="146"/>
      <c r="BI63" s="147"/>
      <c r="BJ63" s="148"/>
      <c r="BK63" s="149"/>
      <c r="BL63" s="148"/>
      <c r="BM63" s="150"/>
      <c r="BN63" s="151"/>
      <c r="BO63" s="146"/>
      <c r="BP63" s="146"/>
      <c r="BQ63" s="146"/>
      <c r="BR63" s="147"/>
      <c r="BS63" s="148"/>
      <c r="BT63" s="149"/>
      <c r="BU63" s="148"/>
      <c r="BV63" s="150"/>
      <c r="BW63" s="151"/>
      <c r="BX63" s="146"/>
      <c r="BY63" s="146"/>
      <c r="BZ63" s="146"/>
      <c r="CA63" s="147"/>
      <c r="CB63" s="148"/>
      <c r="CC63" s="149"/>
      <c r="CD63" s="148"/>
      <c r="CE63" s="150"/>
      <c r="CF63" s="151"/>
      <c r="CG63" s="146"/>
      <c r="CH63" s="146"/>
      <c r="CI63" s="146"/>
      <c r="CJ63" s="147"/>
      <c r="CK63" s="148"/>
      <c r="CL63" s="149"/>
      <c r="CM63" s="148"/>
      <c r="CN63" s="150"/>
      <c r="CO63" s="151"/>
      <c r="CP63" s="146"/>
      <c r="CQ63" s="146"/>
      <c r="CR63" s="146"/>
      <c r="CS63" s="147"/>
      <c r="CT63" s="148"/>
      <c r="CU63" s="149"/>
      <c r="CV63" s="148"/>
      <c r="CW63" s="150"/>
      <c r="CX63" s="151"/>
      <c r="CY63" s="146"/>
      <c r="CZ63" s="146"/>
      <c r="DA63" s="146"/>
      <c r="DB63" s="147"/>
      <c r="DC63" s="148"/>
      <c r="DD63" s="149"/>
      <c r="DE63" s="148"/>
      <c r="DF63" s="150"/>
      <c r="DG63" s="151"/>
      <c r="DH63" s="146"/>
      <c r="DI63" s="146"/>
      <c r="DJ63" s="146"/>
      <c r="DK63" s="147"/>
      <c r="DL63" s="148"/>
      <c r="DM63" s="149"/>
      <c r="DN63" s="148"/>
      <c r="DO63" s="150"/>
      <c r="DP63" s="151"/>
      <c r="DQ63" s="146"/>
      <c r="DR63" s="146"/>
      <c r="DS63" s="146"/>
      <c r="DT63" s="147"/>
      <c r="DU63" s="148"/>
      <c r="DV63" s="149"/>
      <c r="DW63" s="148"/>
      <c r="DX63" s="150"/>
      <c r="DY63" s="151"/>
      <c r="DZ63" s="146"/>
      <c r="EA63" s="146"/>
      <c r="EB63" s="146"/>
      <c r="EC63" s="147"/>
      <c r="ED63" s="148"/>
      <c r="EE63" s="149"/>
      <c r="EF63" s="148"/>
      <c r="EG63" s="150"/>
      <c r="EH63" s="151"/>
      <c r="EI63" s="146"/>
      <c r="EJ63" s="146"/>
      <c r="EK63" s="146"/>
      <c r="EL63" s="147"/>
      <c r="EM63" s="148"/>
      <c r="EN63" s="149"/>
      <c r="EO63" s="148"/>
      <c r="EP63" s="150"/>
      <c r="EQ63" s="151"/>
      <c r="ER63" s="146"/>
      <c r="ES63" s="146"/>
      <c r="ET63" s="146"/>
      <c r="EU63" s="147"/>
      <c r="EV63" s="148"/>
      <c r="EW63" s="149"/>
      <c r="EX63" s="148"/>
      <c r="EY63" s="150"/>
      <c r="EZ63" s="151"/>
      <c r="FA63" s="146"/>
      <c r="FB63" s="146"/>
      <c r="FC63" s="146"/>
      <c r="FD63" s="147"/>
      <c r="FE63" s="148"/>
      <c r="FF63" s="149"/>
      <c r="FG63" s="148"/>
      <c r="FH63" s="150"/>
      <c r="FI63" s="151"/>
      <c r="FJ63" s="146"/>
      <c r="FK63" s="146"/>
      <c r="FL63" s="146"/>
      <c r="FM63" s="147"/>
      <c r="FN63" s="148"/>
      <c r="FO63" s="149"/>
      <c r="FP63" s="148"/>
      <c r="FQ63" s="150"/>
      <c r="FR63" s="151"/>
      <c r="FS63" s="146"/>
      <c r="FT63" s="146"/>
      <c r="FU63" s="146"/>
      <c r="FV63" s="147"/>
      <c r="FW63" s="148"/>
      <c r="FX63" s="149"/>
      <c r="FY63" s="148"/>
      <c r="FZ63" s="150"/>
      <c r="GA63" s="151"/>
      <c r="GB63" s="146"/>
      <c r="GC63" s="146"/>
      <c r="GD63" s="146"/>
      <c r="GE63" s="147"/>
      <c r="GF63" s="148"/>
      <c r="GG63" s="149"/>
      <c r="GH63" s="148"/>
      <c r="GI63" s="150"/>
      <c r="GJ63" s="151"/>
      <c r="GK63" s="146"/>
      <c r="GL63" s="146"/>
      <c r="GM63" s="146"/>
      <c r="GN63" s="147"/>
      <c r="GO63" s="148"/>
      <c r="GP63" s="149"/>
      <c r="GQ63" s="148"/>
      <c r="GR63" s="150"/>
      <c r="GS63" s="151"/>
      <c r="GT63" s="154"/>
      <c r="GU63" s="156"/>
      <c r="GV63" s="153"/>
      <c r="GW63" s="141"/>
      <c r="GX63" s="141"/>
      <c r="GY63" s="167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407"/>
      <c r="L64" s="70"/>
      <c r="M64" s="71"/>
      <c r="N64" s="142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43"/>
      <c r="V64" s="154"/>
      <c r="W64" s="155"/>
      <c r="X64" s="146"/>
      <c r="Y64" s="147"/>
      <c r="Z64" s="148"/>
      <c r="AA64" s="149"/>
      <c r="AB64" s="148"/>
      <c r="AC64" s="150"/>
      <c r="AD64" s="151"/>
      <c r="AE64" s="146"/>
      <c r="AF64" s="146"/>
      <c r="AG64" s="146"/>
      <c r="AH64" s="147"/>
      <c r="AI64" s="148"/>
      <c r="AJ64" s="149"/>
      <c r="AK64" s="148"/>
      <c r="AL64" s="150"/>
      <c r="AM64" s="151"/>
      <c r="AN64" s="146"/>
      <c r="AO64" s="146"/>
      <c r="AP64" s="146"/>
      <c r="AQ64" s="147"/>
      <c r="AR64" s="148"/>
      <c r="AS64" s="149"/>
      <c r="AT64" s="148"/>
      <c r="AU64" s="150"/>
      <c r="AV64" s="151"/>
      <c r="AW64" s="146"/>
      <c r="AX64" s="146"/>
      <c r="AY64" s="146"/>
      <c r="AZ64" s="147"/>
      <c r="BA64" s="148"/>
      <c r="BB64" s="149"/>
      <c r="BC64" s="148"/>
      <c r="BD64" s="150"/>
      <c r="BE64" s="151"/>
      <c r="BF64" s="146"/>
      <c r="BG64" s="146"/>
      <c r="BH64" s="146"/>
      <c r="BI64" s="147"/>
      <c r="BJ64" s="148"/>
      <c r="BK64" s="149"/>
      <c r="BL64" s="148"/>
      <c r="BM64" s="150"/>
      <c r="BN64" s="151"/>
      <c r="BO64" s="146"/>
      <c r="BP64" s="146"/>
      <c r="BQ64" s="146"/>
      <c r="BR64" s="147"/>
      <c r="BS64" s="148"/>
      <c r="BT64" s="149"/>
      <c r="BU64" s="148"/>
      <c r="BV64" s="150"/>
      <c r="BW64" s="151"/>
      <c r="BX64" s="146"/>
      <c r="BY64" s="146"/>
      <c r="BZ64" s="146"/>
      <c r="CA64" s="147"/>
      <c r="CB64" s="148"/>
      <c r="CC64" s="149"/>
      <c r="CD64" s="148"/>
      <c r="CE64" s="150"/>
      <c r="CF64" s="151"/>
      <c r="CG64" s="146"/>
      <c r="CH64" s="146"/>
      <c r="CI64" s="146"/>
      <c r="CJ64" s="147"/>
      <c r="CK64" s="148"/>
      <c r="CL64" s="149"/>
      <c r="CM64" s="148"/>
      <c r="CN64" s="150"/>
      <c r="CO64" s="151"/>
      <c r="CP64" s="146"/>
      <c r="CQ64" s="146"/>
      <c r="CR64" s="146"/>
      <c r="CS64" s="147"/>
      <c r="CT64" s="148"/>
      <c r="CU64" s="149"/>
      <c r="CV64" s="148"/>
      <c r="CW64" s="150"/>
      <c r="CX64" s="151"/>
      <c r="CY64" s="146"/>
      <c r="CZ64" s="146"/>
      <c r="DA64" s="146"/>
      <c r="DB64" s="147"/>
      <c r="DC64" s="148"/>
      <c r="DD64" s="149"/>
      <c r="DE64" s="148"/>
      <c r="DF64" s="150"/>
      <c r="DG64" s="151"/>
      <c r="DH64" s="146"/>
      <c r="DI64" s="146"/>
      <c r="DJ64" s="146"/>
      <c r="DK64" s="147"/>
      <c r="DL64" s="148"/>
      <c r="DM64" s="149"/>
      <c r="DN64" s="148"/>
      <c r="DO64" s="150"/>
      <c r="DP64" s="151"/>
      <c r="DQ64" s="146"/>
      <c r="DR64" s="146"/>
      <c r="DS64" s="146"/>
      <c r="DT64" s="147"/>
      <c r="DU64" s="148"/>
      <c r="DV64" s="149"/>
      <c r="DW64" s="148"/>
      <c r="DX64" s="150"/>
      <c r="DY64" s="151"/>
      <c r="DZ64" s="146"/>
      <c r="EA64" s="146"/>
      <c r="EB64" s="146"/>
      <c r="EC64" s="147"/>
      <c r="ED64" s="148"/>
      <c r="EE64" s="149"/>
      <c r="EF64" s="148"/>
      <c r="EG64" s="150"/>
      <c r="EH64" s="151"/>
      <c r="EI64" s="146"/>
      <c r="EJ64" s="146"/>
      <c r="EK64" s="146"/>
      <c r="EL64" s="147"/>
      <c r="EM64" s="148"/>
      <c r="EN64" s="149"/>
      <c r="EO64" s="148"/>
      <c r="EP64" s="150"/>
      <c r="EQ64" s="151"/>
      <c r="ER64" s="146"/>
      <c r="ES64" s="146"/>
      <c r="ET64" s="146"/>
      <c r="EU64" s="147"/>
      <c r="EV64" s="148"/>
      <c r="EW64" s="149"/>
      <c r="EX64" s="148"/>
      <c r="EY64" s="150"/>
      <c r="EZ64" s="151"/>
      <c r="FA64" s="146"/>
      <c r="FB64" s="146"/>
      <c r="FC64" s="146"/>
      <c r="FD64" s="147"/>
      <c r="FE64" s="148"/>
      <c r="FF64" s="149"/>
      <c r="FG64" s="148"/>
      <c r="FH64" s="150"/>
      <c r="FI64" s="151"/>
      <c r="FJ64" s="146"/>
      <c r="FK64" s="146"/>
      <c r="FL64" s="146"/>
      <c r="FM64" s="147"/>
      <c r="FN64" s="148"/>
      <c r="FO64" s="149"/>
      <c r="FP64" s="148"/>
      <c r="FQ64" s="150"/>
      <c r="FR64" s="151"/>
      <c r="FS64" s="146"/>
      <c r="FT64" s="146"/>
      <c r="FU64" s="146"/>
      <c r="FV64" s="147"/>
      <c r="FW64" s="148"/>
      <c r="FX64" s="149"/>
      <c r="FY64" s="148"/>
      <c r="FZ64" s="150"/>
      <c r="GA64" s="151"/>
      <c r="GB64" s="146"/>
      <c r="GC64" s="146"/>
      <c r="GD64" s="146"/>
      <c r="GE64" s="147"/>
      <c r="GF64" s="148"/>
      <c r="GG64" s="149"/>
      <c r="GH64" s="148"/>
      <c r="GI64" s="150"/>
      <c r="GJ64" s="151"/>
      <c r="GK64" s="146"/>
      <c r="GL64" s="146"/>
      <c r="GM64" s="146"/>
      <c r="GN64" s="147"/>
      <c r="GO64" s="148"/>
      <c r="GP64" s="149"/>
      <c r="GQ64" s="148"/>
      <c r="GR64" s="150"/>
      <c r="GS64" s="151"/>
      <c r="GT64" s="154"/>
      <c r="GU64" s="156"/>
      <c r="GV64" s="153"/>
      <c r="GW64" s="141"/>
      <c r="GX64" s="141"/>
      <c r="GY64" s="167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407"/>
      <c r="L65" s="70"/>
      <c r="M65" s="71"/>
      <c r="N65" s="142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43"/>
      <c r="V65" s="154"/>
      <c r="W65" s="155"/>
      <c r="X65" s="158"/>
      <c r="Y65" s="159"/>
      <c r="Z65" s="160"/>
      <c r="AA65" s="161"/>
      <c r="AB65" s="160"/>
      <c r="AC65" s="162"/>
      <c r="AD65" s="163"/>
      <c r="AE65" s="158"/>
      <c r="AF65" s="158"/>
      <c r="AG65" s="158"/>
      <c r="AH65" s="159"/>
      <c r="AI65" s="160"/>
      <c r="AJ65" s="161"/>
      <c r="AK65" s="160"/>
      <c r="AL65" s="162"/>
      <c r="AM65" s="163"/>
      <c r="AN65" s="158"/>
      <c r="AO65" s="158"/>
      <c r="AP65" s="158"/>
      <c r="AQ65" s="159"/>
      <c r="AR65" s="160"/>
      <c r="AS65" s="161"/>
      <c r="AT65" s="160"/>
      <c r="AU65" s="162"/>
      <c r="AV65" s="163"/>
      <c r="AW65" s="158"/>
      <c r="AX65" s="158"/>
      <c r="AY65" s="158"/>
      <c r="AZ65" s="159"/>
      <c r="BA65" s="160"/>
      <c r="BB65" s="161"/>
      <c r="BC65" s="160"/>
      <c r="BD65" s="162"/>
      <c r="BE65" s="163"/>
      <c r="BF65" s="158"/>
      <c r="BG65" s="158"/>
      <c r="BH65" s="158"/>
      <c r="BI65" s="159"/>
      <c r="BJ65" s="160"/>
      <c r="BK65" s="161"/>
      <c r="BL65" s="160"/>
      <c r="BM65" s="162"/>
      <c r="BN65" s="163"/>
      <c r="BO65" s="158"/>
      <c r="BP65" s="158"/>
      <c r="BQ65" s="158"/>
      <c r="BR65" s="159"/>
      <c r="BS65" s="160"/>
      <c r="BT65" s="161"/>
      <c r="BU65" s="160"/>
      <c r="BV65" s="162"/>
      <c r="BW65" s="163"/>
      <c r="BX65" s="158"/>
      <c r="BY65" s="158"/>
      <c r="BZ65" s="158"/>
      <c r="CA65" s="159"/>
      <c r="CB65" s="160"/>
      <c r="CC65" s="161"/>
      <c r="CD65" s="160"/>
      <c r="CE65" s="162"/>
      <c r="CF65" s="163"/>
      <c r="CG65" s="158"/>
      <c r="CH65" s="158"/>
      <c r="CI65" s="158"/>
      <c r="CJ65" s="159"/>
      <c r="CK65" s="160"/>
      <c r="CL65" s="161"/>
      <c r="CM65" s="160"/>
      <c r="CN65" s="162"/>
      <c r="CO65" s="163"/>
      <c r="CP65" s="158"/>
      <c r="CQ65" s="158"/>
      <c r="CR65" s="158"/>
      <c r="CS65" s="159"/>
      <c r="CT65" s="160"/>
      <c r="CU65" s="161"/>
      <c r="CV65" s="160"/>
      <c r="CW65" s="162"/>
      <c r="CX65" s="163"/>
      <c r="CY65" s="158"/>
      <c r="CZ65" s="158"/>
      <c r="DA65" s="158"/>
      <c r="DB65" s="159"/>
      <c r="DC65" s="160"/>
      <c r="DD65" s="161"/>
      <c r="DE65" s="160"/>
      <c r="DF65" s="162"/>
      <c r="DG65" s="163"/>
      <c r="DH65" s="158"/>
      <c r="DI65" s="158"/>
      <c r="DJ65" s="158"/>
      <c r="DK65" s="159"/>
      <c r="DL65" s="160"/>
      <c r="DM65" s="161"/>
      <c r="DN65" s="160"/>
      <c r="DO65" s="162"/>
      <c r="DP65" s="163"/>
      <c r="DQ65" s="158"/>
      <c r="DR65" s="158"/>
      <c r="DS65" s="158"/>
      <c r="DT65" s="159"/>
      <c r="DU65" s="160"/>
      <c r="DV65" s="161"/>
      <c r="DW65" s="160"/>
      <c r="DX65" s="162"/>
      <c r="DY65" s="163"/>
      <c r="DZ65" s="158"/>
      <c r="EA65" s="158"/>
      <c r="EB65" s="158"/>
      <c r="EC65" s="159"/>
      <c r="ED65" s="160"/>
      <c r="EE65" s="161"/>
      <c r="EF65" s="160"/>
      <c r="EG65" s="162"/>
      <c r="EH65" s="163"/>
      <c r="EI65" s="158"/>
      <c r="EJ65" s="158"/>
      <c r="EK65" s="158"/>
      <c r="EL65" s="159"/>
      <c r="EM65" s="160"/>
      <c r="EN65" s="161"/>
      <c r="EO65" s="160"/>
      <c r="EP65" s="162"/>
      <c r="EQ65" s="163"/>
      <c r="ER65" s="158"/>
      <c r="ES65" s="158"/>
      <c r="ET65" s="158"/>
      <c r="EU65" s="159"/>
      <c r="EV65" s="160"/>
      <c r="EW65" s="161"/>
      <c r="EX65" s="160"/>
      <c r="EY65" s="162"/>
      <c r="EZ65" s="163"/>
      <c r="FA65" s="158"/>
      <c r="FB65" s="158"/>
      <c r="FC65" s="158"/>
      <c r="FD65" s="159"/>
      <c r="FE65" s="160"/>
      <c r="FF65" s="161"/>
      <c r="FG65" s="160"/>
      <c r="FH65" s="162"/>
      <c r="FI65" s="163"/>
      <c r="FJ65" s="158"/>
      <c r="FK65" s="158"/>
      <c r="FL65" s="158"/>
      <c r="FM65" s="159"/>
      <c r="FN65" s="160"/>
      <c r="FO65" s="161"/>
      <c r="FP65" s="160"/>
      <c r="FQ65" s="162"/>
      <c r="FR65" s="163"/>
      <c r="FS65" s="158"/>
      <c r="FT65" s="158"/>
      <c r="FU65" s="158"/>
      <c r="FV65" s="159"/>
      <c r="FW65" s="160"/>
      <c r="FX65" s="161"/>
      <c r="FY65" s="160"/>
      <c r="FZ65" s="162"/>
      <c r="GA65" s="163"/>
      <c r="GB65" s="158"/>
      <c r="GC65" s="158"/>
      <c r="GD65" s="158"/>
      <c r="GE65" s="159"/>
      <c r="GF65" s="160"/>
      <c r="GG65" s="161"/>
      <c r="GH65" s="160"/>
      <c r="GI65" s="162"/>
      <c r="GJ65" s="163"/>
      <c r="GK65" s="158"/>
      <c r="GL65" s="158"/>
      <c r="GM65" s="158"/>
      <c r="GN65" s="159"/>
      <c r="GO65" s="160"/>
      <c r="GP65" s="161"/>
      <c r="GQ65" s="160"/>
      <c r="GR65" s="162"/>
      <c r="GS65" s="163"/>
      <c r="GT65" s="154"/>
      <c r="GU65" s="156"/>
      <c r="GV65" s="153"/>
      <c r="GW65" s="141"/>
      <c r="GX65" s="141"/>
      <c r="GY65" s="167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407"/>
      <c r="L66" s="70"/>
      <c r="M66" s="71"/>
      <c r="N66" s="164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43"/>
      <c r="V66" s="154"/>
      <c r="W66" s="165"/>
      <c r="X66" s="158"/>
      <c r="Y66" s="159"/>
      <c r="Z66" s="160"/>
      <c r="AA66" s="161"/>
      <c r="AB66" s="160"/>
      <c r="AC66" s="162"/>
      <c r="AD66" s="163"/>
      <c r="AE66" s="158"/>
      <c r="AF66" s="158"/>
      <c r="AG66" s="158"/>
      <c r="AH66" s="159"/>
      <c r="AI66" s="160"/>
      <c r="AJ66" s="161"/>
      <c r="AK66" s="160"/>
      <c r="AL66" s="162"/>
      <c r="AM66" s="163"/>
      <c r="AN66" s="158"/>
      <c r="AO66" s="158"/>
      <c r="AP66" s="158"/>
      <c r="AQ66" s="159"/>
      <c r="AR66" s="160"/>
      <c r="AS66" s="161"/>
      <c r="AT66" s="160"/>
      <c r="AU66" s="162"/>
      <c r="AV66" s="163"/>
      <c r="AW66" s="158"/>
      <c r="AX66" s="158"/>
      <c r="AY66" s="158"/>
      <c r="AZ66" s="159"/>
      <c r="BA66" s="160"/>
      <c r="BB66" s="161"/>
      <c r="BC66" s="160"/>
      <c r="BD66" s="162"/>
      <c r="BE66" s="163"/>
      <c r="BF66" s="158"/>
      <c r="BG66" s="158"/>
      <c r="BH66" s="158"/>
      <c r="BI66" s="159"/>
      <c r="BJ66" s="160"/>
      <c r="BK66" s="161"/>
      <c r="BL66" s="160"/>
      <c r="BM66" s="162"/>
      <c r="BN66" s="163"/>
      <c r="BO66" s="158"/>
      <c r="BP66" s="158"/>
      <c r="BQ66" s="158"/>
      <c r="BR66" s="159"/>
      <c r="BS66" s="160"/>
      <c r="BT66" s="161"/>
      <c r="BU66" s="160"/>
      <c r="BV66" s="162"/>
      <c r="BW66" s="163"/>
      <c r="BX66" s="158"/>
      <c r="BY66" s="158"/>
      <c r="BZ66" s="158"/>
      <c r="CA66" s="159"/>
      <c r="CB66" s="160"/>
      <c r="CC66" s="161"/>
      <c r="CD66" s="160"/>
      <c r="CE66" s="162"/>
      <c r="CF66" s="163"/>
      <c r="CG66" s="158"/>
      <c r="CH66" s="158"/>
      <c r="CI66" s="158"/>
      <c r="CJ66" s="159"/>
      <c r="CK66" s="160"/>
      <c r="CL66" s="161"/>
      <c r="CM66" s="160"/>
      <c r="CN66" s="162"/>
      <c r="CO66" s="163"/>
      <c r="CP66" s="158"/>
      <c r="CQ66" s="158"/>
      <c r="CR66" s="158"/>
      <c r="CS66" s="159"/>
      <c r="CT66" s="160"/>
      <c r="CU66" s="161"/>
      <c r="CV66" s="160"/>
      <c r="CW66" s="162"/>
      <c r="CX66" s="163"/>
      <c r="CY66" s="158"/>
      <c r="CZ66" s="158"/>
      <c r="DA66" s="158"/>
      <c r="DB66" s="159"/>
      <c r="DC66" s="160"/>
      <c r="DD66" s="161"/>
      <c r="DE66" s="160"/>
      <c r="DF66" s="162"/>
      <c r="DG66" s="163"/>
      <c r="DH66" s="158"/>
      <c r="DI66" s="158"/>
      <c r="DJ66" s="158"/>
      <c r="DK66" s="159"/>
      <c r="DL66" s="160"/>
      <c r="DM66" s="161"/>
      <c r="DN66" s="160"/>
      <c r="DO66" s="162"/>
      <c r="DP66" s="163"/>
      <c r="DQ66" s="158"/>
      <c r="DR66" s="158"/>
      <c r="DS66" s="158"/>
      <c r="DT66" s="159"/>
      <c r="DU66" s="160"/>
      <c r="DV66" s="161"/>
      <c r="DW66" s="160"/>
      <c r="DX66" s="162"/>
      <c r="DY66" s="163"/>
      <c r="DZ66" s="158"/>
      <c r="EA66" s="158"/>
      <c r="EB66" s="158"/>
      <c r="EC66" s="159"/>
      <c r="ED66" s="160"/>
      <c r="EE66" s="161"/>
      <c r="EF66" s="160"/>
      <c r="EG66" s="162"/>
      <c r="EH66" s="163"/>
      <c r="EI66" s="158"/>
      <c r="EJ66" s="158"/>
      <c r="EK66" s="158"/>
      <c r="EL66" s="159"/>
      <c r="EM66" s="160"/>
      <c r="EN66" s="161"/>
      <c r="EO66" s="160"/>
      <c r="EP66" s="162"/>
      <c r="EQ66" s="163"/>
      <c r="ER66" s="158"/>
      <c r="ES66" s="158"/>
      <c r="ET66" s="158"/>
      <c r="EU66" s="159"/>
      <c r="EV66" s="160"/>
      <c r="EW66" s="161"/>
      <c r="EX66" s="160"/>
      <c r="EY66" s="162"/>
      <c r="EZ66" s="163"/>
      <c r="FA66" s="158"/>
      <c r="FB66" s="158"/>
      <c r="FC66" s="158"/>
      <c r="FD66" s="159"/>
      <c r="FE66" s="160"/>
      <c r="FF66" s="161"/>
      <c r="FG66" s="160"/>
      <c r="FH66" s="162"/>
      <c r="FI66" s="163"/>
      <c r="FJ66" s="158"/>
      <c r="FK66" s="158"/>
      <c r="FL66" s="158"/>
      <c r="FM66" s="159"/>
      <c r="FN66" s="160"/>
      <c r="FO66" s="161"/>
      <c r="FP66" s="160"/>
      <c r="FQ66" s="162"/>
      <c r="FR66" s="163"/>
      <c r="FS66" s="158"/>
      <c r="FT66" s="158"/>
      <c r="FU66" s="158"/>
      <c r="FV66" s="159"/>
      <c r="FW66" s="160"/>
      <c r="FX66" s="161"/>
      <c r="FY66" s="160"/>
      <c r="FZ66" s="162"/>
      <c r="GA66" s="163"/>
      <c r="GB66" s="158"/>
      <c r="GC66" s="158"/>
      <c r="GD66" s="158"/>
      <c r="GE66" s="159"/>
      <c r="GF66" s="160"/>
      <c r="GG66" s="161"/>
      <c r="GH66" s="160"/>
      <c r="GI66" s="162"/>
      <c r="GJ66" s="163"/>
      <c r="GK66" s="158"/>
      <c r="GL66" s="158"/>
      <c r="GM66" s="158"/>
      <c r="GN66" s="159"/>
      <c r="GO66" s="160"/>
      <c r="GP66" s="161"/>
      <c r="GQ66" s="160"/>
      <c r="GR66" s="162"/>
      <c r="GS66" s="163"/>
      <c r="GT66" s="154"/>
      <c r="GU66" s="156"/>
      <c r="GV66" s="153"/>
      <c r="GW66" s="66"/>
      <c r="GX66" s="66"/>
      <c r="GY66" s="167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407"/>
      <c r="L67" s="70"/>
      <c r="M67" s="71"/>
      <c r="N67" s="56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38"/>
      <c r="V67" s="166"/>
      <c r="W67" s="86"/>
      <c r="X67" s="68"/>
      <c r="Y67" s="167"/>
      <c r="Z67" s="168"/>
      <c r="AA67" s="169"/>
      <c r="AB67" s="168"/>
      <c r="AC67" s="170"/>
      <c r="AD67" s="171"/>
      <c r="AE67" s="68"/>
      <c r="AF67" s="68"/>
      <c r="AG67" s="68"/>
      <c r="AH67" s="167"/>
      <c r="AI67" s="168"/>
      <c r="AJ67" s="169"/>
      <c r="AK67" s="168"/>
      <c r="AL67" s="170"/>
      <c r="AM67" s="171"/>
      <c r="AN67" s="68"/>
      <c r="AO67" s="68"/>
      <c r="AP67" s="68"/>
      <c r="AQ67" s="167"/>
      <c r="AR67" s="168"/>
      <c r="AS67" s="169"/>
      <c r="AT67" s="168"/>
      <c r="AU67" s="170"/>
      <c r="AV67" s="171"/>
      <c r="AW67" s="68"/>
      <c r="AX67" s="68"/>
      <c r="AY67" s="68"/>
      <c r="AZ67" s="167"/>
      <c r="BA67" s="168"/>
      <c r="BB67" s="169"/>
      <c r="BC67" s="168"/>
      <c r="BD67" s="170"/>
      <c r="BE67" s="171"/>
      <c r="BF67" s="68"/>
      <c r="BG67" s="68"/>
      <c r="BH67" s="68"/>
      <c r="BI67" s="167"/>
      <c r="BJ67" s="168"/>
      <c r="BK67" s="169"/>
      <c r="BL67" s="168"/>
      <c r="BM67" s="170"/>
      <c r="BN67" s="171"/>
      <c r="BO67" s="68"/>
      <c r="BP67" s="68"/>
      <c r="BQ67" s="68"/>
      <c r="BR67" s="167"/>
      <c r="BS67" s="168"/>
      <c r="BT67" s="169"/>
      <c r="BU67" s="168"/>
      <c r="BV67" s="170"/>
      <c r="BW67" s="171"/>
      <c r="BX67" s="68"/>
      <c r="BY67" s="68"/>
      <c r="BZ67" s="68"/>
      <c r="CA67" s="167"/>
      <c r="CB67" s="168"/>
      <c r="CC67" s="169"/>
      <c r="CD67" s="168"/>
      <c r="CE67" s="170"/>
      <c r="CF67" s="171"/>
      <c r="CG67" s="68"/>
      <c r="CH67" s="68"/>
      <c r="CI67" s="68"/>
      <c r="CJ67" s="167"/>
      <c r="CK67" s="168"/>
      <c r="CL67" s="169"/>
      <c r="CM67" s="168"/>
      <c r="CN67" s="170"/>
      <c r="CO67" s="171"/>
      <c r="CP67" s="68"/>
      <c r="CQ67" s="68"/>
      <c r="CR67" s="68"/>
      <c r="CS67" s="167"/>
      <c r="CT67" s="168"/>
      <c r="CU67" s="169"/>
      <c r="CV67" s="168"/>
      <c r="CW67" s="170"/>
      <c r="CX67" s="171"/>
      <c r="CY67" s="68"/>
      <c r="CZ67" s="68"/>
      <c r="DA67" s="68"/>
      <c r="DB67" s="167"/>
      <c r="DC67" s="168"/>
      <c r="DD67" s="169"/>
      <c r="DE67" s="168"/>
      <c r="DF67" s="170"/>
      <c r="DG67" s="171"/>
      <c r="DH67" s="68"/>
      <c r="DI67" s="68"/>
      <c r="DJ67" s="68"/>
      <c r="DK67" s="167"/>
      <c r="DL67" s="168"/>
      <c r="DM67" s="169"/>
      <c r="DN67" s="168"/>
      <c r="DO67" s="170"/>
      <c r="DP67" s="171"/>
      <c r="DQ67" s="68"/>
      <c r="DR67" s="68"/>
      <c r="DS67" s="68"/>
      <c r="DT67" s="167"/>
      <c r="DU67" s="168"/>
      <c r="DV67" s="169"/>
      <c r="DW67" s="168"/>
      <c r="DX67" s="170"/>
      <c r="DY67" s="171"/>
      <c r="DZ67" s="68"/>
      <c r="EA67" s="68"/>
      <c r="EB67" s="68"/>
      <c r="EC67" s="167"/>
      <c r="ED67" s="168"/>
      <c r="EE67" s="169"/>
      <c r="EF67" s="168"/>
      <c r="EG67" s="170"/>
      <c r="EH67" s="171"/>
      <c r="EI67" s="68"/>
      <c r="EJ67" s="68"/>
      <c r="EK67" s="68"/>
      <c r="EL67" s="167"/>
      <c r="EM67" s="168"/>
      <c r="EN67" s="169"/>
      <c r="EO67" s="168"/>
      <c r="EP67" s="170"/>
      <c r="EQ67" s="171"/>
      <c r="ER67" s="68"/>
      <c r="ES67" s="68"/>
      <c r="ET67" s="68"/>
      <c r="EU67" s="167"/>
      <c r="EV67" s="168"/>
      <c r="EW67" s="169"/>
      <c r="EX67" s="168"/>
      <c r="EY67" s="170"/>
      <c r="EZ67" s="171"/>
      <c r="FA67" s="68"/>
      <c r="FB67" s="68"/>
      <c r="FC67" s="68"/>
      <c r="FD67" s="167"/>
      <c r="FE67" s="168"/>
      <c r="FF67" s="169"/>
      <c r="FG67" s="168"/>
      <c r="FH67" s="170"/>
      <c r="FI67" s="171"/>
      <c r="FJ67" s="68"/>
      <c r="FK67" s="68"/>
      <c r="FL67" s="68"/>
      <c r="FM67" s="167"/>
      <c r="FN67" s="168"/>
      <c r="FO67" s="169"/>
      <c r="FP67" s="168"/>
      <c r="FQ67" s="170"/>
      <c r="FR67" s="171"/>
      <c r="FS67" s="68"/>
      <c r="FT67" s="68"/>
      <c r="FU67" s="68"/>
      <c r="FV67" s="167"/>
      <c r="FW67" s="168"/>
      <c r="FX67" s="169"/>
      <c r="FY67" s="168"/>
      <c r="FZ67" s="170"/>
      <c r="GA67" s="171"/>
      <c r="GB67" s="68"/>
      <c r="GC67" s="68"/>
      <c r="GD67" s="68"/>
      <c r="GE67" s="167"/>
      <c r="GF67" s="168"/>
      <c r="GG67" s="169"/>
      <c r="GH67" s="168"/>
      <c r="GI67" s="170"/>
      <c r="GJ67" s="171"/>
      <c r="GK67" s="68"/>
      <c r="GL67" s="68"/>
      <c r="GM67" s="68"/>
      <c r="GN67" s="167"/>
      <c r="GO67" s="168"/>
      <c r="GP67" s="169"/>
      <c r="GQ67" s="168"/>
      <c r="GR67" s="170"/>
      <c r="GS67" s="171"/>
      <c r="GT67" s="166"/>
      <c r="GU67" s="64"/>
      <c r="GV67" s="65"/>
      <c r="GW67" s="66"/>
      <c r="GX67" s="66"/>
      <c r="GY67" s="167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407"/>
      <c r="L68" s="70"/>
      <c r="M68" s="71"/>
      <c r="N68" s="56"/>
      <c r="O68" s="72"/>
      <c r="P68" s="113">
        <f t="shared" si="0"/>
        <v>0</v>
      </c>
      <c r="Q68" s="117"/>
      <c r="R68" s="117"/>
      <c r="S68" s="117"/>
      <c r="T68" s="39">
        <f t="shared" si="1"/>
        <v>0</v>
      </c>
      <c r="U68" s="138"/>
      <c r="V68" s="166"/>
      <c r="W68" s="86"/>
      <c r="X68" s="68"/>
      <c r="Y68" s="167"/>
      <c r="Z68" s="168"/>
      <c r="AA68" s="169"/>
      <c r="AB68" s="168"/>
      <c r="AC68" s="170"/>
      <c r="AD68" s="171"/>
      <c r="AE68" s="68"/>
      <c r="AF68" s="68"/>
      <c r="AG68" s="68"/>
      <c r="AH68" s="167"/>
      <c r="AI68" s="168"/>
      <c r="AJ68" s="169"/>
      <c r="AK68" s="168"/>
      <c r="AL68" s="170"/>
      <c r="AM68" s="171"/>
      <c r="AN68" s="68"/>
      <c r="AO68" s="68"/>
      <c r="AP68" s="68"/>
      <c r="AQ68" s="167"/>
      <c r="AR68" s="168"/>
      <c r="AS68" s="169"/>
      <c r="AT68" s="168"/>
      <c r="AU68" s="170"/>
      <c r="AV68" s="171"/>
      <c r="AW68" s="68"/>
      <c r="AX68" s="68"/>
      <c r="AY68" s="68"/>
      <c r="AZ68" s="167"/>
      <c r="BA68" s="168"/>
      <c r="BB68" s="169"/>
      <c r="BC68" s="168"/>
      <c r="BD68" s="170"/>
      <c r="BE68" s="171"/>
      <c r="BF68" s="68"/>
      <c r="BG68" s="68"/>
      <c r="BH68" s="68"/>
      <c r="BI68" s="167"/>
      <c r="BJ68" s="168"/>
      <c r="BK68" s="169"/>
      <c r="BL68" s="168"/>
      <c r="BM68" s="170"/>
      <c r="BN68" s="171"/>
      <c r="BO68" s="68"/>
      <c r="BP68" s="68"/>
      <c r="BQ68" s="68"/>
      <c r="BR68" s="167"/>
      <c r="BS68" s="168"/>
      <c r="BT68" s="169"/>
      <c r="BU68" s="168"/>
      <c r="BV68" s="170"/>
      <c r="BW68" s="171"/>
      <c r="BX68" s="68"/>
      <c r="BY68" s="68"/>
      <c r="BZ68" s="68"/>
      <c r="CA68" s="167"/>
      <c r="CB68" s="168"/>
      <c r="CC68" s="169"/>
      <c r="CD68" s="168"/>
      <c r="CE68" s="170"/>
      <c r="CF68" s="171"/>
      <c r="CG68" s="68"/>
      <c r="CH68" s="68"/>
      <c r="CI68" s="68"/>
      <c r="CJ68" s="167"/>
      <c r="CK68" s="168"/>
      <c r="CL68" s="169"/>
      <c r="CM68" s="168"/>
      <c r="CN68" s="170"/>
      <c r="CO68" s="171"/>
      <c r="CP68" s="68"/>
      <c r="CQ68" s="68"/>
      <c r="CR68" s="68"/>
      <c r="CS68" s="167"/>
      <c r="CT68" s="168"/>
      <c r="CU68" s="169"/>
      <c r="CV68" s="168"/>
      <c r="CW68" s="170"/>
      <c r="CX68" s="171"/>
      <c r="CY68" s="68"/>
      <c r="CZ68" s="68"/>
      <c r="DA68" s="68"/>
      <c r="DB68" s="167"/>
      <c r="DC68" s="168"/>
      <c r="DD68" s="169"/>
      <c r="DE68" s="168"/>
      <c r="DF68" s="170"/>
      <c r="DG68" s="171"/>
      <c r="DH68" s="68"/>
      <c r="DI68" s="68"/>
      <c r="DJ68" s="68"/>
      <c r="DK68" s="167"/>
      <c r="DL68" s="168"/>
      <c r="DM68" s="169"/>
      <c r="DN68" s="168"/>
      <c r="DO68" s="170"/>
      <c r="DP68" s="171"/>
      <c r="DQ68" s="68"/>
      <c r="DR68" s="68"/>
      <c r="DS68" s="68"/>
      <c r="DT68" s="167"/>
      <c r="DU68" s="168"/>
      <c r="DV68" s="169"/>
      <c r="DW68" s="168"/>
      <c r="DX68" s="170"/>
      <c r="DY68" s="171"/>
      <c r="DZ68" s="68"/>
      <c r="EA68" s="68"/>
      <c r="EB68" s="68"/>
      <c r="EC68" s="167"/>
      <c r="ED68" s="168"/>
      <c r="EE68" s="169"/>
      <c r="EF68" s="168"/>
      <c r="EG68" s="170"/>
      <c r="EH68" s="171"/>
      <c r="EI68" s="68"/>
      <c r="EJ68" s="68"/>
      <c r="EK68" s="68"/>
      <c r="EL68" s="167"/>
      <c r="EM68" s="168"/>
      <c r="EN68" s="169"/>
      <c r="EO68" s="168"/>
      <c r="EP68" s="170"/>
      <c r="EQ68" s="171"/>
      <c r="ER68" s="68"/>
      <c r="ES68" s="68"/>
      <c r="ET68" s="68"/>
      <c r="EU68" s="167"/>
      <c r="EV68" s="168"/>
      <c r="EW68" s="169"/>
      <c r="EX68" s="168"/>
      <c r="EY68" s="170"/>
      <c r="EZ68" s="171"/>
      <c r="FA68" s="68"/>
      <c r="FB68" s="68"/>
      <c r="FC68" s="68"/>
      <c r="FD68" s="167"/>
      <c r="FE68" s="168"/>
      <c r="FF68" s="169"/>
      <c r="FG68" s="168"/>
      <c r="FH68" s="170"/>
      <c r="FI68" s="171"/>
      <c r="FJ68" s="68"/>
      <c r="FK68" s="68"/>
      <c r="FL68" s="68"/>
      <c r="FM68" s="167"/>
      <c r="FN68" s="168"/>
      <c r="FO68" s="169"/>
      <c r="FP68" s="168"/>
      <c r="FQ68" s="170"/>
      <c r="FR68" s="171"/>
      <c r="FS68" s="68"/>
      <c r="FT68" s="68"/>
      <c r="FU68" s="68"/>
      <c r="FV68" s="167"/>
      <c r="FW68" s="168"/>
      <c r="FX68" s="169"/>
      <c r="FY68" s="168"/>
      <c r="FZ68" s="170"/>
      <c r="GA68" s="171"/>
      <c r="GB68" s="68"/>
      <c r="GC68" s="68"/>
      <c r="GD68" s="68"/>
      <c r="GE68" s="167"/>
      <c r="GF68" s="168"/>
      <c r="GG68" s="169"/>
      <c r="GH68" s="168"/>
      <c r="GI68" s="170"/>
      <c r="GJ68" s="171"/>
      <c r="GK68" s="68"/>
      <c r="GL68" s="68"/>
      <c r="GM68" s="68"/>
      <c r="GN68" s="167"/>
      <c r="GO68" s="168"/>
      <c r="GP68" s="169"/>
      <c r="GQ68" s="168"/>
      <c r="GR68" s="170"/>
      <c r="GS68" s="171"/>
      <c r="GT68" s="166"/>
      <c r="GU68" s="64"/>
      <c r="GV68" s="65"/>
      <c r="GW68" s="66"/>
      <c r="GX68" s="66"/>
      <c r="GY68" s="167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407"/>
      <c r="L69" s="70"/>
      <c r="M69" s="71"/>
      <c r="N69" s="56"/>
      <c r="O69" s="72"/>
      <c r="P69" s="113">
        <f t="shared" si="0"/>
        <v>0</v>
      </c>
      <c r="Q69" s="117"/>
      <c r="R69" s="117"/>
      <c r="S69" s="117"/>
      <c r="T69" s="39">
        <f t="shared" si="1"/>
        <v>0</v>
      </c>
      <c r="U69" s="138"/>
      <c r="V69" s="166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71"/>
      <c r="GU69" s="64"/>
      <c r="GV69" s="65"/>
      <c r="GW69" s="66"/>
      <c r="GX69" s="66"/>
      <c r="GY69" s="167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68"/>
      <c r="K70" s="407"/>
      <c r="L70" s="70"/>
      <c r="M70" s="71"/>
      <c r="N70" s="56"/>
      <c r="O70" s="72"/>
      <c r="P70" s="113">
        <f t="shared" si="0"/>
        <v>0</v>
      </c>
      <c r="Q70" s="117"/>
      <c r="R70" s="117"/>
      <c r="S70" s="117"/>
      <c r="T70" s="39">
        <f t="shared" si="1"/>
        <v>0</v>
      </c>
      <c r="U70" s="138"/>
      <c r="V70" s="166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71"/>
      <c r="GU70" s="64"/>
      <c r="GV70" s="65"/>
      <c r="GW70" s="66"/>
      <c r="GX70" s="66"/>
      <c r="GY70" s="167"/>
      <c r="GZ70" s="86"/>
    </row>
    <row r="71" spans="1:208" x14ac:dyDescent="0.25">
      <c r="A71"/>
      <c r="D71" s="35"/>
      <c r="E71" s="36"/>
      <c r="F71" s="37"/>
      <c r="G71" s="38"/>
      <c r="H71" s="39"/>
      <c r="I71" s="40"/>
      <c r="J71" s="68"/>
      <c r="K71" s="407"/>
      <c r="L71" s="70"/>
      <c r="M71" s="71"/>
      <c r="N71" s="56"/>
      <c r="O71" s="72"/>
      <c r="P71" s="113">
        <f t="shared" si="0"/>
        <v>0</v>
      </c>
      <c r="Q71" s="117"/>
      <c r="R71" s="117"/>
      <c r="S71" s="117"/>
      <c r="T71" s="39">
        <f t="shared" si="1"/>
        <v>0</v>
      </c>
      <c r="U71" s="138"/>
      <c r="V71" s="166"/>
      <c r="W71" s="86"/>
      <c r="X71" s="68"/>
      <c r="Y71" s="167"/>
      <c r="Z71" s="168"/>
      <c r="AA71" s="169"/>
      <c r="AB71" s="168"/>
      <c r="AC71" s="170"/>
      <c r="AD71" s="171"/>
      <c r="AE71" s="68"/>
      <c r="AF71" s="68"/>
      <c r="AG71" s="68"/>
      <c r="AH71" s="167"/>
      <c r="AI71" s="168"/>
      <c r="AJ71" s="169"/>
      <c r="AK71" s="168"/>
      <c r="AL71" s="170"/>
      <c r="AM71" s="171"/>
      <c r="AN71" s="68"/>
      <c r="AO71" s="68"/>
      <c r="AP71" s="68"/>
      <c r="AQ71" s="167"/>
      <c r="AR71" s="168"/>
      <c r="AS71" s="169"/>
      <c r="AT71" s="168"/>
      <c r="AU71" s="170"/>
      <c r="AV71" s="171"/>
      <c r="AW71" s="68"/>
      <c r="AX71" s="68"/>
      <c r="AY71" s="68"/>
      <c r="AZ71" s="167"/>
      <c r="BA71" s="168"/>
      <c r="BB71" s="169"/>
      <c r="BC71" s="168"/>
      <c r="BD71" s="170"/>
      <c r="BE71" s="171"/>
      <c r="BF71" s="68"/>
      <c r="BG71" s="68"/>
      <c r="BH71" s="68"/>
      <c r="BI71" s="167"/>
      <c r="BJ71" s="168"/>
      <c r="BK71" s="169"/>
      <c r="BL71" s="168"/>
      <c r="BM71" s="170"/>
      <c r="BN71" s="171"/>
      <c r="BO71" s="68"/>
      <c r="BP71" s="68"/>
      <c r="BQ71" s="68"/>
      <c r="BR71" s="167"/>
      <c r="BS71" s="168"/>
      <c r="BT71" s="169"/>
      <c r="BU71" s="168"/>
      <c r="BV71" s="170"/>
      <c r="BW71" s="171"/>
      <c r="BX71" s="68"/>
      <c r="BY71" s="68"/>
      <c r="BZ71" s="68"/>
      <c r="CA71" s="167"/>
      <c r="CB71" s="168"/>
      <c r="CC71" s="169"/>
      <c r="CD71" s="168"/>
      <c r="CE71" s="170"/>
      <c r="CF71" s="171"/>
      <c r="CG71" s="68"/>
      <c r="CH71" s="68"/>
      <c r="CI71" s="68"/>
      <c r="CJ71" s="167"/>
      <c r="CK71" s="168"/>
      <c r="CL71" s="169"/>
      <c r="CM71" s="168"/>
      <c r="CN71" s="170"/>
      <c r="CO71" s="171"/>
      <c r="CP71" s="68"/>
      <c r="CQ71" s="68"/>
      <c r="CR71" s="68"/>
      <c r="CS71" s="167"/>
      <c r="CT71" s="168"/>
      <c r="CU71" s="169"/>
      <c r="CV71" s="168"/>
      <c r="CW71" s="170"/>
      <c r="CX71" s="171"/>
      <c r="CY71" s="68"/>
      <c r="CZ71" s="68"/>
      <c r="DA71" s="68"/>
      <c r="DB71" s="167"/>
      <c r="DC71" s="168"/>
      <c r="DD71" s="169"/>
      <c r="DE71" s="168"/>
      <c r="DF71" s="170"/>
      <c r="DG71" s="171"/>
      <c r="DH71" s="68"/>
      <c r="DI71" s="68"/>
      <c r="DJ71" s="68"/>
      <c r="DK71" s="167"/>
      <c r="DL71" s="168"/>
      <c r="DM71" s="169"/>
      <c r="DN71" s="168"/>
      <c r="DO71" s="170"/>
      <c r="DP71" s="171"/>
      <c r="DQ71" s="68"/>
      <c r="DR71" s="68"/>
      <c r="DS71" s="68"/>
      <c r="DT71" s="167"/>
      <c r="DU71" s="168"/>
      <c r="DV71" s="169"/>
      <c r="DW71" s="168"/>
      <c r="DX71" s="170"/>
      <c r="DY71" s="171"/>
      <c r="DZ71" s="68"/>
      <c r="EA71" s="68"/>
      <c r="EB71" s="68"/>
      <c r="EC71" s="167"/>
      <c r="ED71" s="168"/>
      <c r="EE71" s="169"/>
      <c r="EF71" s="168"/>
      <c r="EG71" s="170"/>
      <c r="EH71" s="171"/>
      <c r="EI71" s="68"/>
      <c r="EJ71" s="68"/>
      <c r="EK71" s="68"/>
      <c r="EL71" s="167"/>
      <c r="EM71" s="168"/>
      <c r="EN71" s="169"/>
      <c r="EO71" s="168"/>
      <c r="EP71" s="170"/>
      <c r="EQ71" s="171"/>
      <c r="ER71" s="68"/>
      <c r="ES71" s="68"/>
      <c r="ET71" s="68"/>
      <c r="EU71" s="167"/>
      <c r="EV71" s="168"/>
      <c r="EW71" s="169"/>
      <c r="EX71" s="168"/>
      <c r="EY71" s="170"/>
      <c r="EZ71" s="171"/>
      <c r="FA71" s="68"/>
      <c r="FB71" s="68"/>
      <c r="FC71" s="68"/>
      <c r="FD71" s="167"/>
      <c r="FE71" s="168"/>
      <c r="FF71" s="169"/>
      <c r="FG71" s="168"/>
      <c r="FH71" s="170"/>
      <c r="FI71" s="171"/>
      <c r="FJ71" s="68"/>
      <c r="FK71" s="68"/>
      <c r="FL71" s="68"/>
      <c r="FM71" s="167"/>
      <c r="FN71" s="168"/>
      <c r="FO71" s="169"/>
      <c r="FP71" s="168"/>
      <c r="FQ71" s="170"/>
      <c r="FR71" s="171"/>
      <c r="FS71" s="68"/>
      <c r="FT71" s="68"/>
      <c r="FU71" s="68"/>
      <c r="FV71" s="167"/>
      <c r="FW71" s="168"/>
      <c r="FX71" s="169"/>
      <c r="FY71" s="168"/>
      <c r="FZ71" s="170"/>
      <c r="GA71" s="171"/>
      <c r="GB71" s="68"/>
      <c r="GC71" s="68"/>
      <c r="GD71" s="68"/>
      <c r="GE71" s="167"/>
      <c r="GF71" s="168"/>
      <c r="GG71" s="169"/>
      <c r="GH71" s="168"/>
      <c r="GI71" s="170"/>
      <c r="GJ71" s="171"/>
      <c r="GK71" s="68"/>
      <c r="GL71" s="68"/>
      <c r="GM71" s="68"/>
      <c r="GN71" s="167"/>
      <c r="GO71" s="168"/>
      <c r="GP71" s="169"/>
      <c r="GQ71" s="168"/>
      <c r="GR71" s="170"/>
      <c r="GS71" s="171"/>
      <c r="GT71" s="171"/>
      <c r="GU71" s="64"/>
      <c r="GV71" s="65"/>
      <c r="GW71" s="66"/>
      <c r="GX71" s="66"/>
      <c r="GY71" s="167"/>
      <c r="GZ71" s="86"/>
    </row>
    <row r="72" spans="1:208" x14ac:dyDescent="0.25">
      <c r="A72"/>
      <c r="D72" s="35"/>
      <c r="E72" s="36"/>
      <c r="F72" s="37"/>
      <c r="G72" s="38"/>
      <c r="H72" s="39"/>
      <c r="I72" s="40"/>
      <c r="J72" s="68"/>
      <c r="K72" s="407"/>
      <c r="L72" s="70"/>
      <c r="M72" s="71"/>
      <c r="N72" s="56"/>
      <c r="O72" s="72"/>
      <c r="P72" s="113">
        <f t="shared" si="0"/>
        <v>0</v>
      </c>
      <c r="Q72" s="117"/>
      <c r="R72" s="117"/>
      <c r="S72" s="117"/>
      <c r="T72" s="39">
        <f t="shared" si="1"/>
        <v>0</v>
      </c>
      <c r="U72" s="138"/>
      <c r="V72" s="166"/>
      <c r="W72" s="86"/>
      <c r="X72" s="68"/>
      <c r="Y72" s="167"/>
      <c r="Z72" s="168"/>
      <c r="AA72" s="169"/>
      <c r="AB72" s="168"/>
      <c r="AC72" s="170"/>
      <c r="AD72" s="171"/>
      <c r="AE72" s="68"/>
      <c r="AF72" s="68"/>
      <c r="AG72" s="68"/>
      <c r="AH72" s="167"/>
      <c r="AI72" s="168"/>
      <c r="AJ72" s="169"/>
      <c r="AK72" s="168"/>
      <c r="AL72" s="170"/>
      <c r="AM72" s="171"/>
      <c r="AN72" s="68"/>
      <c r="AO72" s="68"/>
      <c r="AP72" s="68"/>
      <c r="AQ72" s="167"/>
      <c r="AR72" s="168"/>
      <c r="AS72" s="169"/>
      <c r="AT72" s="168"/>
      <c r="AU72" s="170"/>
      <c r="AV72" s="171"/>
      <c r="AW72" s="68"/>
      <c r="AX72" s="68"/>
      <c r="AY72" s="68"/>
      <c r="AZ72" s="167"/>
      <c r="BA72" s="168"/>
      <c r="BB72" s="169"/>
      <c r="BC72" s="168"/>
      <c r="BD72" s="170"/>
      <c r="BE72" s="171"/>
      <c r="BF72" s="68"/>
      <c r="BG72" s="68"/>
      <c r="BH72" s="68"/>
      <c r="BI72" s="167"/>
      <c r="BJ72" s="168"/>
      <c r="BK72" s="169"/>
      <c r="BL72" s="168"/>
      <c r="BM72" s="170"/>
      <c r="BN72" s="171"/>
      <c r="BO72" s="68"/>
      <c r="BP72" s="68"/>
      <c r="BQ72" s="68"/>
      <c r="BR72" s="167"/>
      <c r="BS72" s="168"/>
      <c r="BT72" s="169"/>
      <c r="BU72" s="168"/>
      <c r="BV72" s="170"/>
      <c r="BW72" s="171"/>
      <c r="BX72" s="68"/>
      <c r="BY72" s="68"/>
      <c r="BZ72" s="68"/>
      <c r="CA72" s="167"/>
      <c r="CB72" s="168"/>
      <c r="CC72" s="169"/>
      <c r="CD72" s="168"/>
      <c r="CE72" s="170"/>
      <c r="CF72" s="171"/>
      <c r="CG72" s="68"/>
      <c r="CH72" s="68"/>
      <c r="CI72" s="68"/>
      <c r="CJ72" s="167"/>
      <c r="CK72" s="168"/>
      <c r="CL72" s="169"/>
      <c r="CM72" s="168"/>
      <c r="CN72" s="170"/>
      <c r="CO72" s="171"/>
      <c r="CP72" s="68"/>
      <c r="CQ72" s="68"/>
      <c r="CR72" s="68"/>
      <c r="CS72" s="167"/>
      <c r="CT72" s="168"/>
      <c r="CU72" s="169"/>
      <c r="CV72" s="168"/>
      <c r="CW72" s="170"/>
      <c r="CX72" s="171"/>
      <c r="CY72" s="68"/>
      <c r="CZ72" s="68"/>
      <c r="DA72" s="68"/>
      <c r="DB72" s="167"/>
      <c r="DC72" s="168"/>
      <c r="DD72" s="169"/>
      <c r="DE72" s="168"/>
      <c r="DF72" s="170"/>
      <c r="DG72" s="171"/>
      <c r="DH72" s="68"/>
      <c r="DI72" s="68"/>
      <c r="DJ72" s="68"/>
      <c r="DK72" s="167"/>
      <c r="DL72" s="168"/>
      <c r="DM72" s="169"/>
      <c r="DN72" s="168"/>
      <c r="DO72" s="170"/>
      <c r="DP72" s="171"/>
      <c r="DQ72" s="68"/>
      <c r="DR72" s="68"/>
      <c r="DS72" s="68"/>
      <c r="DT72" s="167"/>
      <c r="DU72" s="168"/>
      <c r="DV72" s="169"/>
      <c r="DW72" s="168"/>
      <c r="DX72" s="170"/>
      <c r="DY72" s="171"/>
      <c r="DZ72" s="68"/>
      <c r="EA72" s="68"/>
      <c r="EB72" s="68"/>
      <c r="EC72" s="167"/>
      <c r="ED72" s="168"/>
      <c r="EE72" s="169"/>
      <c r="EF72" s="168"/>
      <c r="EG72" s="170"/>
      <c r="EH72" s="171"/>
      <c r="EI72" s="68"/>
      <c r="EJ72" s="68"/>
      <c r="EK72" s="68"/>
      <c r="EL72" s="167"/>
      <c r="EM72" s="168"/>
      <c r="EN72" s="169"/>
      <c r="EO72" s="168"/>
      <c r="EP72" s="170"/>
      <c r="EQ72" s="171"/>
      <c r="ER72" s="68"/>
      <c r="ES72" s="68"/>
      <c r="ET72" s="68"/>
      <c r="EU72" s="167"/>
      <c r="EV72" s="168"/>
      <c r="EW72" s="169"/>
      <c r="EX72" s="168"/>
      <c r="EY72" s="170"/>
      <c r="EZ72" s="171"/>
      <c r="FA72" s="68"/>
      <c r="FB72" s="68"/>
      <c r="FC72" s="68"/>
      <c r="FD72" s="167"/>
      <c r="FE72" s="168"/>
      <c r="FF72" s="169"/>
      <c r="FG72" s="168"/>
      <c r="FH72" s="170"/>
      <c r="FI72" s="171"/>
      <c r="FJ72" s="68"/>
      <c r="FK72" s="68"/>
      <c r="FL72" s="68"/>
      <c r="FM72" s="167"/>
      <c r="FN72" s="168"/>
      <c r="FO72" s="169"/>
      <c r="FP72" s="168"/>
      <c r="FQ72" s="170"/>
      <c r="FR72" s="171"/>
      <c r="FS72" s="68"/>
      <c r="FT72" s="68"/>
      <c r="FU72" s="68"/>
      <c r="FV72" s="167"/>
      <c r="FW72" s="168"/>
      <c r="FX72" s="169"/>
      <c r="FY72" s="168"/>
      <c r="FZ72" s="170"/>
      <c r="GA72" s="171"/>
      <c r="GB72" s="68"/>
      <c r="GC72" s="68"/>
      <c r="GD72" s="68"/>
      <c r="GE72" s="167"/>
      <c r="GF72" s="168"/>
      <c r="GG72" s="169"/>
      <c r="GH72" s="168"/>
      <c r="GI72" s="170"/>
      <c r="GJ72" s="171"/>
      <c r="GK72" s="68"/>
      <c r="GL72" s="68"/>
      <c r="GM72" s="68"/>
      <c r="GN72" s="167"/>
      <c r="GO72" s="168"/>
      <c r="GP72" s="169"/>
      <c r="GQ72" s="168"/>
      <c r="GR72" s="170"/>
      <c r="GS72" s="171"/>
      <c r="GT72" s="171"/>
      <c r="GU72" s="64"/>
      <c r="GV72" s="65"/>
      <c r="GW72" s="66"/>
      <c r="GX72" s="66"/>
      <c r="GY72" s="167"/>
      <c r="GZ72" s="86"/>
    </row>
    <row r="73" spans="1:208" x14ac:dyDescent="0.25">
      <c r="A73"/>
      <c r="D73" s="35"/>
      <c r="E73" s="36"/>
      <c r="F73" s="37"/>
      <c r="G73" s="38"/>
      <c r="H73" s="39"/>
      <c r="I73" s="40"/>
      <c r="J73" s="68"/>
      <c r="K73" s="407"/>
      <c r="L73" s="70"/>
      <c r="M73" s="71"/>
      <c r="N73" s="56"/>
      <c r="O73" s="72"/>
      <c r="P73" s="113">
        <f t="shared" ref="P73:P75" si="5">O73-L73</f>
        <v>0</v>
      </c>
      <c r="Q73" s="117"/>
      <c r="R73" s="117"/>
      <c r="S73" s="117"/>
      <c r="T73" s="39">
        <f t="shared" si="1"/>
        <v>0</v>
      </c>
      <c r="U73" s="138"/>
      <c r="V73" s="172"/>
      <c r="W73" s="86"/>
      <c r="X73" s="68"/>
      <c r="Y73" s="167"/>
      <c r="Z73" s="168"/>
      <c r="AA73" s="169"/>
      <c r="AB73" s="168"/>
      <c r="AC73" s="170"/>
      <c r="AD73" s="171"/>
      <c r="AE73" s="68"/>
      <c r="AF73" s="68"/>
      <c r="AG73" s="68"/>
      <c r="AH73" s="167"/>
      <c r="AI73" s="168"/>
      <c r="AJ73" s="169"/>
      <c r="AK73" s="168"/>
      <c r="AL73" s="170"/>
      <c r="AM73" s="171"/>
      <c r="AN73" s="68"/>
      <c r="AO73" s="68"/>
      <c r="AP73" s="68"/>
      <c r="AQ73" s="167"/>
      <c r="AR73" s="168"/>
      <c r="AS73" s="169"/>
      <c r="AT73" s="168"/>
      <c r="AU73" s="170"/>
      <c r="AV73" s="171"/>
      <c r="AW73" s="68"/>
      <c r="AX73" s="68"/>
      <c r="AY73" s="68"/>
      <c r="AZ73" s="167"/>
      <c r="BA73" s="168"/>
      <c r="BB73" s="169"/>
      <c r="BC73" s="168"/>
      <c r="BD73" s="170"/>
      <c r="BE73" s="171"/>
      <c r="BF73" s="68"/>
      <c r="BG73" s="68"/>
      <c r="BH73" s="68"/>
      <c r="BI73" s="167"/>
      <c r="BJ73" s="168"/>
      <c r="BK73" s="169"/>
      <c r="BL73" s="168"/>
      <c r="BM73" s="170"/>
      <c r="BN73" s="171"/>
      <c r="BO73" s="68"/>
      <c r="BP73" s="68"/>
      <c r="BQ73" s="68"/>
      <c r="BR73" s="167"/>
      <c r="BS73" s="168"/>
      <c r="BT73" s="169"/>
      <c r="BU73" s="168"/>
      <c r="BV73" s="170"/>
      <c r="BW73" s="171"/>
      <c r="BX73" s="68"/>
      <c r="BY73" s="68"/>
      <c r="BZ73" s="68"/>
      <c r="CA73" s="167"/>
      <c r="CB73" s="168"/>
      <c r="CC73" s="169"/>
      <c r="CD73" s="168"/>
      <c r="CE73" s="170"/>
      <c r="CF73" s="171"/>
      <c r="CG73" s="68"/>
      <c r="CH73" s="68"/>
      <c r="CI73" s="68"/>
      <c r="CJ73" s="167"/>
      <c r="CK73" s="168"/>
      <c r="CL73" s="169"/>
      <c r="CM73" s="168"/>
      <c r="CN73" s="170"/>
      <c r="CO73" s="171"/>
      <c r="CP73" s="68"/>
      <c r="CQ73" s="68"/>
      <c r="CR73" s="68"/>
      <c r="CS73" s="167"/>
      <c r="CT73" s="168"/>
      <c r="CU73" s="169"/>
      <c r="CV73" s="168"/>
      <c r="CW73" s="170"/>
      <c r="CX73" s="171"/>
      <c r="CY73" s="68"/>
      <c r="CZ73" s="68"/>
      <c r="DA73" s="68"/>
      <c r="DB73" s="167"/>
      <c r="DC73" s="168"/>
      <c r="DD73" s="169"/>
      <c r="DE73" s="168"/>
      <c r="DF73" s="170"/>
      <c r="DG73" s="171"/>
      <c r="DH73" s="68"/>
      <c r="DI73" s="68"/>
      <c r="DJ73" s="68"/>
      <c r="DK73" s="167"/>
      <c r="DL73" s="168"/>
      <c r="DM73" s="169"/>
      <c r="DN73" s="168"/>
      <c r="DO73" s="170"/>
      <c r="DP73" s="171"/>
      <c r="DQ73" s="68"/>
      <c r="DR73" s="68"/>
      <c r="DS73" s="68"/>
      <c r="DT73" s="167"/>
      <c r="DU73" s="168"/>
      <c r="DV73" s="169"/>
      <c r="DW73" s="168"/>
      <c r="DX73" s="170"/>
      <c r="DY73" s="171"/>
      <c r="DZ73" s="68"/>
      <c r="EA73" s="68"/>
      <c r="EB73" s="68"/>
      <c r="EC73" s="167"/>
      <c r="ED73" s="168"/>
      <c r="EE73" s="169"/>
      <c r="EF73" s="168"/>
      <c r="EG73" s="170"/>
      <c r="EH73" s="171"/>
      <c r="EI73" s="68"/>
      <c r="EJ73" s="68"/>
      <c r="EK73" s="68"/>
      <c r="EL73" s="167"/>
      <c r="EM73" s="168"/>
      <c r="EN73" s="169"/>
      <c r="EO73" s="168"/>
      <c r="EP73" s="170"/>
      <c r="EQ73" s="171"/>
      <c r="ER73" s="68"/>
      <c r="ES73" s="68"/>
      <c r="ET73" s="68"/>
      <c r="EU73" s="167"/>
      <c r="EV73" s="168"/>
      <c r="EW73" s="169"/>
      <c r="EX73" s="168"/>
      <c r="EY73" s="170"/>
      <c r="EZ73" s="171"/>
      <c r="FA73" s="68"/>
      <c r="FB73" s="68"/>
      <c r="FC73" s="68"/>
      <c r="FD73" s="167"/>
      <c r="FE73" s="168"/>
      <c r="FF73" s="169"/>
      <c r="FG73" s="168"/>
      <c r="FH73" s="170"/>
      <c r="FI73" s="171"/>
      <c r="FJ73" s="68"/>
      <c r="FK73" s="68"/>
      <c r="FL73" s="68"/>
      <c r="FM73" s="167"/>
      <c r="FN73" s="168"/>
      <c r="FO73" s="169"/>
      <c r="FP73" s="168"/>
      <c r="FQ73" s="170"/>
      <c r="FR73" s="171"/>
      <c r="FS73" s="68"/>
      <c r="FT73" s="68"/>
      <c r="FU73" s="68"/>
      <c r="FV73" s="167"/>
      <c r="FW73" s="168"/>
      <c r="FX73" s="169"/>
      <c r="FY73" s="168"/>
      <c r="FZ73" s="170"/>
      <c r="GA73" s="171"/>
      <c r="GB73" s="68"/>
      <c r="GC73" s="68"/>
      <c r="GD73" s="68"/>
      <c r="GE73" s="167"/>
      <c r="GF73" s="168"/>
      <c r="GG73" s="169"/>
      <c r="GH73" s="168"/>
      <c r="GI73" s="170"/>
      <c r="GJ73" s="171"/>
      <c r="GK73" s="68"/>
      <c r="GL73" s="68"/>
      <c r="GM73" s="68"/>
      <c r="GN73" s="167"/>
      <c r="GO73" s="168"/>
      <c r="GP73" s="169"/>
      <c r="GQ73" s="168"/>
      <c r="GR73" s="170"/>
      <c r="GS73" s="171"/>
      <c r="GT73" s="171"/>
      <c r="GU73" s="64"/>
      <c r="GV73" s="65"/>
      <c r="GW73" s="66"/>
      <c r="GX73" s="66"/>
      <c r="GY73" s="167"/>
      <c r="GZ73" s="86"/>
    </row>
    <row r="74" spans="1:208" x14ac:dyDescent="0.25">
      <c r="A74"/>
      <c r="D74" s="35"/>
      <c r="E74" s="36"/>
      <c r="F74" s="37"/>
      <c r="G74" s="38"/>
      <c r="H74" s="39"/>
      <c r="I74" s="40"/>
      <c r="J74" s="68"/>
      <c r="K74" s="407"/>
      <c r="L74" s="70"/>
      <c r="M74" s="71"/>
      <c r="N74" s="173"/>
      <c r="O74" s="72"/>
      <c r="P74" s="113">
        <f t="shared" si="5"/>
        <v>0</v>
      </c>
      <c r="Q74" s="117"/>
      <c r="R74" s="117"/>
      <c r="S74" s="117"/>
      <c r="T74" s="39">
        <f t="shared" si="1"/>
        <v>0</v>
      </c>
      <c r="U74" s="138"/>
      <c r="V74" s="172"/>
      <c r="W74" s="86"/>
      <c r="X74" s="68"/>
      <c r="Y74" s="167"/>
      <c r="Z74" s="168"/>
      <c r="AA74" s="169"/>
      <c r="AB74" s="168"/>
      <c r="AC74" s="170"/>
      <c r="AD74" s="171"/>
      <c r="AE74" s="68"/>
      <c r="AF74" s="68"/>
      <c r="AG74" s="68"/>
      <c r="AH74" s="167"/>
      <c r="AI74" s="168"/>
      <c r="AJ74" s="169"/>
      <c r="AK74" s="168"/>
      <c r="AL74" s="170"/>
      <c r="AM74" s="171"/>
      <c r="AN74" s="68"/>
      <c r="AO74" s="68"/>
      <c r="AP74" s="68"/>
      <c r="AQ74" s="167"/>
      <c r="AR74" s="168"/>
      <c r="AS74" s="169"/>
      <c r="AT74" s="168"/>
      <c r="AU74" s="170"/>
      <c r="AV74" s="171"/>
      <c r="AW74" s="68"/>
      <c r="AX74" s="68"/>
      <c r="AY74" s="68"/>
      <c r="AZ74" s="167"/>
      <c r="BA74" s="168"/>
      <c r="BB74" s="169"/>
      <c r="BC74" s="168"/>
      <c r="BD74" s="170"/>
      <c r="BE74" s="171"/>
      <c r="BF74" s="68"/>
      <c r="BG74" s="68"/>
      <c r="BH74" s="68"/>
      <c r="BI74" s="167"/>
      <c r="BJ74" s="168"/>
      <c r="BK74" s="169"/>
      <c r="BL74" s="168"/>
      <c r="BM74" s="170"/>
      <c r="BN74" s="171"/>
      <c r="BO74" s="68"/>
      <c r="BP74" s="68"/>
      <c r="BQ74" s="68"/>
      <c r="BR74" s="167"/>
      <c r="BS74" s="168"/>
      <c r="BT74" s="169"/>
      <c r="BU74" s="168"/>
      <c r="BV74" s="170"/>
      <c r="BW74" s="171"/>
      <c r="BX74" s="68"/>
      <c r="BY74" s="68"/>
      <c r="BZ74" s="68"/>
      <c r="CA74" s="167"/>
      <c r="CB74" s="168"/>
      <c r="CC74" s="169"/>
      <c r="CD74" s="168"/>
      <c r="CE74" s="170"/>
      <c r="CF74" s="171"/>
      <c r="CG74" s="68"/>
      <c r="CH74" s="68"/>
      <c r="CI74" s="68"/>
      <c r="CJ74" s="167"/>
      <c r="CK74" s="168"/>
      <c r="CL74" s="169"/>
      <c r="CM74" s="168"/>
      <c r="CN74" s="170"/>
      <c r="CO74" s="171"/>
      <c r="CP74" s="68"/>
      <c r="CQ74" s="68"/>
      <c r="CR74" s="68"/>
      <c r="CS74" s="167"/>
      <c r="CT74" s="168"/>
      <c r="CU74" s="169"/>
      <c r="CV74" s="168"/>
      <c r="CW74" s="170"/>
      <c r="CX74" s="171"/>
      <c r="CY74" s="68"/>
      <c r="CZ74" s="68"/>
      <c r="DA74" s="68"/>
      <c r="DB74" s="167"/>
      <c r="DC74" s="168"/>
      <c r="DD74" s="169"/>
      <c r="DE74" s="168"/>
      <c r="DF74" s="170"/>
      <c r="DG74" s="171"/>
      <c r="DH74" s="68"/>
      <c r="DI74" s="68"/>
      <c r="DJ74" s="68"/>
      <c r="DK74" s="167"/>
      <c r="DL74" s="168"/>
      <c r="DM74" s="169"/>
      <c r="DN74" s="168"/>
      <c r="DO74" s="170"/>
      <c r="DP74" s="171"/>
      <c r="DQ74" s="68"/>
      <c r="DR74" s="68"/>
      <c r="DS74" s="68"/>
      <c r="DT74" s="167"/>
      <c r="DU74" s="168"/>
      <c r="DV74" s="169"/>
      <c r="DW74" s="168"/>
      <c r="DX74" s="170"/>
      <c r="DY74" s="171"/>
      <c r="DZ74" s="68"/>
      <c r="EA74" s="68"/>
      <c r="EB74" s="68"/>
      <c r="EC74" s="167"/>
      <c r="ED74" s="168"/>
      <c r="EE74" s="169"/>
      <c r="EF74" s="168"/>
      <c r="EG74" s="170"/>
      <c r="EH74" s="171"/>
      <c r="EI74" s="68"/>
      <c r="EJ74" s="68"/>
      <c r="EK74" s="68"/>
      <c r="EL74" s="167"/>
      <c r="EM74" s="168"/>
      <c r="EN74" s="169"/>
      <c r="EO74" s="168"/>
      <c r="EP74" s="170"/>
      <c r="EQ74" s="171"/>
      <c r="ER74" s="68"/>
      <c r="ES74" s="68"/>
      <c r="ET74" s="68"/>
      <c r="EU74" s="167"/>
      <c r="EV74" s="168"/>
      <c r="EW74" s="169"/>
      <c r="EX74" s="168"/>
      <c r="EY74" s="170"/>
      <c r="EZ74" s="171"/>
      <c r="FA74" s="68"/>
      <c r="FB74" s="68"/>
      <c r="FC74" s="68"/>
      <c r="FD74" s="167"/>
      <c r="FE74" s="168"/>
      <c r="FF74" s="169"/>
      <c r="FG74" s="168"/>
      <c r="FH74" s="170"/>
      <c r="FI74" s="171"/>
      <c r="FJ74" s="68"/>
      <c r="FK74" s="68"/>
      <c r="FL74" s="68"/>
      <c r="FM74" s="167"/>
      <c r="FN74" s="168"/>
      <c r="FO74" s="169"/>
      <c r="FP74" s="168"/>
      <c r="FQ74" s="170"/>
      <c r="FR74" s="171"/>
      <c r="FS74" s="68"/>
      <c r="FT74" s="68"/>
      <c r="FU74" s="68"/>
      <c r="FV74" s="167"/>
      <c r="FW74" s="168"/>
      <c r="FX74" s="169"/>
      <c r="FY74" s="168"/>
      <c r="FZ74" s="170"/>
      <c r="GA74" s="171"/>
      <c r="GB74" s="68"/>
      <c r="GC74" s="68"/>
      <c r="GD74" s="68"/>
      <c r="GE74" s="167"/>
      <c r="GF74" s="168"/>
      <c r="GG74" s="169"/>
      <c r="GH74" s="168"/>
      <c r="GI74" s="170"/>
      <c r="GJ74" s="171"/>
      <c r="GK74" s="68"/>
      <c r="GL74" s="68"/>
      <c r="GM74" s="68"/>
      <c r="GN74" s="167"/>
      <c r="GO74" s="168"/>
      <c r="GP74" s="169"/>
      <c r="GQ74" s="168"/>
      <c r="GR74" s="170"/>
      <c r="GS74" s="171"/>
      <c r="GT74" s="171"/>
      <c r="GU74" s="64"/>
      <c r="GV74" s="65"/>
      <c r="GW74" s="66"/>
      <c r="GX74" s="66"/>
      <c r="GY74" s="167"/>
      <c r="GZ74" s="86"/>
    </row>
    <row r="75" spans="1:208" x14ac:dyDescent="0.25">
      <c r="A75"/>
      <c r="D75" s="35"/>
      <c r="E75" s="36"/>
      <c r="F75" s="37"/>
      <c r="G75" s="38"/>
      <c r="H75" s="39"/>
      <c r="I75" s="40"/>
      <c r="J75" s="174"/>
      <c r="K75" s="407"/>
      <c r="L75" s="70"/>
      <c r="M75" s="71"/>
      <c r="N75" s="175"/>
      <c r="O75" s="72"/>
      <c r="P75" s="113">
        <f t="shared" si="5"/>
        <v>0</v>
      </c>
      <c r="Q75" s="117"/>
      <c r="R75" s="117"/>
      <c r="S75" s="117"/>
      <c r="T75" s="39">
        <f t="shared" ref="T75:T82" si="6">Q75*O75</f>
        <v>0</v>
      </c>
      <c r="U75" s="138"/>
      <c r="V75" s="172"/>
      <c r="W75" s="86"/>
      <c r="X75" s="68"/>
      <c r="Y75" s="167"/>
      <c r="Z75" s="168"/>
      <c r="AA75" s="169"/>
      <c r="AB75" s="168"/>
      <c r="AC75" s="170"/>
      <c r="AD75" s="171"/>
      <c r="AE75" s="68"/>
      <c r="AF75" s="68"/>
      <c r="AG75" s="68"/>
      <c r="AH75" s="167"/>
      <c r="AI75" s="168"/>
      <c r="AJ75" s="169"/>
      <c r="AK75" s="168"/>
      <c r="AL75" s="170"/>
      <c r="AM75" s="171"/>
      <c r="AN75" s="68"/>
      <c r="AO75" s="68"/>
      <c r="AP75" s="68"/>
      <c r="AQ75" s="167"/>
      <c r="AR75" s="168"/>
      <c r="AS75" s="169"/>
      <c r="AT75" s="168"/>
      <c r="AU75" s="170"/>
      <c r="AV75" s="171"/>
      <c r="AW75" s="68"/>
      <c r="AX75" s="68"/>
      <c r="AY75" s="68"/>
      <c r="AZ75" s="167"/>
      <c r="BA75" s="168"/>
      <c r="BB75" s="169"/>
      <c r="BC75" s="168"/>
      <c r="BD75" s="170"/>
      <c r="BE75" s="171"/>
      <c r="BF75" s="68"/>
      <c r="BG75" s="68"/>
      <c r="BH75" s="68"/>
      <c r="BI75" s="167"/>
      <c r="BJ75" s="168"/>
      <c r="BK75" s="169"/>
      <c r="BL75" s="168"/>
      <c r="BM75" s="170"/>
      <c r="BN75" s="171"/>
      <c r="BO75" s="68"/>
      <c r="BP75" s="68"/>
      <c r="BQ75" s="68"/>
      <c r="BR75" s="167"/>
      <c r="BS75" s="168"/>
      <c r="BT75" s="169"/>
      <c r="BU75" s="168"/>
      <c r="BV75" s="170"/>
      <c r="BW75" s="171"/>
      <c r="BX75" s="68"/>
      <c r="BY75" s="68"/>
      <c r="BZ75" s="68"/>
      <c r="CA75" s="167"/>
      <c r="CB75" s="168"/>
      <c r="CC75" s="169"/>
      <c r="CD75" s="168"/>
      <c r="CE75" s="170"/>
      <c r="CF75" s="171"/>
      <c r="CG75" s="68"/>
      <c r="CH75" s="68"/>
      <c r="CI75" s="68"/>
      <c r="CJ75" s="167"/>
      <c r="CK75" s="168"/>
      <c r="CL75" s="169"/>
      <c r="CM75" s="168"/>
      <c r="CN75" s="170"/>
      <c r="CO75" s="171"/>
      <c r="CP75" s="68"/>
      <c r="CQ75" s="68"/>
      <c r="CR75" s="68"/>
      <c r="CS75" s="167"/>
      <c r="CT75" s="168"/>
      <c r="CU75" s="169"/>
      <c r="CV75" s="168"/>
      <c r="CW75" s="170"/>
      <c r="CX75" s="171"/>
      <c r="CY75" s="68"/>
      <c r="CZ75" s="68"/>
      <c r="DA75" s="68"/>
      <c r="DB75" s="167"/>
      <c r="DC75" s="168"/>
      <c r="DD75" s="169"/>
      <c r="DE75" s="168"/>
      <c r="DF75" s="170"/>
      <c r="DG75" s="171"/>
      <c r="DH75" s="68"/>
      <c r="DI75" s="68"/>
      <c r="DJ75" s="68"/>
      <c r="DK75" s="167"/>
      <c r="DL75" s="168"/>
      <c r="DM75" s="169"/>
      <c r="DN75" s="168"/>
      <c r="DO75" s="170"/>
      <c r="DP75" s="171"/>
      <c r="DQ75" s="68"/>
      <c r="DR75" s="68"/>
      <c r="DS75" s="68"/>
      <c r="DT75" s="167"/>
      <c r="DU75" s="168"/>
      <c r="DV75" s="169"/>
      <c r="DW75" s="168"/>
      <c r="DX75" s="170"/>
      <c r="DY75" s="171"/>
      <c r="DZ75" s="68"/>
      <c r="EA75" s="68"/>
      <c r="EB75" s="68"/>
      <c r="EC75" s="167"/>
      <c r="ED75" s="168"/>
      <c r="EE75" s="169"/>
      <c r="EF75" s="168"/>
      <c r="EG75" s="170"/>
      <c r="EH75" s="171"/>
      <c r="EI75" s="68"/>
      <c r="EJ75" s="68"/>
      <c r="EK75" s="68"/>
      <c r="EL75" s="167"/>
      <c r="EM75" s="168"/>
      <c r="EN75" s="169"/>
      <c r="EO75" s="168"/>
      <c r="EP75" s="170"/>
      <c r="EQ75" s="171"/>
      <c r="ER75" s="68"/>
      <c r="ES75" s="68"/>
      <c r="ET75" s="68"/>
      <c r="EU75" s="167"/>
      <c r="EV75" s="168"/>
      <c r="EW75" s="169"/>
      <c r="EX75" s="168"/>
      <c r="EY75" s="170"/>
      <c r="EZ75" s="171"/>
      <c r="FA75" s="68"/>
      <c r="FB75" s="68"/>
      <c r="FC75" s="68"/>
      <c r="FD75" s="167"/>
      <c r="FE75" s="168"/>
      <c r="FF75" s="169"/>
      <c r="FG75" s="168"/>
      <c r="FH75" s="170"/>
      <c r="FI75" s="171"/>
      <c r="FJ75" s="68"/>
      <c r="FK75" s="68"/>
      <c r="FL75" s="68"/>
      <c r="FM75" s="167"/>
      <c r="FN75" s="168"/>
      <c r="FO75" s="169"/>
      <c r="FP75" s="168"/>
      <c r="FQ75" s="170"/>
      <c r="FR75" s="171"/>
      <c r="FS75" s="68"/>
      <c r="FT75" s="68"/>
      <c r="FU75" s="68"/>
      <c r="FV75" s="167"/>
      <c r="FW75" s="168"/>
      <c r="FX75" s="169"/>
      <c r="FY75" s="168"/>
      <c r="FZ75" s="170"/>
      <c r="GA75" s="171"/>
      <c r="GB75" s="68"/>
      <c r="GC75" s="68"/>
      <c r="GD75" s="68"/>
      <c r="GE75" s="167"/>
      <c r="GF75" s="168"/>
      <c r="GG75" s="169"/>
      <c r="GH75" s="168"/>
      <c r="GI75" s="170"/>
      <c r="GJ75" s="171"/>
      <c r="GK75" s="68"/>
      <c r="GL75" s="68"/>
      <c r="GM75" s="68"/>
      <c r="GN75" s="167"/>
      <c r="GO75" s="168"/>
      <c r="GP75" s="169"/>
      <c r="GQ75" s="168"/>
      <c r="GR75" s="170"/>
      <c r="GS75" s="171"/>
      <c r="GT75" s="171"/>
      <c r="GU75" s="64"/>
      <c r="GV75" s="65"/>
      <c r="GW75" s="66"/>
      <c r="GX75" s="66"/>
      <c r="GY75" s="391"/>
      <c r="GZ75" s="67"/>
    </row>
    <row r="76" spans="1:208" x14ac:dyDescent="0.25">
      <c r="A76"/>
      <c r="D76" s="35"/>
      <c r="E76" s="36"/>
      <c r="F76" s="37"/>
      <c r="G76" s="38"/>
      <c r="H76" s="39"/>
      <c r="I76" s="40"/>
      <c r="J76" s="177"/>
      <c r="K76" s="452"/>
      <c r="N76" s="179"/>
      <c r="P76" s="27"/>
      <c r="Q76" s="180"/>
      <c r="R76" s="180"/>
      <c r="S76" s="180"/>
      <c r="T76" s="39">
        <f t="shared" si="6"/>
        <v>0</v>
      </c>
      <c r="U76" s="181"/>
      <c r="V76" s="182"/>
      <c r="W76" s="30"/>
      <c r="X76" s="8"/>
      <c r="Y76" s="183"/>
      <c r="Z76" s="184"/>
      <c r="AA76" s="185"/>
      <c r="AB76" s="184"/>
      <c r="AC76" s="186"/>
      <c r="AD76" s="187"/>
      <c r="AE76" s="8"/>
      <c r="AF76" s="8"/>
      <c r="AG76" s="188"/>
      <c r="AH76" s="183"/>
      <c r="AI76" s="184"/>
      <c r="AJ76" s="185"/>
      <c r="AK76" s="28"/>
      <c r="AL76" s="186"/>
      <c r="AM76" s="187"/>
      <c r="AN76" s="8"/>
      <c r="AO76" s="8"/>
      <c r="AP76" s="188"/>
      <c r="AQ76" s="183"/>
      <c r="AR76" s="184"/>
      <c r="AS76" s="185"/>
      <c r="AT76" s="184"/>
      <c r="AU76" s="186"/>
      <c r="AV76" s="187"/>
      <c r="AW76" s="8"/>
      <c r="AX76" s="8"/>
      <c r="AY76" s="188"/>
      <c r="AZ76" s="183"/>
      <c r="BA76" s="184"/>
      <c r="BB76" s="185"/>
      <c r="BC76" s="28"/>
      <c r="BD76" s="186"/>
      <c r="BE76" s="187"/>
      <c r="BF76" s="8"/>
      <c r="BG76" s="8"/>
      <c r="BH76" s="188"/>
      <c r="BI76" s="183"/>
      <c r="BJ76" s="184"/>
      <c r="BK76" s="185"/>
      <c r="BL76" s="28"/>
      <c r="BM76" s="186"/>
      <c r="BN76" s="187"/>
      <c r="BO76" s="8"/>
      <c r="BP76" s="8"/>
      <c r="BQ76" s="188"/>
      <c r="BR76" s="183"/>
      <c r="BS76" s="184"/>
      <c r="BT76" s="185"/>
      <c r="BU76" s="184"/>
      <c r="BV76" s="186"/>
      <c r="BW76" s="187"/>
      <c r="BX76" s="8"/>
      <c r="BY76" s="8"/>
      <c r="BZ76" s="188"/>
      <c r="CA76" s="183"/>
      <c r="CB76" s="184"/>
      <c r="CC76" s="185"/>
      <c r="CD76" s="184"/>
      <c r="CE76" s="186"/>
      <c r="CF76" s="187"/>
      <c r="CG76" s="8"/>
      <c r="CH76" s="8"/>
      <c r="CI76" s="188"/>
      <c r="CJ76" s="183"/>
      <c r="CK76" s="184"/>
      <c r="CL76" s="185"/>
      <c r="CM76" s="184"/>
      <c r="CN76" s="186"/>
      <c r="CO76" s="187"/>
      <c r="CP76" s="8"/>
      <c r="CQ76" s="8"/>
      <c r="CR76" s="188"/>
      <c r="CS76" s="183"/>
      <c r="CT76" s="184"/>
      <c r="CU76" s="189"/>
      <c r="CV76" s="28"/>
      <c r="CW76" s="190"/>
      <c r="CX76" s="187"/>
      <c r="CY76" s="8"/>
      <c r="CZ76" s="8"/>
      <c r="DA76" s="188"/>
      <c r="DB76" s="183"/>
      <c r="DC76" s="184"/>
      <c r="DD76" s="185"/>
      <c r="DE76" s="184"/>
      <c r="DF76" s="186"/>
      <c r="DG76" s="187"/>
      <c r="DH76" s="8"/>
      <c r="DI76" s="8"/>
      <c r="DJ76" s="188"/>
      <c r="DK76" s="183"/>
      <c r="DL76" s="184"/>
      <c r="DM76" s="189"/>
      <c r="DN76" s="28"/>
      <c r="DO76" s="190"/>
      <c r="DP76" s="187"/>
      <c r="DQ76" s="8"/>
      <c r="DR76" s="8"/>
      <c r="DS76" s="188"/>
      <c r="DT76" s="183"/>
      <c r="DU76" s="184"/>
      <c r="DV76" s="185"/>
      <c r="DW76" s="184"/>
      <c r="DX76" s="186"/>
      <c r="DY76" s="187"/>
      <c r="DZ76" s="8"/>
      <c r="EA76" s="8"/>
      <c r="EB76" s="188"/>
      <c r="EC76" s="183"/>
      <c r="ED76" s="184"/>
      <c r="EE76" s="189"/>
      <c r="EF76" s="28"/>
      <c r="EG76" s="190"/>
      <c r="EH76" s="187"/>
      <c r="EI76" s="8"/>
      <c r="EJ76" s="8"/>
      <c r="EK76" s="188"/>
      <c r="EL76" s="183"/>
      <c r="EM76" s="184"/>
      <c r="EN76" s="189"/>
      <c r="EO76" s="28"/>
      <c r="EP76" s="190"/>
      <c r="EQ76" s="187"/>
      <c r="ER76" s="8"/>
      <c r="ES76" s="8"/>
      <c r="ET76" s="188"/>
      <c r="EU76" s="183"/>
      <c r="EV76" s="184"/>
      <c r="EW76" s="185"/>
      <c r="EX76" s="184"/>
      <c r="EY76" s="186"/>
      <c r="EZ76" s="187"/>
      <c r="FA76" s="8"/>
      <c r="FB76" s="8"/>
      <c r="FC76" s="188"/>
      <c r="FD76" s="183"/>
      <c r="FE76" s="184"/>
      <c r="FF76" s="185"/>
      <c r="FG76" s="184"/>
      <c r="FH76" s="186"/>
      <c r="FI76" s="187"/>
      <c r="FJ76" s="8"/>
      <c r="FK76" s="8"/>
      <c r="FL76" s="188"/>
      <c r="FM76" s="183"/>
      <c r="FN76" s="184"/>
      <c r="FO76" s="185"/>
      <c r="FP76" s="184"/>
      <c r="FQ76" s="186"/>
      <c r="FR76" s="187"/>
      <c r="FS76" s="8"/>
      <c r="FT76" s="8"/>
      <c r="FU76" s="188"/>
      <c r="FV76" s="183"/>
      <c r="FW76" s="184"/>
      <c r="FX76" s="185"/>
      <c r="FY76" s="184"/>
      <c r="FZ76" s="186"/>
      <c r="GA76" s="187"/>
      <c r="GB76" s="8"/>
      <c r="GC76" s="8"/>
      <c r="GD76" s="188"/>
      <c r="GE76" s="183"/>
      <c r="GF76" s="184"/>
      <c r="GG76" s="185"/>
      <c r="GH76" s="184"/>
      <c r="GI76" s="186"/>
      <c r="GJ76" s="187"/>
      <c r="GK76" s="8"/>
      <c r="GL76" s="8"/>
      <c r="GM76" s="188"/>
      <c r="GN76" s="183"/>
      <c r="GO76" s="184"/>
      <c r="GP76" s="185"/>
      <c r="GQ76" s="184"/>
      <c r="GR76" s="186"/>
      <c r="GS76" s="187"/>
      <c r="GT76" s="187"/>
      <c r="GU76" s="29"/>
      <c r="GV76" s="191"/>
      <c r="GW76" s="31"/>
      <c r="GX76" s="31"/>
      <c r="GY76" s="387"/>
      <c r="GZ76" s="33"/>
    </row>
    <row r="77" spans="1:208" x14ac:dyDescent="0.25">
      <c r="A77"/>
      <c r="D77" s="35"/>
      <c r="E77" s="36"/>
      <c r="F77" s="37"/>
      <c r="G77" s="38"/>
      <c r="H77" s="39"/>
      <c r="I77" s="40"/>
      <c r="J77" s="177"/>
      <c r="K77" s="452"/>
      <c r="P77" s="27"/>
      <c r="Q77" s="180"/>
      <c r="R77" s="180"/>
      <c r="S77" s="180"/>
      <c r="T77" s="39">
        <f t="shared" si="6"/>
        <v>0</v>
      </c>
      <c r="U77" s="181"/>
      <c r="V77" s="182"/>
      <c r="W77" s="30"/>
      <c r="X77" s="8"/>
      <c r="Y77" s="183"/>
      <c r="Z77" s="184"/>
      <c r="AA77" s="185"/>
      <c r="AB77" s="184"/>
      <c r="AC77" s="186"/>
      <c r="AD77" s="187"/>
      <c r="AE77" s="8"/>
      <c r="AF77" s="8"/>
      <c r="AG77" s="188"/>
      <c r="AH77" s="183"/>
      <c r="AI77" s="184"/>
      <c r="AJ77" s="185"/>
      <c r="AK77" s="28"/>
      <c r="AL77" s="186"/>
      <c r="AM77" s="187"/>
      <c r="AN77" s="8"/>
      <c r="AO77" s="8"/>
      <c r="AP77" s="188"/>
      <c r="AQ77" s="183"/>
      <c r="AR77" s="184"/>
      <c r="AS77" s="185"/>
      <c r="AT77" s="184"/>
      <c r="AU77" s="186"/>
      <c r="AV77" s="187"/>
      <c r="AW77" s="8"/>
      <c r="AX77" s="8"/>
      <c r="AY77" s="188"/>
      <c r="AZ77" s="183"/>
      <c r="BA77" s="184"/>
      <c r="BB77" s="185"/>
      <c r="BC77" s="28"/>
      <c r="BD77" s="186"/>
      <c r="BE77" s="187"/>
      <c r="BF77" s="8"/>
      <c r="BG77" s="8"/>
      <c r="BH77" s="188"/>
      <c r="BI77" s="183"/>
      <c r="BJ77" s="184"/>
      <c r="BK77" s="185"/>
      <c r="BL77" s="28"/>
      <c r="BM77" s="186"/>
      <c r="BN77" s="187"/>
      <c r="BO77" s="8"/>
      <c r="BP77" s="8"/>
      <c r="BQ77" s="188"/>
      <c r="BR77" s="183"/>
      <c r="BS77" s="184"/>
      <c r="BT77" s="185"/>
      <c r="BU77" s="184"/>
      <c r="BV77" s="186"/>
      <c r="BW77" s="187"/>
      <c r="BX77" s="8"/>
      <c r="BY77" s="8"/>
      <c r="BZ77" s="188"/>
      <c r="CA77" s="183"/>
      <c r="CB77" s="184"/>
      <c r="CC77" s="185"/>
      <c r="CD77" s="184"/>
      <c r="CE77" s="186"/>
      <c r="CF77" s="187"/>
      <c r="CG77" s="8"/>
      <c r="CH77" s="8"/>
      <c r="CI77" s="188"/>
      <c r="CJ77" s="183"/>
      <c r="CK77" s="184"/>
      <c r="CL77" s="185"/>
      <c r="CM77" s="184"/>
      <c r="CN77" s="186"/>
      <c r="CO77" s="187"/>
      <c r="CP77" s="8"/>
      <c r="CQ77" s="8"/>
      <c r="CR77" s="188"/>
      <c r="CS77" s="183"/>
      <c r="CT77" s="184"/>
      <c r="CU77" s="189"/>
      <c r="CV77" s="28"/>
      <c r="CW77" s="190"/>
      <c r="CX77" s="187"/>
      <c r="CY77" s="8"/>
      <c r="CZ77" s="8"/>
      <c r="DA77" s="188"/>
      <c r="DB77" s="183"/>
      <c r="DC77" s="184"/>
      <c r="DD77" s="185"/>
      <c r="DE77" s="184"/>
      <c r="DF77" s="186"/>
      <c r="DG77" s="187"/>
      <c r="DH77" s="8"/>
      <c r="DI77" s="8"/>
      <c r="DJ77" s="188"/>
      <c r="DK77" s="183"/>
      <c r="DL77" s="184"/>
      <c r="DM77" s="189"/>
      <c r="DN77" s="28"/>
      <c r="DO77" s="190"/>
      <c r="DP77" s="187"/>
      <c r="DQ77" s="8"/>
      <c r="DR77" s="8"/>
      <c r="DS77" s="188"/>
      <c r="DT77" s="183"/>
      <c r="DU77" s="184"/>
      <c r="DV77" s="185"/>
      <c r="DW77" s="184"/>
      <c r="DX77" s="186"/>
      <c r="DY77" s="187"/>
      <c r="DZ77" s="8"/>
      <c r="EA77" s="8"/>
      <c r="EB77" s="188"/>
      <c r="EC77" s="183"/>
      <c r="ED77" s="184"/>
      <c r="EE77" s="189"/>
      <c r="EF77" s="28"/>
      <c r="EG77" s="190"/>
      <c r="EH77" s="187"/>
      <c r="EI77" s="8"/>
      <c r="EJ77" s="8"/>
      <c r="EK77" s="188"/>
      <c r="EL77" s="183"/>
      <c r="EM77" s="184"/>
      <c r="EN77" s="189"/>
      <c r="EO77" s="28"/>
      <c r="EP77" s="190"/>
      <c r="EQ77" s="187"/>
      <c r="ER77" s="8"/>
      <c r="ES77" s="8"/>
      <c r="ET77" s="188"/>
      <c r="EU77" s="183"/>
      <c r="EV77" s="184"/>
      <c r="EW77" s="185"/>
      <c r="EX77" s="184"/>
      <c r="EY77" s="186"/>
      <c r="EZ77" s="187"/>
      <c r="FA77" s="8"/>
      <c r="FB77" s="8"/>
      <c r="FC77" s="188"/>
      <c r="FD77" s="183"/>
      <c r="FE77" s="184"/>
      <c r="FF77" s="185"/>
      <c r="FG77" s="184"/>
      <c r="FH77" s="186"/>
      <c r="FI77" s="187"/>
      <c r="FJ77" s="8"/>
      <c r="FK77" s="8"/>
      <c r="FL77" s="188"/>
      <c r="FM77" s="183"/>
      <c r="FN77" s="184"/>
      <c r="FO77" s="185"/>
      <c r="FP77" s="184"/>
      <c r="FQ77" s="186"/>
      <c r="FR77" s="187"/>
      <c r="FS77" s="8"/>
      <c r="FT77" s="8"/>
      <c r="FU77" s="188"/>
      <c r="FV77" s="183"/>
      <c r="FW77" s="184"/>
      <c r="FX77" s="185"/>
      <c r="FY77" s="184"/>
      <c r="FZ77" s="186"/>
      <c r="GA77" s="187"/>
      <c r="GB77" s="8"/>
      <c r="GC77" s="8"/>
      <c r="GD77" s="188"/>
      <c r="GE77" s="183"/>
      <c r="GF77" s="184"/>
      <c r="GG77" s="185"/>
      <c r="GH77" s="184"/>
      <c r="GI77" s="186"/>
      <c r="GJ77" s="187"/>
      <c r="GK77" s="8"/>
      <c r="GL77" s="8"/>
      <c r="GM77" s="188"/>
      <c r="GN77" s="183"/>
      <c r="GO77" s="184"/>
      <c r="GP77" s="185"/>
      <c r="GQ77" s="184"/>
      <c r="GR77" s="186"/>
      <c r="GS77" s="187"/>
      <c r="GT77" s="187"/>
      <c r="GU77" s="29"/>
      <c r="GV77" s="191"/>
      <c r="GW77" s="31"/>
      <c r="GX77" s="31"/>
      <c r="GY77" s="387"/>
      <c r="GZ77" s="33"/>
    </row>
    <row r="78" spans="1:208" ht="16.5" thickBot="1" x14ac:dyDescent="0.3">
      <c r="A78"/>
      <c r="D78" s="35"/>
      <c r="E78" s="36"/>
      <c r="F78" s="37"/>
      <c r="G78" s="38"/>
      <c r="H78" s="39"/>
      <c r="I78" s="40"/>
      <c r="J78" s="177"/>
      <c r="K78" s="452"/>
      <c r="O78" s="192"/>
      <c r="P78" s="27"/>
      <c r="Q78" s="180"/>
      <c r="R78" s="180"/>
      <c r="S78" s="180"/>
      <c r="T78" s="39">
        <f t="shared" si="6"/>
        <v>0</v>
      </c>
      <c r="U78" s="181"/>
      <c r="V78" s="182"/>
      <c r="W78" s="30"/>
      <c r="X78" s="8"/>
      <c r="Y78" s="183"/>
      <c r="Z78" s="184"/>
      <c r="AA78" s="185"/>
      <c r="AB78" s="184"/>
      <c r="AC78" s="186"/>
      <c r="AD78" s="187"/>
      <c r="AE78" s="8"/>
      <c r="AF78" s="8"/>
      <c r="AG78" s="188"/>
      <c r="AH78" s="183"/>
      <c r="AI78" s="184"/>
      <c r="AJ78" s="185"/>
      <c r="AK78" s="28"/>
      <c r="AL78" s="186"/>
      <c r="AM78" s="187"/>
      <c r="AN78" s="8"/>
      <c r="AO78" s="8"/>
      <c r="AP78" s="188"/>
      <c r="AQ78" s="183"/>
      <c r="AR78" s="184"/>
      <c r="AS78" s="185"/>
      <c r="AT78" s="184"/>
      <c r="AU78" s="186"/>
      <c r="AV78" s="187"/>
      <c r="AW78" s="8"/>
      <c r="AX78" s="8"/>
      <c r="AY78" s="188"/>
      <c r="AZ78" s="183"/>
      <c r="BA78" s="184"/>
      <c r="BB78" s="185"/>
      <c r="BC78" s="28"/>
      <c r="BD78" s="186"/>
      <c r="BE78" s="187"/>
      <c r="BF78" s="8"/>
      <c r="BG78" s="8"/>
      <c r="BH78" s="188"/>
      <c r="BI78" s="183"/>
      <c r="BJ78" s="184"/>
      <c r="BK78" s="185"/>
      <c r="BL78" s="28"/>
      <c r="BM78" s="186"/>
      <c r="BN78" s="187"/>
      <c r="BO78" s="8"/>
      <c r="BP78" s="8"/>
      <c r="BQ78" s="188"/>
      <c r="BR78" s="183"/>
      <c r="BS78" s="184"/>
      <c r="BT78" s="185"/>
      <c r="BU78" s="184"/>
      <c r="BV78" s="186"/>
      <c r="BW78" s="187"/>
      <c r="BX78" s="8"/>
      <c r="BY78" s="8"/>
      <c r="BZ78" s="188"/>
      <c r="CA78" s="183"/>
      <c r="CB78" s="184"/>
      <c r="CC78" s="185"/>
      <c r="CD78" s="184"/>
      <c r="CE78" s="186"/>
      <c r="CF78" s="187"/>
      <c r="CG78" s="8"/>
      <c r="CH78" s="8"/>
      <c r="CI78" s="188"/>
      <c r="CJ78" s="183"/>
      <c r="CK78" s="184"/>
      <c r="CL78" s="185"/>
      <c r="CM78" s="184"/>
      <c r="CN78" s="186"/>
      <c r="CO78" s="187"/>
      <c r="CP78" s="8"/>
      <c r="CQ78" s="8"/>
      <c r="CR78" s="188"/>
      <c r="CS78" s="183"/>
      <c r="CT78" s="184"/>
      <c r="CU78" s="189"/>
      <c r="CV78" s="28"/>
      <c r="CW78" s="190"/>
      <c r="CX78" s="187"/>
      <c r="CY78" s="8"/>
      <c r="CZ78" s="8"/>
      <c r="DA78" s="188"/>
      <c r="DB78" s="183"/>
      <c r="DC78" s="184"/>
      <c r="DD78" s="185"/>
      <c r="DE78" s="184"/>
      <c r="DF78" s="186"/>
      <c r="DG78" s="187"/>
      <c r="DH78" s="8"/>
      <c r="DI78" s="8"/>
      <c r="DJ78" s="188"/>
      <c r="DK78" s="183"/>
      <c r="DL78" s="184"/>
      <c r="DM78" s="189"/>
      <c r="DN78" s="28"/>
      <c r="DO78" s="190"/>
      <c r="DP78" s="187"/>
      <c r="DQ78" s="8"/>
      <c r="DR78" s="8"/>
      <c r="DS78" s="188"/>
      <c r="DT78" s="183"/>
      <c r="DU78" s="184"/>
      <c r="DV78" s="185"/>
      <c r="DW78" s="184"/>
      <c r="DX78" s="186"/>
      <c r="DY78" s="187"/>
      <c r="DZ78" s="8"/>
      <c r="EA78" s="8"/>
      <c r="EB78" s="188"/>
      <c r="EC78" s="183"/>
      <c r="ED78" s="184"/>
      <c r="EE78" s="189"/>
      <c r="EF78" s="28"/>
      <c r="EG78" s="190"/>
      <c r="EH78" s="187"/>
      <c r="EI78" s="8"/>
      <c r="EJ78" s="8"/>
      <c r="EK78" s="188"/>
      <c r="EL78" s="183"/>
      <c r="EM78" s="184"/>
      <c r="EN78" s="189"/>
      <c r="EO78" s="28"/>
      <c r="EP78" s="190"/>
      <c r="EQ78" s="187"/>
      <c r="ER78" s="8"/>
      <c r="ES78" s="8"/>
      <c r="ET78" s="188"/>
      <c r="EU78" s="183"/>
      <c r="EV78" s="184"/>
      <c r="EW78" s="185"/>
      <c r="EX78" s="184"/>
      <c r="EY78" s="186"/>
      <c r="EZ78" s="187"/>
      <c r="FA78" s="8"/>
      <c r="FB78" s="8"/>
      <c r="FC78" s="188"/>
      <c r="FD78" s="183"/>
      <c r="FE78" s="184"/>
      <c r="FF78" s="185"/>
      <c r="FG78" s="184"/>
      <c r="FH78" s="186"/>
      <c r="FI78" s="187"/>
      <c r="FJ78" s="8"/>
      <c r="FK78" s="8"/>
      <c r="FL78" s="188"/>
      <c r="FM78" s="183"/>
      <c r="FN78" s="184"/>
      <c r="FO78" s="185"/>
      <c r="FP78" s="184"/>
      <c r="FQ78" s="186"/>
      <c r="FR78" s="187"/>
      <c r="FS78" s="8"/>
      <c r="FT78" s="8"/>
      <c r="FU78" s="188"/>
      <c r="FV78" s="183"/>
      <c r="FW78" s="184"/>
      <c r="FX78" s="185"/>
      <c r="FY78" s="184"/>
      <c r="FZ78" s="186"/>
      <c r="GA78" s="187"/>
      <c r="GB78" s="8"/>
      <c r="GC78" s="8"/>
      <c r="GD78" s="188"/>
      <c r="GE78" s="183"/>
      <c r="GF78" s="184"/>
      <c r="GG78" s="185"/>
      <c r="GH78" s="184"/>
      <c r="GI78" s="186"/>
      <c r="GJ78" s="187"/>
      <c r="GK78" s="8"/>
      <c r="GL78" s="8"/>
      <c r="GM78" s="188"/>
      <c r="GN78" s="183"/>
      <c r="GO78" s="184"/>
      <c r="GP78" s="185"/>
      <c r="GQ78" s="184"/>
      <c r="GR78" s="186"/>
      <c r="GS78" s="187"/>
      <c r="GT78" s="187"/>
      <c r="GU78" s="29"/>
      <c r="GV78" s="191"/>
      <c r="GW78" s="31"/>
      <c r="GX78" s="31"/>
      <c r="GY78" s="387"/>
      <c r="GZ78" s="33"/>
    </row>
    <row r="79" spans="1:208" ht="20.25" thickTop="1" thickBot="1" x14ac:dyDescent="0.35">
      <c r="A79"/>
      <c r="D79" s="35"/>
      <c r="E79" s="36"/>
      <c r="F79" s="37"/>
      <c r="G79" s="38"/>
      <c r="H79" s="39"/>
      <c r="I79" s="40"/>
      <c r="J79" s="177"/>
      <c r="K79" s="452"/>
      <c r="M79" s="870" t="s">
        <v>28</v>
      </c>
      <c r="N79" s="871"/>
      <c r="O79" s="872">
        <f>SUM(O9:O78)</f>
        <v>618247.47</v>
      </c>
      <c r="P79" s="193"/>
      <c r="Q79" s="180"/>
      <c r="R79" s="194"/>
      <c r="S79" s="180"/>
      <c r="T79" s="39">
        <f t="shared" si="6"/>
        <v>0</v>
      </c>
      <c r="U79" s="181"/>
      <c r="V79" s="182"/>
      <c r="W79" s="30"/>
      <c r="X79" s="195"/>
      <c r="Y79" s="196"/>
      <c r="Z79" s="197"/>
      <c r="AA79" s="198"/>
      <c r="AB79" s="197"/>
      <c r="AC79" s="199"/>
      <c r="AD79" s="200"/>
      <c r="AE79" s="195"/>
      <c r="AF79" s="195"/>
      <c r="AG79" s="201"/>
      <c r="AH79" s="196"/>
      <c r="AI79" s="197"/>
      <c r="AJ79" s="198"/>
      <c r="AK79" s="202"/>
      <c r="AL79" s="199"/>
      <c r="AM79" s="200"/>
      <c r="AN79" s="195"/>
      <c r="AO79" s="195"/>
      <c r="AP79" s="201"/>
      <c r="AQ79" s="196"/>
      <c r="AR79" s="197"/>
      <c r="AS79" s="198"/>
      <c r="AT79" s="197"/>
      <c r="AU79" s="199"/>
      <c r="AV79" s="200"/>
      <c r="AW79" s="195"/>
      <c r="AX79" s="195"/>
      <c r="AY79" s="201"/>
      <c r="AZ79" s="196"/>
      <c r="BA79" s="197"/>
      <c r="BB79" s="198"/>
      <c r="BC79" s="202"/>
      <c r="BD79" s="199"/>
      <c r="BE79" s="200"/>
      <c r="BF79" s="195"/>
      <c r="BG79" s="195"/>
      <c r="BH79" s="201"/>
      <c r="BI79" s="196"/>
      <c r="BJ79" s="197"/>
      <c r="BK79" s="198"/>
      <c r="BL79" s="202"/>
      <c r="BM79" s="199"/>
      <c r="BN79" s="200"/>
      <c r="BO79" s="195"/>
      <c r="BP79" s="195"/>
      <c r="BQ79" s="201"/>
      <c r="BR79" s="196"/>
      <c r="BS79" s="197"/>
      <c r="BT79" s="198"/>
      <c r="BU79" s="197"/>
      <c r="BV79" s="199"/>
      <c r="BW79" s="200"/>
      <c r="BX79" s="195"/>
      <c r="BY79" s="195"/>
      <c r="BZ79" s="201"/>
      <c r="CA79" s="196"/>
      <c r="CB79" s="197"/>
      <c r="CC79" s="198"/>
      <c r="CD79" s="197"/>
      <c r="CE79" s="199"/>
      <c r="CF79" s="200"/>
      <c r="CG79" s="195"/>
      <c r="CH79" s="195"/>
      <c r="CI79" s="201"/>
      <c r="CJ79" s="196"/>
      <c r="CK79" s="197"/>
      <c r="CL79" s="198"/>
      <c r="CM79" s="197"/>
      <c r="CN79" s="199"/>
      <c r="CO79" s="200"/>
      <c r="CP79" s="195"/>
      <c r="CQ79" s="195"/>
      <c r="CR79" s="201"/>
      <c r="CS79" s="196"/>
      <c r="CT79" s="197"/>
      <c r="CU79" s="203"/>
      <c r="CV79" s="202"/>
      <c r="CW79" s="204"/>
      <c r="CX79" s="200"/>
      <c r="CY79" s="195"/>
      <c r="CZ79" s="195"/>
      <c r="DA79" s="201"/>
      <c r="DB79" s="196"/>
      <c r="DC79" s="197"/>
      <c r="DD79" s="198"/>
      <c r="DE79" s="197"/>
      <c r="DF79" s="199"/>
      <c r="DG79" s="200"/>
      <c r="DH79" s="195"/>
      <c r="DI79" s="195"/>
      <c r="DJ79" s="201"/>
      <c r="DK79" s="196"/>
      <c r="DL79" s="197"/>
      <c r="DM79" s="203"/>
      <c r="DN79" s="202"/>
      <c r="DO79" s="204"/>
      <c r="DP79" s="200"/>
      <c r="DQ79" s="195"/>
      <c r="DR79" s="195"/>
      <c r="DS79" s="201"/>
      <c r="DT79" s="196"/>
      <c r="DU79" s="197"/>
      <c r="DV79" s="198"/>
      <c r="DW79" s="197"/>
      <c r="DX79" s="199"/>
      <c r="DY79" s="200"/>
      <c r="DZ79" s="195"/>
      <c r="EA79" s="195"/>
      <c r="EB79" s="201"/>
      <c r="EC79" s="196"/>
      <c r="ED79" s="197"/>
      <c r="EE79" s="203"/>
      <c r="EF79" s="202"/>
      <c r="EG79" s="204"/>
      <c r="EH79" s="200"/>
      <c r="EI79" s="195"/>
      <c r="EJ79" s="195"/>
      <c r="EK79" s="201"/>
      <c r="EL79" s="196"/>
      <c r="EM79" s="197"/>
      <c r="EN79" s="203"/>
      <c r="EO79" s="202"/>
      <c r="EP79" s="204"/>
      <c r="EQ79" s="200"/>
      <c r="ER79" s="195"/>
      <c r="ES79" s="195"/>
      <c r="ET79" s="201"/>
      <c r="EU79" s="196"/>
      <c r="EV79" s="197"/>
      <c r="EW79" s="198"/>
      <c r="EX79" s="197"/>
      <c r="EY79" s="199"/>
      <c r="EZ79" s="200"/>
      <c r="FA79" s="195"/>
      <c r="FB79" s="195"/>
      <c r="FC79" s="201"/>
      <c r="FD79" s="196"/>
      <c r="FE79" s="197"/>
      <c r="FF79" s="198"/>
      <c r="FG79" s="197"/>
      <c r="FH79" s="199"/>
      <c r="FI79" s="200"/>
      <c r="FJ79" s="195"/>
      <c r="FK79" s="195"/>
      <c r="FL79" s="201"/>
      <c r="FM79" s="196"/>
      <c r="FN79" s="197"/>
      <c r="FO79" s="198"/>
      <c r="FP79" s="197"/>
      <c r="FQ79" s="199"/>
      <c r="FR79" s="200"/>
      <c r="FS79" s="195"/>
      <c r="FT79" s="195"/>
      <c r="FU79" s="201"/>
      <c r="FV79" s="196"/>
      <c r="FW79" s="197"/>
      <c r="FX79" s="198"/>
      <c r="FY79" s="197"/>
      <c r="FZ79" s="199"/>
      <c r="GA79" s="200"/>
      <c r="GB79" s="195"/>
      <c r="GC79" s="195"/>
      <c r="GD79" s="201"/>
      <c r="GE79" s="196"/>
      <c r="GF79" s="197"/>
      <c r="GG79" s="198"/>
      <c r="GH79" s="197"/>
      <c r="GI79" s="199"/>
      <c r="GJ79" s="200"/>
      <c r="GK79" s="195"/>
      <c r="GL79" s="195"/>
      <c r="GM79" s="201"/>
      <c r="GN79" s="196"/>
      <c r="GO79" s="197"/>
      <c r="GP79" s="198"/>
      <c r="GQ79" s="197"/>
      <c r="GR79" s="199"/>
      <c r="GS79" s="200"/>
      <c r="GT79" s="187"/>
      <c r="GU79" s="29"/>
      <c r="GV79" s="205"/>
      <c r="GZ79" s="33"/>
    </row>
    <row r="80" spans="1:208" ht="19.5" thickBot="1" x14ac:dyDescent="0.3">
      <c r="A80"/>
      <c r="D80" s="35"/>
      <c r="E80" s="36"/>
      <c r="F80" s="37"/>
      <c r="G80" s="38"/>
      <c r="H80" s="39"/>
      <c r="I80" s="40"/>
      <c r="J80" s="208"/>
      <c r="K80" s="452"/>
      <c r="O80" s="873"/>
      <c r="P80" s="193"/>
      <c r="Q80" s="180"/>
      <c r="R80" s="194"/>
      <c r="S80" s="180"/>
      <c r="T80" s="39">
        <f t="shared" si="6"/>
        <v>0</v>
      </c>
      <c r="U80" s="181"/>
      <c r="V80" s="182"/>
      <c r="W80" s="30"/>
      <c r="X80" s="195"/>
      <c r="Y80" s="196"/>
      <c r="Z80" s="197"/>
      <c r="AA80" s="198"/>
      <c r="AB80" s="197"/>
      <c r="AC80" s="199"/>
      <c r="AD80" s="200"/>
      <c r="AE80" s="195"/>
      <c r="AF80" s="195"/>
      <c r="AG80" s="201"/>
      <c r="AH80" s="196"/>
      <c r="AI80" s="197"/>
      <c r="AJ80" s="198"/>
      <c r="AK80" s="202"/>
      <c r="AL80" s="199"/>
      <c r="AM80" s="200"/>
      <c r="AN80" s="195"/>
      <c r="AO80" s="195"/>
      <c r="AP80" s="201"/>
      <c r="AQ80" s="196"/>
      <c r="AR80" s="197"/>
      <c r="AS80" s="198"/>
      <c r="AT80" s="197"/>
      <c r="AU80" s="199"/>
      <c r="AV80" s="200"/>
      <c r="AW80" s="195"/>
      <c r="AX80" s="195"/>
      <c r="AY80" s="201"/>
      <c r="AZ80" s="196"/>
      <c r="BA80" s="197"/>
      <c r="BB80" s="198"/>
      <c r="BC80" s="202"/>
      <c r="BD80" s="199"/>
      <c r="BE80" s="200"/>
      <c r="BF80" s="195"/>
      <c r="BG80" s="195"/>
      <c r="BH80" s="201"/>
      <c r="BI80" s="196"/>
      <c r="BJ80" s="197"/>
      <c r="BK80" s="198"/>
      <c r="BL80" s="202"/>
      <c r="BM80" s="199"/>
      <c r="BN80" s="200"/>
      <c r="BO80" s="195"/>
      <c r="BP80" s="195"/>
      <c r="BQ80" s="201"/>
      <c r="BR80" s="196"/>
      <c r="BS80" s="197"/>
      <c r="BT80" s="198"/>
      <c r="BU80" s="197"/>
      <c r="BV80" s="199"/>
      <c r="BW80" s="200"/>
      <c r="BX80" s="195"/>
      <c r="BY80" s="195"/>
      <c r="BZ80" s="201"/>
      <c r="CA80" s="196"/>
      <c r="CB80" s="197"/>
      <c r="CC80" s="198"/>
      <c r="CD80" s="197"/>
      <c r="CE80" s="199"/>
      <c r="CF80" s="200"/>
      <c r="CG80" s="195"/>
      <c r="CH80" s="195"/>
      <c r="CI80" s="201"/>
      <c r="CJ80" s="196"/>
      <c r="CK80" s="197"/>
      <c r="CL80" s="198"/>
      <c r="CM80" s="197"/>
      <c r="CN80" s="199"/>
      <c r="CO80" s="200"/>
      <c r="CP80" s="195"/>
      <c r="CQ80" s="195"/>
      <c r="CR80" s="201"/>
      <c r="CS80" s="196"/>
      <c r="CT80" s="197"/>
      <c r="CU80" s="203"/>
      <c r="CV80" s="202"/>
      <c r="CW80" s="204"/>
      <c r="CX80" s="200"/>
      <c r="CY80" s="195"/>
      <c r="CZ80" s="195"/>
      <c r="DA80" s="201"/>
      <c r="DB80" s="196"/>
      <c r="DC80" s="197"/>
      <c r="DD80" s="198"/>
      <c r="DE80" s="197"/>
      <c r="DF80" s="199"/>
      <c r="DG80" s="200"/>
      <c r="DH80" s="195"/>
      <c r="DI80" s="195"/>
      <c r="DJ80" s="201"/>
      <c r="DK80" s="196"/>
      <c r="DL80" s="197"/>
      <c r="DM80" s="203"/>
      <c r="DN80" s="202"/>
      <c r="DO80" s="204"/>
      <c r="DP80" s="200"/>
      <c r="DQ80" s="195"/>
      <c r="DR80" s="195"/>
      <c r="DS80" s="201"/>
      <c r="DT80" s="196"/>
      <c r="DU80" s="197"/>
      <c r="DV80" s="198"/>
      <c r="DW80" s="197"/>
      <c r="DX80" s="199"/>
      <c r="DY80" s="200"/>
      <c r="DZ80" s="195"/>
      <c r="EA80" s="195"/>
      <c r="EB80" s="201"/>
      <c r="EC80" s="196"/>
      <c r="ED80" s="197"/>
      <c r="EE80" s="203"/>
      <c r="EF80" s="202"/>
      <c r="EG80" s="204"/>
      <c r="EH80" s="200"/>
      <c r="EI80" s="195"/>
      <c r="EJ80" s="195"/>
      <c r="EK80" s="201"/>
      <c r="EL80" s="196"/>
      <c r="EM80" s="197"/>
      <c r="EN80" s="203"/>
      <c r="EO80" s="202"/>
      <c r="EP80" s="204"/>
      <c r="EQ80" s="200"/>
      <c r="ER80" s="195"/>
      <c r="ES80" s="195"/>
      <c r="ET80" s="201"/>
      <c r="EU80" s="196"/>
      <c r="EV80" s="197"/>
      <c r="EW80" s="198"/>
      <c r="EX80" s="197"/>
      <c r="EY80" s="199"/>
      <c r="EZ80" s="200"/>
      <c r="FA80" s="195"/>
      <c r="FB80" s="195"/>
      <c r="FC80" s="201"/>
      <c r="FD80" s="196"/>
      <c r="FE80" s="197"/>
      <c r="FF80" s="198"/>
      <c r="FG80" s="197"/>
      <c r="FH80" s="199"/>
      <c r="FI80" s="200"/>
      <c r="FJ80" s="195"/>
      <c r="FK80" s="195"/>
      <c r="FL80" s="201"/>
      <c r="FM80" s="196"/>
      <c r="FN80" s="197"/>
      <c r="FO80" s="198"/>
      <c r="FP80" s="197"/>
      <c r="FQ80" s="199"/>
      <c r="FR80" s="200"/>
      <c r="FS80" s="195"/>
      <c r="FT80" s="195"/>
      <c r="FU80" s="201"/>
      <c r="FV80" s="196"/>
      <c r="FW80" s="197"/>
      <c r="FX80" s="198"/>
      <c r="FY80" s="197"/>
      <c r="FZ80" s="199"/>
      <c r="GA80" s="200"/>
      <c r="GB80" s="195"/>
      <c r="GC80" s="195"/>
      <c r="GD80" s="201"/>
      <c r="GE80" s="196"/>
      <c r="GF80" s="197"/>
      <c r="GG80" s="198"/>
      <c r="GH80" s="197"/>
      <c r="GI80" s="199"/>
      <c r="GJ80" s="200"/>
      <c r="GK80" s="195"/>
      <c r="GL80" s="195"/>
      <c r="GM80" s="201"/>
      <c r="GN80" s="196"/>
      <c r="GO80" s="197"/>
      <c r="GP80" s="198"/>
      <c r="GQ80" s="197"/>
      <c r="GR80" s="199"/>
      <c r="GS80" s="200"/>
      <c r="GT80" s="187"/>
      <c r="GU80" s="29"/>
      <c r="GV80" s="205"/>
      <c r="GZ80" s="33"/>
    </row>
    <row r="81" spans="1:208" ht="16.5" thickTop="1" x14ac:dyDescent="0.25">
      <c r="A81"/>
      <c r="D81" s="35"/>
      <c r="E81" s="36"/>
      <c r="F81" s="37"/>
      <c r="G81" s="38"/>
      <c r="H81" s="39"/>
      <c r="I81" s="40"/>
      <c r="J81" s="177"/>
      <c r="K81" s="452"/>
      <c r="P81" s="27"/>
      <c r="Q81" s="180"/>
      <c r="R81" s="180"/>
      <c r="S81" s="180"/>
      <c r="T81" s="39">
        <f t="shared" si="6"/>
        <v>0</v>
      </c>
      <c r="U81" s="181"/>
      <c r="V81" s="182"/>
      <c r="W81" s="30"/>
      <c r="X81" s="195"/>
      <c r="Y81" s="196"/>
      <c r="Z81" s="197"/>
      <c r="AA81" s="198"/>
      <c r="AB81" s="197"/>
      <c r="AC81" s="199"/>
      <c r="AD81" s="200"/>
      <c r="AE81" s="195"/>
      <c r="AF81" s="195"/>
      <c r="AG81" s="201"/>
      <c r="AH81" s="196"/>
      <c r="AI81" s="197"/>
      <c r="AJ81" s="198"/>
      <c r="AK81" s="202"/>
      <c r="AL81" s="199"/>
      <c r="AM81" s="200"/>
      <c r="AN81" s="195"/>
      <c r="AO81" s="195"/>
      <c r="AP81" s="201"/>
      <c r="AQ81" s="196"/>
      <c r="AR81" s="197"/>
      <c r="AS81" s="198"/>
      <c r="AT81" s="197"/>
      <c r="AU81" s="199"/>
      <c r="AV81" s="200"/>
      <c r="AW81" s="195"/>
      <c r="AX81" s="195"/>
      <c r="AY81" s="201"/>
      <c r="AZ81" s="196"/>
      <c r="BA81" s="197"/>
      <c r="BB81" s="198"/>
      <c r="BC81" s="202"/>
      <c r="BD81" s="199"/>
      <c r="BE81" s="200"/>
      <c r="BF81" s="195"/>
      <c r="BG81" s="195"/>
      <c r="BH81" s="201"/>
      <c r="BI81" s="196"/>
      <c r="BJ81" s="197"/>
      <c r="BK81" s="198"/>
      <c r="BL81" s="202"/>
      <c r="BM81" s="199"/>
      <c r="BN81" s="200"/>
      <c r="BO81" s="195"/>
      <c r="BP81" s="195"/>
      <c r="BQ81" s="201"/>
      <c r="BR81" s="196"/>
      <c r="BS81" s="197"/>
      <c r="BT81" s="198"/>
      <c r="BU81" s="197"/>
      <c r="BV81" s="199"/>
      <c r="BW81" s="200"/>
      <c r="BX81" s="195"/>
      <c r="BY81" s="195"/>
      <c r="BZ81" s="201"/>
      <c r="CA81" s="196"/>
      <c r="CB81" s="197"/>
      <c r="CC81" s="198"/>
      <c r="CD81" s="197"/>
      <c r="CE81" s="199"/>
      <c r="CF81" s="200"/>
      <c r="CG81" s="195"/>
      <c r="CH81" s="195"/>
      <c r="CI81" s="201"/>
      <c r="CJ81" s="196"/>
      <c r="CK81" s="197"/>
      <c r="CL81" s="198"/>
      <c r="CM81" s="197"/>
      <c r="CN81" s="199"/>
      <c r="CO81" s="200"/>
      <c r="CP81" s="195"/>
      <c r="CQ81" s="195"/>
      <c r="CR81" s="201"/>
      <c r="CS81" s="196"/>
      <c r="CT81" s="197"/>
      <c r="CU81" s="203"/>
      <c r="CV81" s="202"/>
      <c r="CW81" s="204"/>
      <c r="CX81" s="200"/>
      <c r="CY81" s="195"/>
      <c r="CZ81" s="195"/>
      <c r="DA81" s="201"/>
      <c r="DB81" s="196"/>
      <c r="DC81" s="197"/>
      <c r="DD81" s="198"/>
      <c r="DE81" s="197"/>
      <c r="DF81" s="199"/>
      <c r="DG81" s="200"/>
      <c r="DH81" s="195"/>
      <c r="DI81" s="195"/>
      <c r="DJ81" s="201"/>
      <c r="DK81" s="196"/>
      <c r="DL81" s="197"/>
      <c r="DM81" s="203"/>
      <c r="DN81" s="202"/>
      <c r="DO81" s="204"/>
      <c r="DP81" s="200"/>
      <c r="DQ81" s="195"/>
      <c r="DR81" s="195"/>
      <c r="DS81" s="201"/>
      <c r="DT81" s="196"/>
      <c r="DU81" s="197"/>
      <c r="DV81" s="198"/>
      <c r="DW81" s="197"/>
      <c r="DX81" s="199"/>
      <c r="DY81" s="200"/>
      <c r="DZ81" s="195"/>
      <c r="EA81" s="195"/>
      <c r="EB81" s="201"/>
      <c r="EC81" s="196"/>
      <c r="ED81" s="197"/>
      <c r="EE81" s="203"/>
      <c r="EF81" s="202"/>
      <c r="EG81" s="204"/>
      <c r="EH81" s="200"/>
      <c r="EI81" s="195"/>
      <c r="EJ81" s="195"/>
      <c r="EK81" s="201"/>
      <c r="EL81" s="196"/>
      <c r="EM81" s="197"/>
      <c r="EN81" s="203"/>
      <c r="EO81" s="202"/>
      <c r="EP81" s="204"/>
      <c r="EQ81" s="200"/>
      <c r="ER81" s="195"/>
      <c r="ES81" s="195"/>
      <c r="ET81" s="201"/>
      <c r="EU81" s="196"/>
      <c r="EV81" s="197"/>
      <c r="EW81" s="198"/>
      <c r="EX81" s="197"/>
      <c r="EY81" s="199"/>
      <c r="EZ81" s="200"/>
      <c r="FA81" s="195"/>
      <c r="FB81" s="195"/>
      <c r="FC81" s="201"/>
      <c r="FD81" s="196"/>
      <c r="FE81" s="197"/>
      <c r="FF81" s="198"/>
      <c r="FG81" s="197"/>
      <c r="FH81" s="199"/>
      <c r="FI81" s="200"/>
      <c r="FJ81" s="195"/>
      <c r="FK81" s="195"/>
      <c r="FL81" s="201"/>
      <c r="FM81" s="196"/>
      <c r="FN81" s="197"/>
      <c r="FO81" s="198"/>
      <c r="FP81" s="197"/>
      <c r="FQ81" s="199"/>
      <c r="FR81" s="200"/>
      <c r="FS81" s="195"/>
      <c r="FT81" s="195"/>
      <c r="FU81" s="201"/>
      <c r="FV81" s="196"/>
      <c r="FW81" s="197"/>
      <c r="FX81" s="198"/>
      <c r="FY81" s="197"/>
      <c r="FZ81" s="199"/>
      <c r="GA81" s="200"/>
      <c r="GB81" s="195"/>
      <c r="GC81" s="195"/>
      <c r="GD81" s="201"/>
      <c r="GE81" s="196"/>
      <c r="GF81" s="197"/>
      <c r="GG81" s="198"/>
      <c r="GH81" s="197"/>
      <c r="GI81" s="199"/>
      <c r="GJ81" s="200"/>
      <c r="GK81" s="195"/>
      <c r="GL81" s="195"/>
      <c r="GM81" s="201"/>
      <c r="GN81" s="196"/>
      <c r="GO81" s="197"/>
      <c r="GP81" s="198"/>
      <c r="GQ81" s="197"/>
      <c r="GR81" s="199"/>
      <c r="GS81" s="200"/>
      <c r="GT81" s="187"/>
      <c r="GU81" s="29"/>
      <c r="GV81" s="205"/>
      <c r="GZ81" s="33"/>
    </row>
    <row r="82" spans="1:208" ht="16.5" thickBot="1" x14ac:dyDescent="0.3">
      <c r="A82"/>
      <c r="D82" s="35"/>
      <c r="E82" s="36"/>
      <c r="F82" s="37"/>
      <c r="G82" s="38"/>
      <c r="H82" s="39"/>
      <c r="I82" s="40"/>
      <c r="J82" s="177"/>
      <c r="K82" s="452"/>
      <c r="P82" s="27"/>
      <c r="Q82" s="209"/>
      <c r="T82" s="39">
        <f t="shared" si="6"/>
        <v>0</v>
      </c>
      <c r="U82" s="210"/>
      <c r="W82" s="30"/>
      <c r="X82" s="195"/>
      <c r="Y82" s="183"/>
      <c r="Z82" s="197"/>
      <c r="AA82" s="198"/>
      <c r="AB82" s="197"/>
      <c r="AC82" s="199"/>
      <c r="AD82" s="200"/>
      <c r="AE82" s="195"/>
      <c r="AF82" s="195"/>
      <c r="AG82" s="201"/>
      <c r="AH82" s="183"/>
      <c r="AI82" s="197"/>
      <c r="AJ82" s="198"/>
      <c r="AK82" s="202"/>
      <c r="AL82" s="199"/>
      <c r="AM82" s="200"/>
      <c r="AN82" s="195"/>
      <c r="AO82" s="195"/>
      <c r="AP82" s="201"/>
      <c r="AQ82" s="183"/>
      <c r="AR82" s="197"/>
      <c r="AS82" s="198"/>
      <c r="AT82" s="197"/>
      <c r="AU82" s="199"/>
      <c r="AV82" s="200"/>
      <c r="AW82" s="195"/>
      <c r="AX82" s="195"/>
      <c r="AY82" s="201"/>
      <c r="AZ82" s="183"/>
      <c r="BA82" s="197"/>
      <c r="BB82" s="198"/>
      <c r="BC82" s="202"/>
      <c r="BD82" s="199"/>
      <c r="BE82" s="200"/>
      <c r="BF82" s="195"/>
      <c r="BG82" s="195"/>
      <c r="BH82" s="201"/>
      <c r="BI82" s="183"/>
      <c r="BJ82" s="197"/>
      <c r="BK82" s="198"/>
      <c r="BL82" s="202"/>
      <c r="BM82" s="199"/>
      <c r="BN82" s="200"/>
      <c r="BO82" s="195"/>
      <c r="BP82" s="195"/>
      <c r="BQ82" s="201"/>
      <c r="BR82" s="183"/>
      <c r="BS82" s="197"/>
      <c r="BT82" s="198"/>
      <c r="BU82" s="197"/>
      <c r="BV82" s="199"/>
      <c r="BW82" s="200"/>
      <c r="BX82" s="195"/>
      <c r="BY82" s="195"/>
      <c r="BZ82" s="201"/>
      <c r="CA82" s="183"/>
      <c r="CB82" s="197"/>
      <c r="CC82" s="198"/>
      <c r="CD82" s="197"/>
      <c r="CE82" s="199"/>
      <c r="CF82" s="200"/>
      <c r="CG82" s="195"/>
      <c r="CH82" s="195"/>
      <c r="CI82" s="201"/>
      <c r="CJ82" s="183"/>
      <c r="CK82" s="197"/>
      <c r="CL82" s="198"/>
      <c r="CM82" s="197"/>
      <c r="CN82" s="199"/>
      <c r="CO82" s="200"/>
      <c r="CP82" s="195"/>
      <c r="CQ82" s="195"/>
      <c r="CR82" s="201"/>
      <c r="CS82" s="183"/>
      <c r="CT82" s="197"/>
      <c r="CU82" s="203"/>
      <c r="CV82" s="202"/>
      <c r="CW82" s="204"/>
      <c r="CX82" s="200"/>
      <c r="CY82" s="195"/>
      <c r="CZ82" s="195"/>
      <c r="DA82" s="201"/>
      <c r="DB82" s="183"/>
      <c r="DC82" s="197"/>
      <c r="DD82" s="198"/>
      <c r="DE82" s="197"/>
      <c r="DF82" s="199"/>
      <c r="DG82" s="200"/>
      <c r="DH82" s="195"/>
      <c r="DI82" s="195"/>
      <c r="DJ82" s="201"/>
      <c r="DK82" s="183"/>
      <c r="DL82" s="197"/>
      <c r="DM82" s="203"/>
      <c r="DN82" s="202"/>
      <c r="DO82" s="204"/>
      <c r="DP82" s="200"/>
      <c r="DQ82" s="195"/>
      <c r="DR82" s="195"/>
      <c r="DS82" s="201"/>
      <c r="DT82" s="183"/>
      <c r="DU82" s="197"/>
      <c r="DV82" s="198"/>
      <c r="DW82" s="197"/>
      <c r="DX82" s="199"/>
      <c r="DY82" s="200"/>
      <c r="DZ82" s="195"/>
      <c r="EA82" s="195"/>
      <c r="EB82" s="201"/>
      <c r="EC82" s="183"/>
      <c r="ED82" s="197"/>
      <c r="EE82" s="203"/>
      <c r="EF82" s="202"/>
      <c r="EG82" s="204"/>
      <c r="EH82" s="200"/>
      <c r="EI82" s="195"/>
      <c r="EJ82" s="195"/>
      <c r="EK82" s="201"/>
      <c r="EL82" s="183"/>
      <c r="EM82" s="197"/>
      <c r="EN82" s="203"/>
      <c r="EO82" s="202"/>
      <c r="EP82" s="204"/>
      <c r="EQ82" s="200"/>
      <c r="ER82" s="195"/>
      <c r="ES82" s="195"/>
      <c r="ET82" s="201"/>
      <c r="EU82" s="183"/>
      <c r="EV82" s="197"/>
      <c r="EW82" s="198"/>
      <c r="EX82" s="197"/>
      <c r="EY82" s="199"/>
      <c r="EZ82" s="200"/>
      <c r="FA82" s="195"/>
      <c r="FB82" s="195"/>
      <c r="FC82" s="201"/>
      <c r="FD82" s="183"/>
      <c r="FE82" s="197"/>
      <c r="FF82" s="198"/>
      <c r="FG82" s="197"/>
      <c r="FH82" s="199"/>
      <c r="FI82" s="200"/>
      <c r="FJ82" s="195"/>
      <c r="FK82" s="195"/>
      <c r="FL82" s="201"/>
      <c r="FM82" s="183"/>
      <c r="FN82" s="197"/>
      <c r="FO82" s="198"/>
      <c r="FP82" s="197"/>
      <c r="FQ82" s="199"/>
      <c r="FR82" s="200"/>
      <c r="FS82" s="195"/>
      <c r="FT82" s="195"/>
      <c r="FU82" s="201"/>
      <c r="FV82" s="183"/>
      <c r="FW82" s="197"/>
      <c r="FX82" s="198"/>
      <c r="FY82" s="197"/>
      <c r="FZ82" s="199"/>
      <c r="GA82" s="200"/>
      <c r="GB82" s="195"/>
      <c r="GC82" s="195"/>
      <c r="GD82" s="201"/>
      <c r="GE82" s="183"/>
      <c r="GF82" s="197"/>
      <c r="GG82" s="198"/>
      <c r="GH82" s="197"/>
      <c r="GI82" s="199"/>
      <c r="GJ82" s="200"/>
      <c r="GK82" s="195"/>
      <c r="GL82" s="195"/>
      <c r="GM82" s="201"/>
      <c r="GN82" s="183"/>
      <c r="GO82" s="197"/>
      <c r="GP82" s="198"/>
      <c r="GQ82" s="197"/>
      <c r="GR82" s="199"/>
      <c r="GS82" s="200"/>
      <c r="GT82" s="187"/>
      <c r="GU82" s="29"/>
      <c r="GV82" s="211"/>
      <c r="GZ82" s="33"/>
    </row>
    <row r="83" spans="1:208" ht="17.25" thickTop="1" thickBot="1" x14ac:dyDescent="0.3">
      <c r="A83"/>
      <c r="D83" s="35"/>
      <c r="E83" s="36"/>
      <c r="F83" s="37"/>
      <c r="G83" s="38"/>
      <c r="H83" s="39"/>
      <c r="I83" s="40"/>
      <c r="J83" s="177"/>
      <c r="M83" s="212"/>
      <c r="N83" s="213"/>
      <c r="O83" s="874" t="s">
        <v>29</v>
      </c>
      <c r="P83" s="875"/>
      <c r="Q83" s="875"/>
      <c r="R83" s="214">
        <f>SUM(R9:R82)</f>
        <v>0</v>
      </c>
      <c r="S83" s="215"/>
      <c r="T83" s="216">
        <f>SUM(T9:T82)</f>
        <v>16776433.879999999</v>
      </c>
      <c r="U83" s="217"/>
      <c r="W83" s="218">
        <f t="shared" ref="W83:CH83" si="7">SUM(W9:W82)</f>
        <v>406330.6</v>
      </c>
      <c r="X83" s="219">
        <f t="shared" si="7"/>
        <v>0</v>
      </c>
      <c r="Y83" s="219">
        <f t="shared" si="7"/>
        <v>0</v>
      </c>
      <c r="Z83" s="219">
        <f t="shared" si="7"/>
        <v>0</v>
      </c>
      <c r="AA83" s="219">
        <f t="shared" si="7"/>
        <v>0</v>
      </c>
      <c r="AB83" s="219">
        <f t="shared" si="7"/>
        <v>0</v>
      </c>
      <c r="AC83" s="219">
        <f t="shared" si="7"/>
        <v>0</v>
      </c>
      <c r="AD83" s="219">
        <f t="shared" si="7"/>
        <v>0</v>
      </c>
      <c r="AE83" s="219">
        <f t="shared" si="7"/>
        <v>0</v>
      </c>
      <c r="AF83" s="219">
        <f t="shared" si="7"/>
        <v>0</v>
      </c>
      <c r="AG83" s="219">
        <f t="shared" si="7"/>
        <v>0</v>
      </c>
      <c r="AH83" s="219">
        <f t="shared" si="7"/>
        <v>0</v>
      </c>
      <c r="AI83" s="219">
        <f t="shared" si="7"/>
        <v>0</v>
      </c>
      <c r="AJ83" s="219">
        <f t="shared" si="7"/>
        <v>0</v>
      </c>
      <c r="AK83" s="219">
        <f t="shared" si="7"/>
        <v>0</v>
      </c>
      <c r="AL83" s="219">
        <f t="shared" si="7"/>
        <v>0</v>
      </c>
      <c r="AM83" s="219">
        <f t="shared" si="7"/>
        <v>0</v>
      </c>
      <c r="AN83" s="219">
        <f t="shared" si="7"/>
        <v>0</v>
      </c>
      <c r="AO83" s="219">
        <f t="shared" si="7"/>
        <v>0</v>
      </c>
      <c r="AP83" s="219">
        <f t="shared" si="7"/>
        <v>0</v>
      </c>
      <c r="AQ83" s="219">
        <f t="shared" si="7"/>
        <v>0</v>
      </c>
      <c r="AR83" s="219">
        <f t="shared" si="7"/>
        <v>0</v>
      </c>
      <c r="AS83" s="219">
        <f t="shared" si="7"/>
        <v>0</v>
      </c>
      <c r="AT83" s="219">
        <f t="shared" si="7"/>
        <v>0</v>
      </c>
      <c r="AU83" s="219">
        <f t="shared" si="7"/>
        <v>0</v>
      </c>
      <c r="AV83" s="219">
        <f t="shared" si="7"/>
        <v>0</v>
      </c>
      <c r="AW83" s="219">
        <f t="shared" si="7"/>
        <v>0</v>
      </c>
      <c r="AX83" s="219">
        <f t="shared" si="7"/>
        <v>0</v>
      </c>
      <c r="AY83" s="219">
        <f t="shared" si="7"/>
        <v>0</v>
      </c>
      <c r="AZ83" s="219">
        <f t="shared" si="7"/>
        <v>0</v>
      </c>
      <c r="BA83" s="219">
        <f t="shared" si="7"/>
        <v>0</v>
      </c>
      <c r="BB83" s="219">
        <f t="shared" si="7"/>
        <v>0</v>
      </c>
      <c r="BC83" s="219">
        <f t="shared" si="7"/>
        <v>0</v>
      </c>
      <c r="BD83" s="219">
        <f t="shared" si="7"/>
        <v>0</v>
      </c>
      <c r="BE83" s="219">
        <f t="shared" si="7"/>
        <v>0</v>
      </c>
      <c r="BF83" s="219">
        <f t="shared" si="7"/>
        <v>0</v>
      </c>
      <c r="BG83" s="219">
        <f t="shared" si="7"/>
        <v>0</v>
      </c>
      <c r="BH83" s="219">
        <f t="shared" si="7"/>
        <v>0</v>
      </c>
      <c r="BI83" s="219">
        <f t="shared" si="7"/>
        <v>0</v>
      </c>
      <c r="BJ83" s="219">
        <f t="shared" si="7"/>
        <v>0</v>
      </c>
      <c r="BK83" s="219">
        <f t="shared" si="7"/>
        <v>0</v>
      </c>
      <c r="BL83" s="219">
        <f t="shared" si="7"/>
        <v>0</v>
      </c>
      <c r="BM83" s="219">
        <f t="shared" si="7"/>
        <v>0</v>
      </c>
      <c r="BN83" s="219">
        <f t="shared" si="7"/>
        <v>0</v>
      </c>
      <c r="BO83" s="219">
        <f t="shared" si="7"/>
        <v>0</v>
      </c>
      <c r="BP83" s="219">
        <f t="shared" si="7"/>
        <v>0</v>
      </c>
      <c r="BQ83" s="219">
        <f t="shared" si="7"/>
        <v>0</v>
      </c>
      <c r="BR83" s="219">
        <f t="shared" si="7"/>
        <v>0</v>
      </c>
      <c r="BS83" s="219">
        <f t="shared" si="7"/>
        <v>0</v>
      </c>
      <c r="BT83" s="219">
        <f t="shared" si="7"/>
        <v>0</v>
      </c>
      <c r="BU83" s="219">
        <f t="shared" si="7"/>
        <v>0</v>
      </c>
      <c r="BV83" s="219">
        <f t="shared" si="7"/>
        <v>0</v>
      </c>
      <c r="BW83" s="219">
        <f t="shared" si="7"/>
        <v>0</v>
      </c>
      <c r="BX83" s="219">
        <f t="shared" si="7"/>
        <v>0</v>
      </c>
      <c r="BY83" s="219">
        <f t="shared" si="7"/>
        <v>0</v>
      </c>
      <c r="BZ83" s="219">
        <f t="shared" si="7"/>
        <v>0</v>
      </c>
      <c r="CA83" s="219">
        <f t="shared" si="7"/>
        <v>0</v>
      </c>
      <c r="CB83" s="219">
        <f t="shared" si="7"/>
        <v>0</v>
      </c>
      <c r="CC83" s="219">
        <f t="shared" si="7"/>
        <v>0</v>
      </c>
      <c r="CD83" s="219">
        <f t="shared" si="7"/>
        <v>0</v>
      </c>
      <c r="CE83" s="219">
        <f t="shared" si="7"/>
        <v>0</v>
      </c>
      <c r="CF83" s="219">
        <f t="shared" si="7"/>
        <v>0</v>
      </c>
      <c r="CG83" s="219">
        <f t="shared" si="7"/>
        <v>0</v>
      </c>
      <c r="CH83" s="219">
        <f t="shared" si="7"/>
        <v>0</v>
      </c>
      <c r="CI83" s="219">
        <f t="shared" ref="CI83:ET83" si="8">SUM(CI9:CI82)</f>
        <v>0</v>
      </c>
      <c r="CJ83" s="219">
        <f t="shared" si="8"/>
        <v>0</v>
      </c>
      <c r="CK83" s="219">
        <f t="shared" si="8"/>
        <v>0</v>
      </c>
      <c r="CL83" s="219">
        <f t="shared" si="8"/>
        <v>0</v>
      </c>
      <c r="CM83" s="219">
        <f t="shared" si="8"/>
        <v>0</v>
      </c>
      <c r="CN83" s="219">
        <f t="shared" si="8"/>
        <v>0</v>
      </c>
      <c r="CO83" s="219">
        <f t="shared" si="8"/>
        <v>0</v>
      </c>
      <c r="CP83" s="219">
        <f t="shared" si="8"/>
        <v>0</v>
      </c>
      <c r="CQ83" s="219">
        <f t="shared" si="8"/>
        <v>0</v>
      </c>
      <c r="CR83" s="219">
        <f t="shared" si="8"/>
        <v>0</v>
      </c>
      <c r="CS83" s="219">
        <f t="shared" si="8"/>
        <v>0</v>
      </c>
      <c r="CT83" s="219">
        <f t="shared" si="8"/>
        <v>0</v>
      </c>
      <c r="CU83" s="219">
        <f t="shared" si="8"/>
        <v>0</v>
      </c>
      <c r="CV83" s="219">
        <f t="shared" si="8"/>
        <v>0</v>
      </c>
      <c r="CW83" s="219">
        <f t="shared" si="8"/>
        <v>0</v>
      </c>
      <c r="CX83" s="219">
        <f t="shared" si="8"/>
        <v>0</v>
      </c>
      <c r="CY83" s="219">
        <f t="shared" si="8"/>
        <v>0</v>
      </c>
      <c r="CZ83" s="219">
        <f t="shared" si="8"/>
        <v>0</v>
      </c>
      <c r="DA83" s="219">
        <f t="shared" si="8"/>
        <v>0</v>
      </c>
      <c r="DB83" s="219">
        <f t="shared" si="8"/>
        <v>0</v>
      </c>
      <c r="DC83" s="219">
        <f t="shared" si="8"/>
        <v>0</v>
      </c>
      <c r="DD83" s="219">
        <f t="shared" si="8"/>
        <v>0</v>
      </c>
      <c r="DE83" s="219">
        <f t="shared" si="8"/>
        <v>0</v>
      </c>
      <c r="DF83" s="219">
        <f t="shared" si="8"/>
        <v>0</v>
      </c>
      <c r="DG83" s="219">
        <f t="shared" si="8"/>
        <v>0</v>
      </c>
      <c r="DH83" s="219">
        <f t="shared" si="8"/>
        <v>0</v>
      </c>
      <c r="DI83" s="219">
        <f t="shared" si="8"/>
        <v>0</v>
      </c>
      <c r="DJ83" s="219">
        <f t="shared" si="8"/>
        <v>0</v>
      </c>
      <c r="DK83" s="219">
        <f t="shared" si="8"/>
        <v>0</v>
      </c>
      <c r="DL83" s="219">
        <f t="shared" si="8"/>
        <v>0</v>
      </c>
      <c r="DM83" s="219">
        <f t="shared" si="8"/>
        <v>0</v>
      </c>
      <c r="DN83" s="219">
        <f t="shared" si="8"/>
        <v>0</v>
      </c>
      <c r="DO83" s="219">
        <f t="shared" si="8"/>
        <v>0</v>
      </c>
      <c r="DP83" s="219">
        <f t="shared" si="8"/>
        <v>0</v>
      </c>
      <c r="DQ83" s="219">
        <f t="shared" si="8"/>
        <v>0</v>
      </c>
      <c r="DR83" s="219">
        <f t="shared" si="8"/>
        <v>0</v>
      </c>
      <c r="DS83" s="219">
        <f t="shared" si="8"/>
        <v>0</v>
      </c>
      <c r="DT83" s="219">
        <f t="shared" si="8"/>
        <v>0</v>
      </c>
      <c r="DU83" s="219">
        <f t="shared" si="8"/>
        <v>0</v>
      </c>
      <c r="DV83" s="219">
        <f t="shared" si="8"/>
        <v>0</v>
      </c>
      <c r="DW83" s="219">
        <f t="shared" si="8"/>
        <v>0</v>
      </c>
      <c r="DX83" s="219">
        <f t="shared" si="8"/>
        <v>0</v>
      </c>
      <c r="DY83" s="219">
        <f t="shared" si="8"/>
        <v>0</v>
      </c>
      <c r="DZ83" s="219">
        <f t="shared" si="8"/>
        <v>0</v>
      </c>
      <c r="EA83" s="219">
        <f t="shared" si="8"/>
        <v>0</v>
      </c>
      <c r="EB83" s="219">
        <f t="shared" si="8"/>
        <v>0</v>
      </c>
      <c r="EC83" s="219">
        <f t="shared" si="8"/>
        <v>0</v>
      </c>
      <c r="ED83" s="219">
        <f t="shared" si="8"/>
        <v>0</v>
      </c>
      <c r="EE83" s="219">
        <f t="shared" si="8"/>
        <v>0</v>
      </c>
      <c r="EF83" s="219">
        <f t="shared" si="8"/>
        <v>0</v>
      </c>
      <c r="EG83" s="219">
        <f t="shared" si="8"/>
        <v>0</v>
      </c>
      <c r="EH83" s="219">
        <f t="shared" si="8"/>
        <v>0</v>
      </c>
      <c r="EI83" s="219">
        <f t="shared" si="8"/>
        <v>0</v>
      </c>
      <c r="EJ83" s="219">
        <f t="shared" si="8"/>
        <v>0</v>
      </c>
      <c r="EK83" s="219">
        <f t="shared" si="8"/>
        <v>0</v>
      </c>
      <c r="EL83" s="219">
        <f t="shared" si="8"/>
        <v>0</v>
      </c>
      <c r="EM83" s="219">
        <f t="shared" si="8"/>
        <v>0</v>
      </c>
      <c r="EN83" s="219">
        <f t="shared" si="8"/>
        <v>0</v>
      </c>
      <c r="EO83" s="219">
        <f t="shared" si="8"/>
        <v>0</v>
      </c>
      <c r="EP83" s="219">
        <f t="shared" si="8"/>
        <v>0</v>
      </c>
      <c r="EQ83" s="219">
        <f t="shared" si="8"/>
        <v>0</v>
      </c>
      <c r="ER83" s="219">
        <f t="shared" si="8"/>
        <v>0</v>
      </c>
      <c r="ES83" s="219">
        <f t="shared" si="8"/>
        <v>0</v>
      </c>
      <c r="ET83" s="219">
        <f t="shared" si="8"/>
        <v>0</v>
      </c>
      <c r="EU83" s="219">
        <f t="shared" ref="EU83:GS83" si="9">SUM(EU9:EU82)</f>
        <v>0</v>
      </c>
      <c r="EV83" s="219">
        <f t="shared" si="9"/>
        <v>0</v>
      </c>
      <c r="EW83" s="219">
        <f t="shared" si="9"/>
        <v>0</v>
      </c>
      <c r="EX83" s="219">
        <f t="shared" si="9"/>
        <v>0</v>
      </c>
      <c r="EY83" s="219">
        <f t="shared" si="9"/>
        <v>0</v>
      </c>
      <c r="EZ83" s="219">
        <f t="shared" si="9"/>
        <v>0</v>
      </c>
      <c r="FA83" s="219">
        <f t="shared" si="9"/>
        <v>0</v>
      </c>
      <c r="FB83" s="219">
        <f t="shared" si="9"/>
        <v>0</v>
      </c>
      <c r="FC83" s="219">
        <f t="shared" si="9"/>
        <v>0</v>
      </c>
      <c r="FD83" s="219">
        <f t="shared" si="9"/>
        <v>0</v>
      </c>
      <c r="FE83" s="219">
        <f t="shared" si="9"/>
        <v>0</v>
      </c>
      <c r="FF83" s="219">
        <f t="shared" si="9"/>
        <v>0</v>
      </c>
      <c r="FG83" s="219">
        <f t="shared" si="9"/>
        <v>0</v>
      </c>
      <c r="FH83" s="219">
        <f t="shared" si="9"/>
        <v>0</v>
      </c>
      <c r="FI83" s="219">
        <f t="shared" si="9"/>
        <v>0</v>
      </c>
      <c r="FJ83" s="219">
        <f t="shared" si="9"/>
        <v>0</v>
      </c>
      <c r="FK83" s="219">
        <f t="shared" si="9"/>
        <v>0</v>
      </c>
      <c r="FL83" s="219">
        <f t="shared" si="9"/>
        <v>0</v>
      </c>
      <c r="FM83" s="219">
        <f t="shared" si="9"/>
        <v>0</v>
      </c>
      <c r="FN83" s="219">
        <f t="shared" si="9"/>
        <v>0</v>
      </c>
      <c r="FO83" s="219">
        <f t="shared" si="9"/>
        <v>0</v>
      </c>
      <c r="FP83" s="219">
        <f t="shared" si="9"/>
        <v>0</v>
      </c>
      <c r="FQ83" s="219">
        <f t="shared" si="9"/>
        <v>0</v>
      </c>
      <c r="FR83" s="219">
        <f t="shared" si="9"/>
        <v>0</v>
      </c>
      <c r="FS83" s="219">
        <f t="shared" si="9"/>
        <v>0</v>
      </c>
      <c r="FT83" s="219">
        <f t="shared" si="9"/>
        <v>0</v>
      </c>
      <c r="FU83" s="219">
        <f t="shared" si="9"/>
        <v>0</v>
      </c>
      <c r="FV83" s="219">
        <f t="shared" si="9"/>
        <v>0</v>
      </c>
      <c r="FW83" s="219">
        <f t="shared" si="9"/>
        <v>0</v>
      </c>
      <c r="FX83" s="219">
        <f t="shared" si="9"/>
        <v>0</v>
      </c>
      <c r="FY83" s="219">
        <f t="shared" si="9"/>
        <v>0</v>
      </c>
      <c r="FZ83" s="219">
        <f t="shared" si="9"/>
        <v>0</v>
      </c>
      <c r="GA83" s="219">
        <f t="shared" si="9"/>
        <v>0</v>
      </c>
      <c r="GB83" s="219">
        <f t="shared" si="9"/>
        <v>0</v>
      </c>
      <c r="GC83" s="219">
        <f t="shared" si="9"/>
        <v>0</v>
      </c>
      <c r="GD83" s="219">
        <f t="shared" si="9"/>
        <v>0</v>
      </c>
      <c r="GE83" s="219">
        <f t="shared" si="9"/>
        <v>0</v>
      </c>
      <c r="GF83" s="219">
        <f t="shared" si="9"/>
        <v>0</v>
      </c>
      <c r="GG83" s="219">
        <f t="shared" si="9"/>
        <v>0</v>
      </c>
      <c r="GH83" s="219">
        <f t="shared" si="9"/>
        <v>0</v>
      </c>
      <c r="GI83" s="219">
        <f t="shared" si="9"/>
        <v>0</v>
      </c>
      <c r="GJ83" s="219">
        <f t="shared" si="9"/>
        <v>0</v>
      </c>
      <c r="GK83" s="219">
        <f t="shared" si="9"/>
        <v>0</v>
      </c>
      <c r="GL83" s="219">
        <f t="shared" si="9"/>
        <v>0</v>
      </c>
      <c r="GM83" s="219">
        <f t="shared" si="9"/>
        <v>0</v>
      </c>
      <c r="GN83" s="219">
        <f t="shared" si="9"/>
        <v>0</v>
      </c>
      <c r="GO83" s="219">
        <f t="shared" si="9"/>
        <v>0</v>
      </c>
      <c r="GP83" s="219">
        <f t="shared" si="9"/>
        <v>0</v>
      </c>
      <c r="GQ83" s="219">
        <f t="shared" si="9"/>
        <v>0</v>
      </c>
      <c r="GR83" s="219">
        <f t="shared" si="9"/>
        <v>0</v>
      </c>
      <c r="GS83" s="219">
        <f t="shared" si="9"/>
        <v>0</v>
      </c>
      <c r="GT83" s="219"/>
      <c r="GU83" s="220">
        <f>SUM(GU9:GU82)</f>
        <v>393008</v>
      </c>
      <c r="GV83" s="221"/>
      <c r="GW83" s="62"/>
      <c r="GX83" s="62"/>
      <c r="GY83" s="219"/>
      <c r="GZ83" s="223">
        <f>SUM(GZ9:GZ82)</f>
        <v>89784</v>
      </c>
    </row>
    <row r="84" spans="1:208" x14ac:dyDescent="0.25">
      <c r="D84" s="35"/>
      <c r="E84" s="36"/>
      <c r="F84" s="37"/>
      <c r="G84" s="38"/>
      <c r="H84" s="39"/>
      <c r="I84" s="40"/>
      <c r="J84" s="177"/>
      <c r="M84" s="212"/>
      <c r="N84" s="213"/>
      <c r="O84" s="224"/>
      <c r="P84" s="225"/>
      <c r="Q84" s="226"/>
      <c r="R84" s="226"/>
      <c r="S84" s="226"/>
      <c r="T84" s="39"/>
      <c r="U84" s="217"/>
      <c r="X84" s="227"/>
      <c r="Y84" s="228"/>
      <c r="Z84" s="229"/>
      <c r="AA84" s="36"/>
      <c r="AB84" s="229"/>
      <c r="AC84" s="230"/>
      <c r="AD84" s="87"/>
      <c r="AG84" s="227"/>
      <c r="AH84" s="228"/>
      <c r="AI84" s="229"/>
      <c r="AJ84" s="36"/>
      <c r="AK84" s="231"/>
      <c r="AL84" s="230"/>
      <c r="AM84" s="87"/>
      <c r="AP84" s="227"/>
      <c r="AQ84" s="228"/>
      <c r="AR84" s="229"/>
      <c r="AS84" s="36"/>
      <c r="AT84" s="229"/>
      <c r="AU84" s="230"/>
      <c r="AV84" s="87"/>
      <c r="AY84" s="227"/>
      <c r="AZ84" s="228"/>
      <c r="BA84" s="229"/>
      <c r="BB84" s="36"/>
      <c r="BC84" s="231"/>
      <c r="BD84" s="230"/>
      <c r="BE84" s="87"/>
      <c r="BH84" s="227"/>
      <c r="BI84" s="228"/>
      <c r="BJ84" s="229"/>
      <c r="BK84" s="36"/>
      <c r="BL84" s="231"/>
      <c r="BM84" s="230"/>
      <c r="BN84" s="87"/>
      <c r="BQ84" s="227"/>
      <c r="BR84" s="228"/>
      <c r="BS84" s="229"/>
      <c r="BT84" s="36"/>
      <c r="BU84" s="229"/>
      <c r="BV84" s="230"/>
      <c r="BW84" s="87"/>
      <c r="BZ84" s="227"/>
      <c r="CA84" s="228"/>
      <c r="CB84" s="229"/>
      <c r="CC84" s="36"/>
      <c r="CD84" s="229"/>
      <c r="CE84" s="230"/>
      <c r="CF84" s="87"/>
      <c r="CI84" s="227"/>
      <c r="CJ84" s="228"/>
      <c r="CK84" s="229"/>
      <c r="CL84" s="36"/>
      <c r="CM84" s="229"/>
      <c r="CN84" s="230"/>
      <c r="CO84" s="87"/>
      <c r="CR84" s="227"/>
      <c r="CS84" s="228"/>
      <c r="CT84" s="229"/>
      <c r="CU84" s="232"/>
      <c r="CV84" s="231"/>
      <c r="CW84" s="233"/>
      <c r="CX84" s="87"/>
      <c r="DA84" s="227"/>
      <c r="DB84" s="228"/>
      <c r="DC84" s="229"/>
      <c r="DD84" s="36"/>
      <c r="DE84" s="229"/>
      <c r="DF84" s="230"/>
      <c r="DG84" s="87"/>
      <c r="DJ84" s="227"/>
      <c r="DK84" s="228"/>
      <c r="DL84" s="229"/>
      <c r="DM84" s="232"/>
      <c r="DN84" s="231"/>
      <c r="DO84" s="233"/>
      <c r="DP84" s="87"/>
      <c r="DS84" s="227"/>
      <c r="DT84" s="228"/>
      <c r="DU84" s="229"/>
      <c r="DV84" s="36"/>
      <c r="DW84" s="229"/>
      <c r="DX84" s="230"/>
      <c r="DY84" s="87"/>
      <c r="EB84" s="227"/>
      <c r="EC84" s="228"/>
      <c r="ED84" s="229"/>
      <c r="EE84" s="232"/>
      <c r="EF84" s="231"/>
      <c r="EG84" s="233"/>
      <c r="EH84" s="87"/>
      <c r="EK84" s="227"/>
      <c r="EL84" s="228"/>
      <c r="EM84" s="229"/>
      <c r="EN84" s="232"/>
      <c r="EO84" s="231"/>
      <c r="EP84" s="233"/>
      <c r="EQ84" s="87"/>
      <c r="ET84" s="227"/>
      <c r="EU84" s="228"/>
      <c r="EV84" s="229"/>
      <c r="EW84" s="36"/>
      <c r="EX84" s="229"/>
      <c r="EY84" s="230"/>
      <c r="EZ84" s="87"/>
      <c r="FC84" s="227"/>
      <c r="FD84" s="228"/>
      <c r="FE84" s="229"/>
      <c r="FF84" s="36"/>
      <c r="FG84" s="229"/>
      <c r="FH84" s="230"/>
      <c r="FI84" s="87"/>
      <c r="FL84" s="227"/>
      <c r="FM84" s="228"/>
      <c r="FN84" s="229"/>
      <c r="FO84" s="36"/>
      <c r="FP84" s="229"/>
      <c r="FQ84" s="230"/>
      <c r="FR84" s="87"/>
      <c r="FU84" s="227"/>
      <c r="FV84" s="228"/>
      <c r="FW84" s="229"/>
      <c r="FX84" s="36"/>
      <c r="FY84" s="229"/>
      <c r="FZ84" s="230"/>
      <c r="GA84" s="87"/>
      <c r="GD84" s="227"/>
      <c r="GE84" s="228"/>
      <c r="GF84" s="229"/>
      <c r="GG84" s="36"/>
      <c r="GH84" s="229"/>
      <c r="GI84" s="230"/>
      <c r="GJ84" s="87"/>
      <c r="GM84" s="227"/>
      <c r="GN84" s="228"/>
      <c r="GO84" s="229"/>
      <c r="GP84" s="36"/>
      <c r="GQ84" s="229"/>
      <c r="GR84" s="230"/>
      <c r="GS84" s="87"/>
      <c r="GT84" s="187"/>
      <c r="GU84"/>
      <c r="GW84" s="235"/>
      <c r="GX84" s="235"/>
      <c r="GY84" s="195"/>
      <c r="GZ84"/>
    </row>
    <row r="85" spans="1:208" ht="16.5" thickBot="1" x14ac:dyDescent="0.3">
      <c r="D85" s="35"/>
      <c r="E85" s="36"/>
      <c r="F85" s="37"/>
      <c r="G85" s="38"/>
      <c r="H85" s="39"/>
      <c r="I85" s="40"/>
      <c r="J85" s="177"/>
      <c r="M85" s="212"/>
      <c r="N85" s="213"/>
      <c r="O85" s="224"/>
      <c r="P85" s="225"/>
      <c r="Q85" s="226"/>
      <c r="R85" s="226"/>
      <c r="S85" s="226"/>
      <c r="T85" s="39"/>
      <c r="U85" s="217"/>
      <c r="X85" s="227"/>
      <c r="Y85" s="228"/>
      <c r="Z85" s="229"/>
      <c r="AA85" s="36"/>
      <c r="AB85" s="229"/>
      <c r="AC85" s="230"/>
      <c r="AD85" s="87"/>
      <c r="AG85" s="227"/>
      <c r="AH85" s="228"/>
      <c r="AI85" s="229"/>
      <c r="AJ85" s="36"/>
      <c r="AK85" s="231"/>
      <c r="AL85" s="230"/>
      <c r="AM85" s="87"/>
      <c r="AP85" s="227"/>
      <c r="AQ85" s="228"/>
      <c r="AR85" s="229"/>
      <c r="AS85" s="36"/>
      <c r="AT85" s="229"/>
      <c r="AU85" s="230"/>
      <c r="AV85" s="87"/>
      <c r="AY85" s="227"/>
      <c r="AZ85" s="228"/>
      <c r="BA85" s="229"/>
      <c r="BB85" s="36"/>
      <c r="BC85" s="231"/>
      <c r="BD85" s="230"/>
      <c r="BE85" s="87"/>
      <c r="BH85" s="227"/>
      <c r="BI85" s="228"/>
      <c r="BJ85" s="229"/>
      <c r="BK85" s="36"/>
      <c r="BL85" s="231"/>
      <c r="BM85" s="230"/>
      <c r="BN85" s="87"/>
      <c r="BQ85" s="227"/>
      <c r="BR85" s="228"/>
      <c r="BS85" s="229"/>
      <c r="BT85" s="36"/>
      <c r="BU85" s="229"/>
      <c r="BV85" s="230"/>
      <c r="BW85" s="87"/>
      <c r="BZ85" s="227"/>
      <c r="CA85" s="228"/>
      <c r="CB85" s="229"/>
      <c r="CC85" s="36"/>
      <c r="CD85" s="229"/>
      <c r="CE85" s="230"/>
      <c r="CF85" s="87"/>
      <c r="CI85" s="227"/>
      <c r="CJ85" s="228"/>
      <c r="CK85" s="229"/>
      <c r="CL85" s="36"/>
      <c r="CM85" s="229"/>
      <c r="CN85" s="230"/>
      <c r="CO85" s="87"/>
      <c r="CR85" s="227"/>
      <c r="CS85" s="228"/>
      <c r="CT85" s="229"/>
      <c r="CU85" s="232"/>
      <c r="CV85" s="231"/>
      <c r="CW85" s="233"/>
      <c r="CX85" s="87"/>
      <c r="DA85" s="227"/>
      <c r="DB85" s="228"/>
      <c r="DC85" s="229"/>
      <c r="DD85" s="36"/>
      <c r="DE85" s="229"/>
      <c r="DF85" s="230"/>
      <c r="DG85" s="87"/>
      <c r="DJ85" s="227"/>
      <c r="DK85" s="228"/>
      <c r="DL85" s="229"/>
      <c r="DM85" s="232"/>
      <c r="DN85" s="231"/>
      <c r="DO85" s="233"/>
      <c r="DP85" s="87"/>
      <c r="DS85" s="227"/>
      <c r="DT85" s="228"/>
      <c r="DU85" s="229"/>
      <c r="DV85" s="36"/>
      <c r="DW85" s="229"/>
      <c r="DX85" s="230"/>
      <c r="DY85" s="87"/>
      <c r="EB85" s="227"/>
      <c r="EC85" s="228"/>
      <c r="ED85" s="229"/>
      <c r="EE85" s="232"/>
      <c r="EF85" s="231"/>
      <c r="EG85" s="233"/>
      <c r="EH85" s="87"/>
      <c r="EK85" s="227"/>
      <c r="EL85" s="228"/>
      <c r="EM85" s="229"/>
      <c r="EN85" s="232"/>
      <c r="EO85" s="231"/>
      <c r="EP85" s="233"/>
      <c r="EQ85" s="87"/>
      <c r="ET85" s="227"/>
      <c r="EU85" s="228"/>
      <c r="EV85" s="229"/>
      <c r="EW85" s="36"/>
      <c r="EX85" s="229"/>
      <c r="EY85" s="230"/>
      <c r="EZ85" s="87"/>
      <c r="FC85" s="227"/>
      <c r="FD85" s="228"/>
      <c r="FE85" s="229"/>
      <c r="FF85" s="36"/>
      <c r="FG85" s="229"/>
      <c r="FH85" s="230"/>
      <c r="FI85" s="87"/>
      <c r="FL85" s="227"/>
      <c r="FM85" s="228"/>
      <c r="FN85" s="229"/>
      <c r="FO85" s="36"/>
      <c r="FP85" s="229"/>
      <c r="FQ85" s="230"/>
      <c r="FR85" s="87"/>
      <c r="FU85" s="227"/>
      <c r="FV85" s="228"/>
      <c r="FW85" s="229"/>
      <c r="FX85" s="36"/>
      <c r="FY85" s="229"/>
      <c r="FZ85" s="230"/>
      <c r="GA85" s="87"/>
      <c r="GD85" s="227"/>
      <c r="GE85" s="228"/>
      <c r="GF85" s="229"/>
      <c r="GG85" s="36"/>
      <c r="GH85" s="229"/>
      <c r="GI85" s="230"/>
      <c r="GJ85" s="87"/>
      <c r="GM85" s="227"/>
      <c r="GN85" s="228"/>
      <c r="GO85" s="229"/>
      <c r="GP85" s="36"/>
      <c r="GQ85" s="229"/>
      <c r="GR85" s="230"/>
      <c r="GS85" s="87"/>
      <c r="GT85" s="187"/>
      <c r="GU85"/>
      <c r="GW85" s="235"/>
      <c r="GX85" s="235"/>
      <c r="GY85" s="195"/>
      <c r="GZ85"/>
    </row>
    <row r="86" spans="1:208" ht="16.5" thickTop="1" x14ac:dyDescent="0.25">
      <c r="D86" s="35"/>
      <c r="E86" s="36"/>
      <c r="F86" s="37"/>
      <c r="G86" s="38"/>
      <c r="H86" s="39"/>
      <c r="I86" s="40"/>
      <c r="J86" s="177"/>
      <c r="M86" s="212"/>
      <c r="O86" s="876" t="s">
        <v>30</v>
      </c>
      <c r="P86" s="877"/>
      <c r="Q86" s="877"/>
      <c r="R86" s="237"/>
      <c r="S86" s="237"/>
      <c r="T86" s="880">
        <f>GZ83+GU83+W83+T83+R83</f>
        <v>17665556.48</v>
      </c>
      <c r="U86" s="881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36"/>
      <c r="AK86" s="231"/>
      <c r="AL86" s="230"/>
      <c r="AM86" s="87"/>
      <c r="AP86" s="227"/>
      <c r="AQ86" s="228"/>
      <c r="AR86" s="229"/>
      <c r="AS86" s="36"/>
      <c r="AT86" s="229"/>
      <c r="AU86" s="230"/>
      <c r="AV86" s="87"/>
      <c r="AY86" s="227"/>
      <c r="AZ86" s="228"/>
      <c r="BA86" s="229"/>
      <c r="BB86" s="36"/>
      <c r="BC86" s="231"/>
      <c r="BD86" s="230"/>
      <c r="BE86" s="87"/>
      <c r="BH86" s="227"/>
      <c r="BI86" s="228"/>
      <c r="BJ86" s="229"/>
      <c r="BK86" s="36"/>
      <c r="BL86" s="231"/>
      <c r="BM86" s="230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/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/>
      <c r="DC86" s="229"/>
      <c r="DD86" s="36"/>
      <c r="DE86" s="229"/>
      <c r="DF86" s="230"/>
      <c r="DG86" s="87"/>
      <c r="DJ86" s="227"/>
      <c r="DK86" s="228"/>
      <c r="DL86" s="229"/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/>
      <c r="ED86" s="229"/>
      <c r="EE86" s="232"/>
      <c r="EF86" s="231"/>
      <c r="EG86" s="233"/>
      <c r="EH86" s="87"/>
      <c r="EK86" s="227"/>
      <c r="EL86" s="228"/>
      <c r="EM86" s="229"/>
      <c r="EN86" s="232"/>
      <c r="EO86" s="231"/>
      <c r="EP86" s="233"/>
      <c r="EQ86" s="87"/>
      <c r="ET86" s="227"/>
      <c r="EU86" s="228"/>
      <c r="EV86" s="229"/>
      <c r="EW86" s="36"/>
      <c r="EX86" s="229"/>
      <c r="EY86" s="230"/>
      <c r="EZ86" s="87"/>
      <c r="FC86" s="227"/>
      <c r="FD86" s="228"/>
      <c r="FE86" s="229"/>
      <c r="FF86" s="36"/>
      <c r="FG86" s="229"/>
      <c r="FH86" s="230"/>
      <c r="FI86" s="87"/>
      <c r="FL86" s="227"/>
      <c r="FM86" s="228"/>
      <c r="FN86" s="229"/>
      <c r="FO86" s="36"/>
      <c r="FP86" s="229"/>
      <c r="FQ86" s="230"/>
      <c r="FR86" s="87"/>
      <c r="FU86" s="227"/>
      <c r="FV86" s="228"/>
      <c r="FW86" s="229"/>
      <c r="FX86" s="36"/>
      <c r="FY86" s="229"/>
      <c r="FZ86" s="230"/>
      <c r="GA86" s="87"/>
      <c r="GD86" s="227"/>
      <c r="GE86" s="228"/>
      <c r="GF86" s="229"/>
      <c r="GG86" s="36"/>
      <c r="GH86" s="229"/>
      <c r="GI86" s="230"/>
      <c r="GJ86" s="87"/>
      <c r="GM86" s="227"/>
      <c r="GN86" s="228"/>
      <c r="GO86" s="229"/>
      <c r="GP86" s="36"/>
      <c r="GQ86" s="229"/>
      <c r="GR86" s="230"/>
      <c r="GS86" s="87"/>
      <c r="GT86" s="187"/>
      <c r="GU86"/>
      <c r="GW86" s="235"/>
      <c r="GX86" s="235"/>
      <c r="GY86" s="195"/>
      <c r="GZ86"/>
    </row>
    <row r="87" spans="1:208" ht="16.5" thickBot="1" x14ac:dyDescent="0.3">
      <c r="D87" s="35"/>
      <c r="E87" s="36"/>
      <c r="F87" s="37"/>
      <c r="G87" s="38"/>
      <c r="H87" s="39"/>
      <c r="I87" s="40"/>
      <c r="J87" s="238"/>
      <c r="M87" s="212"/>
      <c r="O87" s="878"/>
      <c r="P87" s="879"/>
      <c r="Q87" s="879"/>
      <c r="R87" s="239"/>
      <c r="S87" s="239"/>
      <c r="T87" s="882"/>
      <c r="U87" s="883"/>
      <c r="X87" s="227"/>
      <c r="Y87" s="228"/>
      <c r="Z87" s="229"/>
      <c r="AA87" s="36"/>
      <c r="AB87" s="229"/>
      <c r="AC87" s="230"/>
      <c r="AD87" s="87"/>
      <c r="AG87" s="227"/>
      <c r="AH87" s="228"/>
      <c r="AI87" s="229"/>
      <c r="AJ87" s="36"/>
      <c r="AK87" s="231"/>
      <c r="AL87" s="230"/>
      <c r="AM87" s="87"/>
      <c r="AP87" s="227"/>
      <c r="AQ87" s="228"/>
      <c r="AR87" s="229"/>
      <c r="AS87" s="36"/>
      <c r="AT87" s="229"/>
      <c r="AU87" s="230"/>
      <c r="AV87" s="87"/>
      <c r="AY87" s="227"/>
      <c r="AZ87" s="228"/>
      <c r="BA87" s="229"/>
      <c r="BB87" s="36"/>
      <c r="BC87" s="231"/>
      <c r="BD87" s="230"/>
      <c r="BE87" s="87"/>
      <c r="BH87" s="227"/>
      <c r="BI87" s="228"/>
      <c r="BJ87" s="229"/>
      <c r="BK87" s="36"/>
      <c r="BL87" s="231"/>
      <c r="BM87" s="230"/>
      <c r="BN87" s="87"/>
      <c r="BQ87" s="227"/>
      <c r="BR87" s="228"/>
      <c r="BS87" s="229"/>
      <c r="BT87" s="36"/>
      <c r="BU87" s="229"/>
      <c r="BV87" s="230"/>
      <c r="BW87" s="87"/>
      <c r="BZ87" s="227"/>
      <c r="CA87" s="228"/>
      <c r="CB87" s="229"/>
      <c r="CC87" s="36"/>
      <c r="CD87" s="229"/>
      <c r="CE87" s="230"/>
      <c r="CF87" s="87"/>
      <c r="CI87" s="227"/>
      <c r="CJ87" s="228"/>
      <c r="CK87" s="229"/>
      <c r="CL87" s="36"/>
      <c r="CM87" s="229"/>
      <c r="CN87" s="230"/>
      <c r="CO87" s="87"/>
      <c r="CR87" s="227"/>
      <c r="CS87" s="228"/>
      <c r="CT87" s="229"/>
      <c r="CU87" s="232"/>
      <c r="CV87" s="231"/>
      <c r="CW87" s="233"/>
      <c r="CX87" s="87"/>
      <c r="DA87" s="227"/>
      <c r="DB87" s="228"/>
      <c r="DC87" s="229"/>
      <c r="DD87" s="36"/>
      <c r="DE87" s="229"/>
      <c r="DF87" s="230"/>
      <c r="DG87" s="87"/>
      <c r="DJ87" s="227"/>
      <c r="DK87" s="228"/>
      <c r="DL87" s="229"/>
      <c r="DM87" s="232"/>
      <c r="DN87" s="231"/>
      <c r="DO87" s="233"/>
      <c r="DP87" s="87"/>
      <c r="DS87" s="227"/>
      <c r="DT87" s="228"/>
      <c r="DU87" s="229"/>
      <c r="DV87" s="36"/>
      <c r="DW87" s="229"/>
      <c r="DX87" s="230"/>
      <c r="DY87" s="87"/>
      <c r="EB87" s="227"/>
      <c r="EC87" s="228"/>
      <c r="ED87" s="229"/>
      <c r="EE87" s="232"/>
      <c r="EF87" s="231"/>
      <c r="EG87" s="233"/>
      <c r="EH87" s="87"/>
      <c r="EK87" s="227"/>
      <c r="EL87" s="228"/>
      <c r="EM87" s="229"/>
      <c r="EN87" s="232"/>
      <c r="EO87" s="231"/>
      <c r="EP87" s="233"/>
      <c r="EQ87" s="87"/>
      <c r="ET87" s="227"/>
      <c r="EU87" s="228"/>
      <c r="EV87" s="229"/>
      <c r="EW87" s="36"/>
      <c r="EX87" s="229"/>
      <c r="EY87" s="230"/>
      <c r="EZ87" s="87"/>
      <c r="FC87" s="227"/>
      <c r="FD87" s="228"/>
      <c r="FE87" s="229"/>
      <c r="FF87" s="36"/>
      <c r="FG87" s="229"/>
      <c r="FH87" s="230"/>
      <c r="FI87" s="87"/>
      <c r="FL87" s="227"/>
      <c r="FM87" s="228"/>
      <c r="FN87" s="229"/>
      <c r="FO87" s="36"/>
      <c r="FP87" s="229"/>
      <c r="FQ87" s="230"/>
      <c r="FR87" s="87"/>
      <c r="FU87" s="227"/>
      <c r="FV87" s="228"/>
      <c r="FW87" s="229"/>
      <c r="FX87" s="36"/>
      <c r="FY87" s="229"/>
      <c r="FZ87" s="230"/>
      <c r="GA87" s="87"/>
      <c r="GD87" s="227"/>
      <c r="GE87" s="228"/>
      <c r="GF87" s="229"/>
      <c r="GG87" s="36"/>
      <c r="GH87" s="229"/>
      <c r="GI87" s="230"/>
      <c r="GJ87" s="87"/>
      <c r="GM87" s="227"/>
      <c r="GN87" s="228"/>
      <c r="GO87" s="229"/>
      <c r="GP87" s="36"/>
      <c r="GQ87" s="229"/>
      <c r="GR87" s="230"/>
      <c r="GS87" s="87"/>
      <c r="GT87" s="187"/>
      <c r="GU87"/>
      <c r="GW87" s="235"/>
      <c r="GX87" s="235"/>
      <c r="GY87" s="195"/>
      <c r="GZ87"/>
    </row>
    <row r="88" spans="1:208" ht="16.5" thickTop="1" x14ac:dyDescent="0.25">
      <c r="D88" s="35"/>
      <c r="E88" s="36"/>
      <c r="F88" s="37"/>
      <c r="G88" s="38"/>
      <c r="H88" s="39"/>
      <c r="I88" s="40"/>
      <c r="J88" s="238"/>
      <c r="M88" s="212"/>
      <c r="O88" s="224"/>
      <c r="P88" s="225"/>
      <c r="Q88" s="226"/>
      <c r="R88" s="226"/>
      <c r="S88" s="226"/>
      <c r="T88" s="39"/>
      <c r="U88" s="217"/>
      <c r="X88" s="227"/>
      <c r="Y88" s="228"/>
      <c r="Z88" s="229"/>
      <c r="AA88" s="36"/>
      <c r="AB88" s="229"/>
      <c r="AC88" s="230"/>
      <c r="AD88" s="87"/>
      <c r="AG88" s="227"/>
      <c r="AH88" s="228"/>
      <c r="AI88" s="229"/>
      <c r="AJ88" s="36"/>
      <c r="AK88" s="231"/>
      <c r="AL88" s="230"/>
      <c r="AM88" s="87"/>
      <c r="AP88" s="227"/>
      <c r="AQ88" s="228"/>
      <c r="AR88" s="229"/>
      <c r="AS88" s="36"/>
      <c r="AT88" s="229"/>
      <c r="AU88" s="230"/>
      <c r="AV88" s="87"/>
      <c r="AY88" s="227"/>
      <c r="AZ88" s="228"/>
      <c r="BA88" s="229"/>
      <c r="BB88" s="36"/>
      <c r="BC88" s="231"/>
      <c r="BD88" s="230"/>
      <c r="BE88" s="87"/>
      <c r="BH88" s="227"/>
      <c r="BI88" s="228"/>
      <c r="BJ88" s="229"/>
      <c r="BK88" s="36"/>
      <c r="BL88" s="231"/>
      <c r="BM88" s="230"/>
      <c r="BN88" s="87"/>
      <c r="BQ88" s="227"/>
      <c r="BR88" s="228"/>
      <c r="BS88" s="229"/>
      <c r="BT88" s="36"/>
      <c r="BU88" s="229"/>
      <c r="BV88" s="230"/>
      <c r="BW88" s="87"/>
      <c r="BZ88" s="227"/>
      <c r="CA88" s="228"/>
      <c r="CB88" s="229"/>
      <c r="CC88" s="36"/>
      <c r="CD88" s="229"/>
      <c r="CE88" s="230"/>
      <c r="CF88" s="87"/>
      <c r="CI88" s="227"/>
      <c r="CJ88" s="228"/>
      <c r="CK88" s="229"/>
      <c r="CL88" s="36"/>
      <c r="CM88" s="229"/>
      <c r="CN88" s="230"/>
      <c r="CO88" s="87"/>
      <c r="CR88" s="227"/>
      <c r="CS88" s="228"/>
      <c r="CT88" s="229"/>
      <c r="CU88" s="232"/>
      <c r="CV88" s="231"/>
      <c r="CW88" s="233"/>
      <c r="CX88" s="87"/>
      <c r="DA88" s="227"/>
      <c r="DB88" s="228"/>
      <c r="DC88" s="229"/>
      <c r="DD88" s="36"/>
      <c r="DE88" s="229"/>
      <c r="DF88" s="230"/>
      <c r="DG88" s="87"/>
      <c r="DJ88" s="227"/>
      <c r="DK88" s="228"/>
      <c r="DL88" s="229"/>
      <c r="DM88" s="232"/>
      <c r="DN88" s="231"/>
      <c r="DO88" s="233"/>
      <c r="DP88" s="87"/>
      <c r="DS88" s="227"/>
      <c r="DT88" s="228"/>
      <c r="DU88" s="229"/>
      <c r="DV88" s="36"/>
      <c r="DW88" s="229"/>
      <c r="DX88" s="230"/>
      <c r="DY88" s="87"/>
      <c r="EB88" s="227"/>
      <c r="EC88" s="228"/>
      <c r="ED88" s="229"/>
      <c r="EE88" s="232"/>
      <c r="EF88" s="231"/>
      <c r="EG88" s="233"/>
      <c r="EH88" s="87"/>
      <c r="EK88" s="227"/>
      <c r="EL88" s="228"/>
      <c r="EM88" s="229"/>
      <c r="EN88" s="232"/>
      <c r="EO88" s="231"/>
      <c r="EP88" s="233"/>
      <c r="EQ88" s="87"/>
      <c r="ET88" s="227"/>
      <c r="EU88" s="228"/>
      <c r="EV88" s="229"/>
      <c r="EW88" s="36"/>
      <c r="EX88" s="229"/>
      <c r="EY88" s="230"/>
      <c r="EZ88" s="87"/>
      <c r="FC88" s="227"/>
      <c r="FD88" s="228"/>
      <c r="FE88" s="229"/>
      <c r="FF88" s="36"/>
      <c r="FG88" s="229"/>
      <c r="FH88" s="230"/>
      <c r="FI88" s="87"/>
      <c r="FL88" s="227"/>
      <c r="FM88" s="228"/>
      <c r="FN88" s="229"/>
      <c r="FO88" s="36"/>
      <c r="FP88" s="229"/>
      <c r="FQ88" s="230"/>
      <c r="FR88" s="87"/>
      <c r="FU88" s="227"/>
      <c r="FV88" s="228"/>
      <c r="FW88" s="229"/>
      <c r="FX88" s="36"/>
      <c r="FY88" s="229"/>
      <c r="FZ88" s="230"/>
      <c r="GA88" s="87"/>
      <c r="GD88" s="227"/>
      <c r="GE88" s="228"/>
      <c r="GF88" s="229"/>
      <c r="GG88" s="36"/>
      <c r="GH88" s="229"/>
      <c r="GI88" s="230"/>
      <c r="GJ88" s="87"/>
      <c r="GM88" s="227"/>
      <c r="GN88" s="228"/>
      <c r="GO88" s="229"/>
      <c r="GP88" s="36"/>
      <c r="GQ88" s="229"/>
      <c r="GR88" s="230"/>
      <c r="GS88" s="87"/>
      <c r="GT88" s="187"/>
      <c r="GU88"/>
      <c r="GW88" s="235"/>
      <c r="GX88" s="235"/>
      <c r="GY88" s="195"/>
      <c r="GZ88"/>
    </row>
    <row r="89" spans="1:208" x14ac:dyDescent="0.25">
      <c r="D89" s="35"/>
      <c r="E89" s="36"/>
      <c r="F89" s="37"/>
      <c r="G89" s="38"/>
      <c r="H89" s="39"/>
      <c r="I89" s="40"/>
      <c r="J89" s="177"/>
      <c r="M89" s="212"/>
      <c r="O89" s="224"/>
      <c r="P89" s="225"/>
      <c r="Q89" s="226"/>
      <c r="R89" s="226"/>
      <c r="S89" s="226"/>
      <c r="T89" s="39"/>
      <c r="U89" s="217"/>
      <c r="X89" s="227"/>
      <c r="Y89" s="228"/>
      <c r="Z89" s="229"/>
      <c r="AA89" s="36"/>
      <c r="AB89" s="229"/>
      <c r="AC89" s="230"/>
      <c r="AD89" s="87"/>
      <c r="AG89" s="227"/>
      <c r="AH89" s="228"/>
      <c r="AI89" s="229"/>
      <c r="AJ89" s="36"/>
      <c r="AK89" s="231"/>
      <c r="AL89" s="230"/>
      <c r="AM89" s="87"/>
      <c r="AP89" s="227"/>
      <c r="AQ89" s="228"/>
      <c r="AR89" s="229"/>
      <c r="AS89" s="36"/>
      <c r="AT89" s="229"/>
      <c r="AU89" s="230"/>
      <c r="AV89" s="87"/>
      <c r="AY89" s="227"/>
      <c r="AZ89" s="228"/>
      <c r="BA89" s="229"/>
      <c r="BB89" s="36"/>
      <c r="BC89" s="231"/>
      <c r="BD89" s="230"/>
      <c r="BE89" s="87"/>
      <c r="BH89" s="227"/>
      <c r="BI89" s="228"/>
      <c r="BJ89" s="229"/>
      <c r="BK89" s="36"/>
      <c r="BL89" s="231"/>
      <c r="BM89" s="230"/>
      <c r="BN89" s="87"/>
      <c r="BQ89" s="227"/>
      <c r="BR89" s="228"/>
      <c r="BS89" s="229"/>
      <c r="BT89" s="36"/>
      <c r="BU89" s="229"/>
      <c r="BV89" s="230"/>
      <c r="BW89" s="87"/>
      <c r="BZ89" s="227"/>
      <c r="CA89" s="228"/>
      <c r="CB89" s="229"/>
      <c r="CC89" s="36"/>
      <c r="CD89" s="229"/>
      <c r="CE89" s="230"/>
      <c r="CF89" s="87"/>
      <c r="CI89" s="227"/>
      <c r="CJ89" s="228"/>
      <c r="CK89" s="229"/>
      <c r="CL89" s="36"/>
      <c r="CM89" s="229"/>
      <c r="CN89" s="230"/>
      <c r="CO89" s="87"/>
      <c r="CR89" s="227"/>
      <c r="CS89" s="228"/>
      <c r="CT89" s="229"/>
      <c r="CU89" s="232"/>
      <c r="CV89" s="231"/>
      <c r="CW89" s="233"/>
      <c r="CX89" s="87"/>
      <c r="DA89" s="227"/>
      <c r="DB89" s="228"/>
      <c r="DC89" s="229"/>
      <c r="DD89" s="36"/>
      <c r="DE89" s="229"/>
      <c r="DF89" s="230"/>
      <c r="DG89" s="87"/>
      <c r="DJ89" s="227"/>
      <c r="DK89" s="228"/>
      <c r="DL89" s="229"/>
      <c r="DM89" s="232"/>
      <c r="DN89" s="231"/>
      <c r="DO89" s="233"/>
      <c r="DP89" s="87"/>
      <c r="DS89" s="227"/>
      <c r="DT89" s="228"/>
      <c r="DU89" s="229"/>
      <c r="DV89" s="36"/>
      <c r="DW89" s="229"/>
      <c r="DX89" s="230"/>
      <c r="DY89" s="87"/>
      <c r="EB89" s="227"/>
      <c r="EC89" s="228"/>
      <c r="ED89" s="229"/>
      <c r="EE89" s="232"/>
      <c r="EF89" s="231"/>
      <c r="EG89" s="233"/>
      <c r="EH89" s="87"/>
      <c r="EK89" s="227"/>
      <c r="EL89" s="228"/>
      <c r="EM89" s="229"/>
      <c r="EN89" s="232"/>
      <c r="EO89" s="231"/>
      <c r="EP89" s="233"/>
      <c r="EQ89" s="87"/>
      <c r="ET89" s="227"/>
      <c r="EU89" s="228"/>
      <c r="EV89" s="229"/>
      <c r="EW89" s="36"/>
      <c r="EX89" s="229"/>
      <c r="EY89" s="230"/>
      <c r="EZ89" s="87"/>
      <c r="FC89" s="227"/>
      <c r="FD89" s="228"/>
      <c r="FE89" s="229"/>
      <c r="FF89" s="36"/>
      <c r="FG89" s="229"/>
      <c r="FH89" s="230"/>
      <c r="FI89" s="87"/>
      <c r="FL89" s="227"/>
      <c r="FM89" s="228"/>
      <c r="FN89" s="229"/>
      <c r="FO89" s="36"/>
      <c r="FP89" s="229"/>
      <c r="FQ89" s="230"/>
      <c r="FR89" s="87"/>
      <c r="FU89" s="227"/>
      <c r="FV89" s="228"/>
      <c r="FW89" s="229"/>
      <c r="FX89" s="36"/>
      <c r="FY89" s="229"/>
      <c r="FZ89" s="230"/>
      <c r="GA89" s="87"/>
      <c r="GD89" s="227"/>
      <c r="GE89" s="228"/>
      <c r="GF89" s="229"/>
      <c r="GG89" s="36"/>
      <c r="GH89" s="229"/>
      <c r="GI89" s="230"/>
      <c r="GJ89" s="87"/>
      <c r="GM89" s="227"/>
      <c r="GN89" s="228"/>
      <c r="GO89" s="229"/>
      <c r="GP89" s="36"/>
      <c r="GQ89" s="229"/>
      <c r="GR89" s="230"/>
      <c r="GS89" s="87"/>
      <c r="GT89" s="187"/>
      <c r="GU89"/>
      <c r="GW89" s="235"/>
      <c r="GX89" s="235"/>
      <c r="GY89" s="195"/>
      <c r="GZ89"/>
    </row>
    <row r="90" spans="1:208" x14ac:dyDescent="0.25">
      <c r="A90" s="1">
        <v>25</v>
      </c>
      <c r="B90" t="e">
        <f>#REF!</f>
        <v>#REF!</v>
      </c>
      <c r="C90" t="e">
        <f>#REF!</f>
        <v>#REF!</v>
      </c>
      <c r="D90" s="35" t="e">
        <f>#REF!</f>
        <v>#REF!</v>
      </c>
      <c r="E90" s="36" t="e">
        <f>#REF!</f>
        <v>#REF!</v>
      </c>
      <c r="F90" s="37" t="e">
        <f>#REF!</f>
        <v>#REF!</v>
      </c>
      <c r="G90" s="38" t="e">
        <f>#REF!</f>
        <v>#REF!</v>
      </c>
      <c r="H90" s="39" t="e">
        <f>#REF!</f>
        <v>#REF!</v>
      </c>
      <c r="I90" s="40" t="e">
        <f>#REF!</f>
        <v>#REF!</v>
      </c>
      <c r="J90" s="177"/>
      <c r="M90" s="212"/>
      <c r="O90" s="224"/>
      <c r="P90" s="240"/>
      <c r="Q90" s="226"/>
      <c r="R90" s="226"/>
      <c r="S90" s="226"/>
      <c r="T90" s="39"/>
      <c r="U90" s="241"/>
      <c r="X90" s="227"/>
      <c r="Y90" s="228"/>
      <c r="Z90" s="229"/>
      <c r="AA90" s="198"/>
      <c r="AB90" s="197"/>
      <c r="AC90" s="199"/>
      <c r="AD90" s="200"/>
      <c r="AG90" s="227"/>
      <c r="AH90" s="228"/>
      <c r="AI90" s="229"/>
      <c r="AJ90" s="232"/>
      <c r="AK90" s="231"/>
      <c r="AL90" s="233"/>
      <c r="AM90" s="87"/>
      <c r="AP90" s="227"/>
      <c r="AQ90" s="228">
        <v>21</v>
      </c>
      <c r="AR90" s="229"/>
      <c r="AS90" s="232"/>
      <c r="AT90" s="229"/>
      <c r="AU90" s="233"/>
      <c r="AV90" s="87"/>
      <c r="AY90" s="227"/>
      <c r="AZ90" s="228">
        <v>21</v>
      </c>
      <c r="BA90" s="229"/>
      <c r="BB90" s="232"/>
      <c r="BC90" s="231"/>
      <c r="BD90" s="233"/>
      <c r="BE90" s="87"/>
      <c r="BH90" s="227"/>
      <c r="BI90" s="228"/>
      <c r="BJ90" s="229"/>
      <c r="BK90" s="232"/>
      <c r="BL90" s="231"/>
      <c r="BM90" s="233"/>
      <c r="BN90" s="87"/>
      <c r="BQ90" s="227"/>
      <c r="BR90" s="228"/>
      <c r="BS90" s="229"/>
      <c r="BT90" s="36"/>
      <c r="BU90" s="229"/>
      <c r="BV90" s="230"/>
      <c r="BW90" s="87"/>
      <c r="BZ90" s="227"/>
      <c r="CA90" s="228"/>
      <c r="CB90" s="229"/>
      <c r="CC90" s="36"/>
      <c r="CD90" s="229"/>
      <c r="CE90" s="230"/>
      <c r="CF90" s="87"/>
      <c r="CI90" s="227"/>
      <c r="CJ90" s="228">
        <v>21</v>
      </c>
      <c r="CK90" s="229"/>
      <c r="CL90" s="36"/>
      <c r="CM90" s="229"/>
      <c r="CN90" s="230"/>
      <c r="CO90" s="87"/>
      <c r="CR90" s="227"/>
      <c r="CS90" s="228"/>
      <c r="CT90" s="229"/>
      <c r="CU90" s="232"/>
      <c r="CV90" s="231"/>
      <c r="CW90" s="233"/>
      <c r="CX90" s="87"/>
      <c r="DA90" s="227"/>
      <c r="DB90" s="228">
        <v>21</v>
      </c>
      <c r="DC90" s="229"/>
      <c r="DD90" s="36"/>
      <c r="DE90" s="229"/>
      <c r="DF90" s="230"/>
      <c r="DG90" s="87"/>
      <c r="DJ90" s="227"/>
      <c r="DK90" s="228"/>
      <c r="DL90" s="229"/>
      <c r="DM90" s="232"/>
      <c r="DN90" s="231"/>
      <c r="DO90" s="233"/>
      <c r="DP90" s="87"/>
      <c r="DS90" s="227"/>
      <c r="DT90" s="228"/>
      <c r="DU90" s="229"/>
      <c r="DV90" s="36"/>
      <c r="DW90" s="229"/>
      <c r="DX90" s="230"/>
      <c r="DY90" s="87"/>
      <c r="EB90" s="227"/>
      <c r="EC90" s="228">
        <v>21</v>
      </c>
      <c r="ED90" s="229"/>
      <c r="EE90" s="232"/>
      <c r="EF90" s="231"/>
      <c r="EG90" s="233"/>
      <c r="EH90" s="87"/>
      <c r="EK90" s="227"/>
      <c r="EL90" s="228">
        <v>21</v>
      </c>
      <c r="EM90" s="229"/>
      <c r="EN90" s="232"/>
      <c r="EO90" s="231"/>
      <c r="EP90" s="233"/>
      <c r="EQ90" s="87"/>
      <c r="ET90" s="227"/>
      <c r="EU90" s="228">
        <v>21</v>
      </c>
      <c r="EV90" s="229"/>
      <c r="EW90" s="36"/>
      <c r="EX90" s="229"/>
      <c r="EY90" s="230"/>
      <c r="EZ90" s="87"/>
      <c r="FC90" s="227"/>
      <c r="FD90" s="228">
        <v>21</v>
      </c>
      <c r="FE90" s="229"/>
      <c r="FF90" s="36"/>
      <c r="FG90" s="229"/>
      <c r="FH90" s="230"/>
      <c r="FI90" s="87"/>
      <c r="FL90" s="227"/>
      <c r="FM90" s="228">
        <v>21</v>
      </c>
      <c r="FN90" s="229"/>
      <c r="FO90" s="36"/>
      <c r="FP90" s="229"/>
      <c r="FQ90" s="230"/>
      <c r="FR90" s="87"/>
      <c r="FU90" s="227"/>
      <c r="FV90" s="228">
        <v>21</v>
      </c>
      <c r="FW90" s="229"/>
      <c r="FX90" s="36"/>
      <c r="FY90" s="229"/>
      <c r="FZ90" s="230"/>
      <c r="GA90" s="87"/>
      <c r="GD90" s="227"/>
      <c r="GE90" s="228">
        <v>21</v>
      </c>
      <c r="GF90" s="229"/>
      <c r="GG90" s="36"/>
      <c r="GH90" s="229"/>
      <c r="GI90" s="230"/>
      <c r="GJ90" s="87"/>
      <c r="GM90" s="227"/>
      <c r="GN90" s="228">
        <v>21</v>
      </c>
      <c r="GO90" s="229"/>
      <c r="GP90" s="36"/>
      <c r="GQ90" s="229"/>
      <c r="GR90" s="230"/>
      <c r="GS90" s="87"/>
      <c r="GT90" s="187"/>
      <c r="GU90"/>
      <c r="GW90" s="235"/>
      <c r="GX90" s="235"/>
      <c r="GY90" s="195"/>
      <c r="GZ90"/>
    </row>
    <row r="91" spans="1:208" x14ac:dyDescent="0.25">
      <c r="A91" s="1">
        <v>26</v>
      </c>
      <c r="B91" t="e">
        <f>#REF!</f>
        <v>#REF!</v>
      </c>
      <c r="C91" t="e">
        <f>#REF!</f>
        <v>#REF!</v>
      </c>
      <c r="D91" s="35" t="e">
        <f>#REF!</f>
        <v>#REF!</v>
      </c>
      <c r="E91" s="36" t="e">
        <f>#REF!</f>
        <v>#REF!</v>
      </c>
      <c r="F91" s="37" t="e">
        <f>#REF!</f>
        <v>#REF!</v>
      </c>
      <c r="G91" s="38" t="e">
        <f>#REF!</f>
        <v>#REF!</v>
      </c>
      <c r="H91" s="39" t="e">
        <f>#REF!</f>
        <v>#REF!</v>
      </c>
      <c r="I91" s="40" t="e">
        <f>#REF!</f>
        <v>#REF!</v>
      </c>
      <c r="J91" s="238"/>
      <c r="M91" s="212"/>
      <c r="T91" s="39"/>
      <c r="U91" s="242"/>
      <c r="X91" s="227"/>
      <c r="Y91" s="228"/>
      <c r="Z91" s="229"/>
      <c r="AA91" s="36"/>
      <c r="AB91" s="229"/>
      <c r="AC91" s="230"/>
      <c r="AD91" s="87"/>
      <c r="AG91" s="227"/>
      <c r="AH91" s="228"/>
      <c r="AI91" s="229"/>
      <c r="AJ91" s="232"/>
      <c r="AK91" s="231"/>
      <c r="AL91" s="233"/>
      <c r="AM91" s="87"/>
      <c r="AP91" s="227"/>
      <c r="AQ91" s="228">
        <v>22</v>
      </c>
      <c r="AR91" s="231"/>
      <c r="AS91" s="232"/>
      <c r="AT91" s="229"/>
      <c r="AU91" s="233"/>
      <c r="AV91" s="87"/>
      <c r="AY91" s="227"/>
      <c r="AZ91" s="228">
        <v>22</v>
      </c>
      <c r="BA91" s="229"/>
      <c r="BB91" s="232"/>
      <c r="BC91" s="231"/>
      <c r="BD91" s="233"/>
      <c r="BE91" s="87"/>
      <c r="BH91" s="227"/>
      <c r="BI91" s="228"/>
      <c r="BJ91" s="229"/>
      <c r="BK91" s="232"/>
      <c r="BL91" s="231"/>
      <c r="BM91" s="233"/>
      <c r="BN91" s="87"/>
      <c r="BQ91" s="227"/>
      <c r="BR91" s="228"/>
      <c r="BS91" s="229"/>
      <c r="BT91" s="36"/>
      <c r="BU91" s="229"/>
      <c r="BV91" s="230"/>
      <c r="BW91" s="87"/>
      <c r="BZ91" s="227"/>
      <c r="CA91" s="228"/>
      <c r="CB91" s="229"/>
      <c r="CC91" s="36"/>
      <c r="CD91" s="229"/>
      <c r="CE91" s="230"/>
      <c r="CF91" s="87"/>
      <c r="CI91" s="227"/>
      <c r="CJ91" s="228">
        <v>22</v>
      </c>
      <c r="CK91" s="229"/>
      <c r="CL91" s="36"/>
      <c r="CM91" s="229"/>
      <c r="CN91" s="230"/>
      <c r="CO91" s="87"/>
      <c r="CR91" s="227"/>
      <c r="CS91" s="228"/>
      <c r="CT91" s="229"/>
      <c r="CU91" s="232"/>
      <c r="CV91" s="231"/>
      <c r="CW91" s="233"/>
      <c r="CX91" s="87"/>
      <c r="DA91" s="227"/>
      <c r="DB91" s="228">
        <v>22</v>
      </c>
      <c r="DC91" s="229"/>
      <c r="DD91" s="232"/>
      <c r="DE91" s="231"/>
      <c r="DF91" s="233"/>
      <c r="DG91" s="87"/>
      <c r="DJ91" s="227"/>
      <c r="DK91" s="228"/>
      <c r="DL91" s="229">
        <v>0</v>
      </c>
      <c r="DM91" s="232"/>
      <c r="DN91" s="231"/>
      <c r="DO91" s="233"/>
      <c r="DP91" s="87"/>
      <c r="DS91" s="227"/>
      <c r="DT91" s="228"/>
      <c r="DU91" s="229"/>
      <c r="DV91" s="36"/>
      <c r="DW91" s="229"/>
      <c r="DX91" s="230"/>
      <c r="DY91" s="87"/>
      <c r="EB91" s="227"/>
      <c r="EC91" s="228">
        <v>22</v>
      </c>
      <c r="ED91" s="229"/>
      <c r="EE91" s="232"/>
      <c r="EF91" s="231"/>
      <c r="EG91" s="233"/>
      <c r="EH91" s="87"/>
      <c r="EK91" s="227"/>
      <c r="EL91" s="228">
        <v>22</v>
      </c>
      <c r="EM91" s="229"/>
      <c r="EN91" s="232"/>
      <c r="EO91" s="231"/>
      <c r="EP91" s="233"/>
      <c r="EQ91" s="87"/>
      <c r="ET91" s="227"/>
      <c r="EU91" s="228">
        <v>22</v>
      </c>
      <c r="EV91" s="229"/>
      <c r="EW91" s="36"/>
      <c r="EX91" s="229"/>
      <c r="EY91" s="230"/>
      <c r="EZ91" s="87"/>
      <c r="FC91" s="227"/>
      <c r="FD91" s="228">
        <v>22</v>
      </c>
      <c r="FE91" s="229"/>
      <c r="FF91" s="36"/>
      <c r="FG91" s="229"/>
      <c r="FH91" s="230"/>
      <c r="FI91" s="87"/>
      <c r="FL91" s="227"/>
      <c r="FM91" s="228">
        <v>22</v>
      </c>
      <c r="FN91" s="229"/>
      <c r="FO91" s="36"/>
      <c r="FP91" s="229"/>
      <c r="FQ91" s="230"/>
      <c r="FR91" s="87"/>
      <c r="FU91" s="227"/>
      <c r="FV91" s="228">
        <v>22</v>
      </c>
      <c r="FW91" s="229"/>
      <c r="FX91" s="36"/>
      <c r="FY91" s="229"/>
      <c r="FZ91" s="230"/>
      <c r="GA91" s="87"/>
      <c r="GD91" s="227"/>
      <c r="GE91" s="228">
        <v>22</v>
      </c>
      <c r="GF91" s="229"/>
      <c r="GG91" s="36"/>
      <c r="GH91" s="229"/>
      <c r="GI91" s="230"/>
      <c r="GJ91" s="87"/>
      <c r="GM91" s="227"/>
      <c r="GN91" s="228">
        <v>22</v>
      </c>
      <c r="GO91" s="229"/>
      <c r="GP91" s="36"/>
      <c r="GQ91" s="229"/>
      <c r="GR91" s="230"/>
      <c r="GS91" s="87"/>
      <c r="GT91" s="187"/>
      <c r="GU91"/>
      <c r="GW91" s="235"/>
      <c r="GX91" s="235"/>
      <c r="GY91" s="195"/>
      <c r="GZ91"/>
    </row>
    <row r="92" spans="1:208" ht="16.5" thickBot="1" x14ac:dyDescent="0.3">
      <c r="A92" s="1">
        <v>27</v>
      </c>
      <c r="B92" t="e">
        <f>#REF!</f>
        <v>#REF!</v>
      </c>
      <c r="C92" t="e">
        <f>#REF!</f>
        <v>#REF!</v>
      </c>
      <c r="D92" s="35" t="e">
        <f>#REF!</f>
        <v>#REF!</v>
      </c>
      <c r="E92" s="36" t="e">
        <f>#REF!</f>
        <v>#REF!</v>
      </c>
      <c r="F92" s="37" t="e">
        <f>#REF!</f>
        <v>#REF!</v>
      </c>
      <c r="G92" s="38" t="e">
        <f>#REF!</f>
        <v>#REF!</v>
      </c>
      <c r="H92" s="39" t="e">
        <f>#REF!</f>
        <v>#REF!</v>
      </c>
      <c r="I92" s="40" t="e">
        <f>#REF!</f>
        <v>#REF!</v>
      </c>
      <c r="J92" s="238"/>
      <c r="U92" s="242"/>
      <c r="X92" s="227"/>
      <c r="Y92" s="228"/>
      <c r="Z92" s="231"/>
      <c r="AA92" s="36"/>
      <c r="AB92" s="229"/>
      <c r="AC92" s="230"/>
      <c r="AD92" s="87"/>
      <c r="AG92" s="243"/>
      <c r="AH92" s="244"/>
      <c r="AI92" s="245"/>
      <c r="AJ92" s="246"/>
      <c r="AK92" s="247"/>
      <c r="AL92" s="248"/>
      <c r="AP92" s="227"/>
      <c r="AQ92" s="228">
        <v>23</v>
      </c>
      <c r="AR92" s="231"/>
      <c r="AS92" s="232"/>
      <c r="AT92" s="229"/>
      <c r="AU92" s="230"/>
      <c r="AV92" s="87"/>
      <c r="AY92" s="227"/>
      <c r="AZ92" s="228"/>
      <c r="BA92" s="231"/>
      <c r="BB92" s="232"/>
      <c r="BC92" s="249"/>
      <c r="BD92" s="230"/>
      <c r="BE92" s="87"/>
      <c r="BH92" s="243"/>
      <c r="BI92" s="250"/>
      <c r="BJ92" s="245"/>
      <c r="BK92" s="251"/>
      <c r="BL92" s="247"/>
      <c r="BM92" s="252"/>
      <c r="BN92" s="87"/>
      <c r="BR92" s="228"/>
      <c r="BS92" s="231"/>
      <c r="BT92" s="36"/>
      <c r="BU92" s="231"/>
      <c r="BV92" s="230"/>
      <c r="BW92" s="87"/>
      <c r="BZ92" s="243"/>
      <c r="CA92" s="253"/>
      <c r="CB92" s="245"/>
      <c r="CC92" s="246"/>
      <c r="CD92" s="247"/>
      <c r="CE92" s="248"/>
      <c r="CI92" s="227"/>
      <c r="CJ92" s="228">
        <v>23</v>
      </c>
      <c r="CK92" s="231"/>
      <c r="CM92" s="231"/>
      <c r="CR92" s="243"/>
      <c r="CS92" s="253"/>
      <c r="CT92" s="245">
        <v>0</v>
      </c>
      <c r="CU92" s="246"/>
      <c r="CV92" s="247">
        <v>0</v>
      </c>
      <c r="CW92" s="248"/>
      <c r="DA92" s="243"/>
      <c r="DB92" s="253"/>
      <c r="DC92" s="245">
        <v>0</v>
      </c>
      <c r="DD92" s="246"/>
      <c r="DE92" s="247">
        <v>0</v>
      </c>
      <c r="DF92" s="248"/>
      <c r="DJ92" s="243"/>
      <c r="DK92" s="253"/>
      <c r="DL92" s="245">
        <v>0</v>
      </c>
      <c r="DM92" s="246"/>
      <c r="DN92" s="247">
        <v>0</v>
      </c>
      <c r="DO92" s="248"/>
      <c r="DS92" s="243"/>
      <c r="DT92" s="253"/>
      <c r="DU92" s="245">
        <v>0</v>
      </c>
      <c r="DV92" s="246"/>
      <c r="DW92" s="247">
        <v>0</v>
      </c>
      <c r="DX92" s="248"/>
      <c r="EB92" s="243"/>
      <c r="EC92" s="253"/>
      <c r="ED92" s="245">
        <v>0</v>
      </c>
      <c r="EE92" s="246"/>
      <c r="EF92" s="247">
        <v>0</v>
      </c>
      <c r="EG92" s="248"/>
      <c r="EK92" s="243"/>
      <c r="EL92" s="253"/>
      <c r="EM92" s="245">
        <v>0</v>
      </c>
      <c r="EN92" s="246"/>
      <c r="EO92" s="247">
        <v>0</v>
      </c>
      <c r="EP92" s="248"/>
      <c r="ET92" s="243"/>
      <c r="EU92" s="253"/>
      <c r="EV92" s="245">
        <v>0</v>
      </c>
      <c r="EW92" s="246"/>
      <c r="EX92" s="247">
        <v>0</v>
      </c>
      <c r="EY92" s="248"/>
      <c r="FC92" s="243"/>
      <c r="FD92" s="253"/>
      <c r="FE92" s="245">
        <v>0</v>
      </c>
      <c r="FF92" s="246"/>
      <c r="FG92" s="247">
        <v>0</v>
      </c>
      <c r="FH92" s="248"/>
      <c r="FL92" s="243"/>
      <c r="FM92" s="253"/>
      <c r="FN92" s="245">
        <v>0</v>
      </c>
      <c r="FO92" s="246"/>
      <c r="FP92" s="247">
        <v>0</v>
      </c>
      <c r="FQ92" s="248"/>
      <c r="FU92" s="243"/>
      <c r="FV92" s="253"/>
      <c r="FW92" s="245">
        <v>0</v>
      </c>
      <c r="FX92" s="246"/>
      <c r="FY92" s="247">
        <v>0</v>
      </c>
      <c r="FZ92" s="248"/>
      <c r="GD92" s="243"/>
      <c r="GE92" s="253"/>
      <c r="GF92" s="245">
        <v>0</v>
      </c>
      <c r="GG92" s="246"/>
      <c r="GH92" s="247">
        <v>0</v>
      </c>
      <c r="GI92" s="248"/>
      <c r="GM92" s="243"/>
      <c r="GN92" s="253"/>
      <c r="GO92" s="245">
        <v>0</v>
      </c>
      <c r="GP92" s="246"/>
      <c r="GQ92" s="247">
        <v>0</v>
      </c>
      <c r="GR92" s="248"/>
      <c r="GU92"/>
      <c r="GW92" s="235"/>
      <c r="GX92" s="235"/>
      <c r="GY92" s="195"/>
      <c r="GZ92"/>
    </row>
    <row r="93" spans="1:208" x14ac:dyDescent="0.25">
      <c r="J93" s="177"/>
      <c r="K93" s="452"/>
      <c r="T93" s="39"/>
      <c r="U93" s="217"/>
      <c r="GU93"/>
      <c r="GW93" s="235"/>
      <c r="GX93" s="235"/>
      <c r="GY93" s="195"/>
      <c r="GZ93"/>
    </row>
    <row r="94" spans="1:208" x14ac:dyDescent="0.25">
      <c r="J94" s="238"/>
      <c r="K94" s="452"/>
      <c r="T94" s="39"/>
      <c r="U94" s="217"/>
      <c r="GU94"/>
      <c r="GW94" s="235"/>
      <c r="GX94" s="235"/>
      <c r="GY94" s="195"/>
      <c r="GZ94"/>
    </row>
    <row r="95" spans="1:208" x14ac:dyDescent="0.25">
      <c r="J95" s="177"/>
      <c r="K95" s="452"/>
      <c r="O95" s="224"/>
      <c r="P95" s="225"/>
      <c r="Q95" s="226"/>
      <c r="R95" s="226"/>
      <c r="S95" s="226"/>
      <c r="T95" s="39"/>
      <c r="U95" s="217"/>
      <c r="GU95"/>
      <c r="GW95" s="235"/>
      <c r="GX95" s="235"/>
      <c r="GY95" s="195"/>
      <c r="GZ95"/>
    </row>
    <row r="96" spans="1:208" x14ac:dyDescent="0.25">
      <c r="J96" s="238"/>
      <c r="K96" s="452"/>
      <c r="M96" s="212"/>
      <c r="O96" s="224"/>
      <c r="P96" s="225"/>
      <c r="Q96" s="226"/>
      <c r="R96" s="226"/>
      <c r="S96" s="226"/>
      <c r="T96" s="39"/>
      <c r="U96" s="217"/>
      <c r="GU96"/>
      <c r="GW96" s="235"/>
      <c r="GX96" s="235"/>
      <c r="GY96" s="195"/>
      <c r="GZ96"/>
    </row>
    <row r="97" spans="1:208" x14ac:dyDescent="0.25">
      <c r="J97" s="177"/>
      <c r="K97" s="452"/>
      <c r="M97" s="212"/>
      <c r="O97" s="884"/>
      <c r="P97" s="884"/>
      <c r="Q97" s="884"/>
      <c r="T97" s="39"/>
      <c r="U97" s="217"/>
      <c r="GU97"/>
      <c r="GW97" s="235"/>
      <c r="GX97" s="235"/>
      <c r="GY97" s="195"/>
      <c r="GZ97"/>
    </row>
    <row r="98" spans="1:208" x14ac:dyDescent="0.25">
      <c r="J98" s="238"/>
      <c r="GU98"/>
      <c r="GW98" s="235"/>
      <c r="GX98" s="235"/>
      <c r="GY98" s="195"/>
      <c r="GZ98"/>
    </row>
    <row r="99" spans="1:208" x14ac:dyDescent="0.25">
      <c r="J99" s="177"/>
      <c r="GU99"/>
      <c r="GW99" s="235"/>
      <c r="GX99" s="235"/>
      <c r="GY99" s="195"/>
      <c r="GZ99"/>
    </row>
    <row r="100" spans="1:208" x14ac:dyDescent="0.25">
      <c r="A100"/>
      <c r="F100"/>
      <c r="J100" s="177"/>
      <c r="K100" s="453"/>
      <c r="L100"/>
      <c r="M100"/>
      <c r="N100"/>
      <c r="O100" s="37"/>
      <c r="P100"/>
      <c r="Q100"/>
      <c r="R100"/>
      <c r="S100"/>
      <c r="V100"/>
      <c r="W100"/>
      <c r="GU100"/>
      <c r="GW100" s="235"/>
      <c r="GX100" s="235"/>
      <c r="GY100" s="195"/>
      <c r="GZ100"/>
    </row>
    <row r="101" spans="1:208" x14ac:dyDescent="0.25">
      <c r="A101"/>
      <c r="F101"/>
      <c r="J101" s="238"/>
      <c r="K101" s="453"/>
      <c r="L101"/>
      <c r="M101"/>
      <c r="N101"/>
      <c r="O101" s="37"/>
      <c r="P101"/>
      <c r="Q101"/>
      <c r="R101"/>
      <c r="S101"/>
      <c r="V101"/>
      <c r="W101"/>
      <c r="GU101"/>
      <c r="GW101" s="235"/>
      <c r="GX101" s="235"/>
      <c r="GY101" s="195"/>
      <c r="GZ101"/>
    </row>
    <row r="102" spans="1:208" x14ac:dyDescent="0.25">
      <c r="A102"/>
      <c r="F102"/>
      <c r="J102" s="238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195"/>
      <c r="GZ102"/>
    </row>
    <row r="103" spans="1:208" x14ac:dyDescent="0.25">
      <c r="A103"/>
      <c r="F103"/>
      <c r="J103" s="238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195"/>
      <c r="GZ103"/>
    </row>
    <row r="104" spans="1:208" x14ac:dyDescent="0.25">
      <c r="A104"/>
      <c r="F104"/>
      <c r="J104" s="255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195"/>
      <c r="GZ104"/>
    </row>
    <row r="105" spans="1:208" x14ac:dyDescent="0.25">
      <c r="A105"/>
      <c r="F105"/>
      <c r="J105" s="208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195"/>
      <c r="GZ105"/>
    </row>
    <row r="106" spans="1:208" x14ac:dyDescent="0.25">
      <c r="A106"/>
      <c r="F106"/>
      <c r="J106" s="177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195"/>
      <c r="GZ106"/>
    </row>
    <row r="107" spans="1:208" x14ac:dyDescent="0.25">
      <c r="A107"/>
      <c r="F107"/>
      <c r="J107" s="177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195"/>
      <c r="GZ107"/>
    </row>
    <row r="108" spans="1:208" x14ac:dyDescent="0.25">
      <c r="A108"/>
      <c r="F108"/>
      <c r="J108" s="177"/>
      <c r="K108" s="453"/>
      <c r="L108"/>
      <c r="M108"/>
      <c r="N108"/>
      <c r="O108" s="37"/>
      <c r="P108"/>
      <c r="Q108"/>
      <c r="R108"/>
      <c r="S108"/>
      <c r="V108"/>
      <c r="W108"/>
      <c r="GU108"/>
      <c r="GW108" s="235"/>
      <c r="GX108" s="235"/>
      <c r="GY108" s="195"/>
      <c r="GZ108"/>
    </row>
    <row r="109" spans="1:208" x14ac:dyDescent="0.25">
      <c r="A109"/>
      <c r="F109"/>
      <c r="J109" s="177"/>
      <c r="K109" s="453"/>
      <c r="L109"/>
      <c r="M109"/>
      <c r="N109"/>
      <c r="O109" s="37"/>
      <c r="P109"/>
      <c r="Q109"/>
      <c r="R109"/>
      <c r="S109"/>
      <c r="V109"/>
      <c r="W109"/>
      <c r="GU109"/>
      <c r="GW109" s="235"/>
      <c r="GX109" s="235"/>
      <c r="GY109" s="195"/>
      <c r="GZ109"/>
    </row>
    <row r="110" spans="1:208" x14ac:dyDescent="0.25">
      <c r="A110"/>
      <c r="F110"/>
      <c r="J110" s="177"/>
      <c r="K110" s="453"/>
      <c r="L110"/>
      <c r="M110"/>
      <c r="N110"/>
      <c r="O110" s="37"/>
      <c r="P110"/>
      <c r="Q110"/>
      <c r="R110"/>
      <c r="S110"/>
      <c r="V110"/>
      <c r="W110"/>
      <c r="GU110"/>
      <c r="GW110" s="235"/>
      <c r="GX110" s="235"/>
      <c r="GY110" s="195"/>
      <c r="GZ110"/>
    </row>
    <row r="111" spans="1:208" x14ac:dyDescent="0.25">
      <c r="A111"/>
      <c r="F111"/>
      <c r="J111" s="177"/>
      <c r="K111" s="453"/>
      <c r="L111"/>
      <c r="M111"/>
      <c r="N111"/>
      <c r="O111" s="37"/>
      <c r="P111"/>
      <c r="Q111"/>
      <c r="R111"/>
      <c r="S111"/>
      <c r="V111"/>
      <c r="W111"/>
      <c r="GU111"/>
      <c r="GW111" s="235"/>
      <c r="GX111" s="235"/>
      <c r="GY111" s="195"/>
      <c r="GZ111"/>
    </row>
    <row r="112" spans="1:208" x14ac:dyDescent="0.25">
      <c r="A112"/>
      <c r="F112"/>
      <c r="J112" s="177"/>
      <c r="K112" s="453"/>
      <c r="L112"/>
      <c r="M112"/>
      <c r="N112"/>
      <c r="O112" s="37"/>
      <c r="P112"/>
      <c r="Q112"/>
      <c r="R112"/>
      <c r="S112"/>
      <c r="V112"/>
      <c r="W112"/>
      <c r="GU112"/>
      <c r="GW112" s="235"/>
      <c r="GX112" s="235"/>
      <c r="GY112" s="195"/>
      <c r="GZ112"/>
    </row>
  </sheetData>
  <mergeCells count="31">
    <mergeCell ref="DI1:DO1"/>
    <mergeCell ref="J1:Q1"/>
    <mergeCell ref="X1:AC1"/>
    <mergeCell ref="AF1:AL1"/>
    <mergeCell ref="AO1:AU1"/>
    <mergeCell ref="AX1:BD1"/>
    <mergeCell ref="BG1:BM1"/>
    <mergeCell ref="FT1:FZ1"/>
    <mergeCell ref="GC1:GI1"/>
    <mergeCell ref="GL1:GR1"/>
    <mergeCell ref="R16:S16"/>
    <mergeCell ref="R20:S2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T86:U87"/>
    <mergeCell ref="O97:Q97"/>
    <mergeCell ref="R30:S30"/>
    <mergeCell ref="R44:S44"/>
    <mergeCell ref="M79:N79"/>
    <mergeCell ref="O79:O80"/>
    <mergeCell ref="O83:Q83"/>
    <mergeCell ref="O86:Q8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-0.249977111117893"/>
  </sheetPr>
  <dimension ref="A1:N174"/>
  <sheetViews>
    <sheetView topLeftCell="A131" workbookViewId="0">
      <selection activeCell="A151" sqref="A151"/>
    </sheetView>
  </sheetViews>
  <sheetFormatPr baseColWidth="10" defaultRowHeight="15.75" x14ac:dyDescent="0.25"/>
  <cols>
    <col min="1" max="1" width="25.5703125" style="8" customWidth="1"/>
    <col min="2" max="2" width="15" style="8" customWidth="1"/>
    <col min="3" max="3" width="11.42578125" style="676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2.7109375" style="780" customWidth="1"/>
    <col min="9" max="9" width="11.85546875" style="828" customWidth="1"/>
    <col min="10" max="10" width="13.85546875" style="195" bestFit="1" customWidth="1"/>
    <col min="11" max="11" width="11.42578125" style="195"/>
  </cols>
  <sheetData>
    <row r="1" spans="1:14" ht="21" x14ac:dyDescent="0.35">
      <c r="A1" s="885" t="s">
        <v>738</v>
      </c>
      <c r="B1" s="885"/>
      <c r="C1" s="885"/>
      <c r="D1" s="885"/>
      <c r="E1" s="885"/>
      <c r="F1" s="885"/>
      <c r="G1" s="885"/>
    </row>
    <row r="2" spans="1:14" ht="16.5" thickBot="1" x14ac:dyDescent="0.3">
      <c r="D2" s="260"/>
    </row>
    <row r="3" spans="1:14" ht="17.25" thickTop="1" thickBot="1" x14ac:dyDescent="0.3">
      <c r="A3" s="262" t="s">
        <v>8</v>
      </c>
      <c r="B3" s="262" t="s">
        <v>16</v>
      </c>
      <c r="C3" s="677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781"/>
    </row>
    <row r="4" spans="1:14" ht="16.5" thickTop="1" x14ac:dyDescent="0.25">
      <c r="A4" s="268" t="s">
        <v>1517</v>
      </c>
      <c r="B4" s="183" t="s">
        <v>248</v>
      </c>
      <c r="C4" s="678">
        <v>42979</v>
      </c>
      <c r="D4" s="270">
        <v>4785</v>
      </c>
      <c r="E4" s="261">
        <v>300</v>
      </c>
      <c r="F4" s="29">
        <v>38</v>
      </c>
      <c r="G4" s="39">
        <f>F4*E4</f>
        <v>11400</v>
      </c>
      <c r="H4" s="752">
        <v>42978</v>
      </c>
      <c r="I4" s="828" t="s">
        <v>1172</v>
      </c>
      <c r="L4" s="195"/>
      <c r="M4" s="195"/>
      <c r="N4" s="195"/>
    </row>
    <row r="5" spans="1:14" ht="31.5" x14ac:dyDescent="0.25">
      <c r="A5" s="268" t="s">
        <v>1171</v>
      </c>
      <c r="B5" s="272" t="s">
        <v>206</v>
      </c>
      <c r="C5" s="678">
        <v>42979</v>
      </c>
      <c r="D5" s="270">
        <f t="shared" ref="D5:D68" si="0">D4+1</f>
        <v>4786</v>
      </c>
      <c r="E5" s="261">
        <v>643.6</v>
      </c>
      <c r="F5" s="29">
        <v>68</v>
      </c>
      <c r="G5" s="39">
        <f>F5*E5+359.4*64</f>
        <v>66766.399999999994</v>
      </c>
      <c r="H5" s="837" t="s">
        <v>1557</v>
      </c>
      <c r="I5" s="828" t="s">
        <v>1172</v>
      </c>
      <c r="J5" s="836"/>
      <c r="L5" s="195"/>
      <c r="M5" s="195"/>
      <c r="N5" s="195"/>
    </row>
    <row r="6" spans="1:14" x14ac:dyDescent="0.25">
      <c r="A6" s="8" t="s">
        <v>1546</v>
      </c>
      <c r="B6" s="8" t="s">
        <v>1473</v>
      </c>
      <c r="C6" s="678">
        <v>42979</v>
      </c>
      <c r="D6" s="270">
        <f t="shared" si="0"/>
        <v>4787</v>
      </c>
      <c r="E6" s="261">
        <v>1000.6</v>
      </c>
      <c r="F6" s="29">
        <v>19.5</v>
      </c>
      <c r="G6" s="39">
        <f>F6*E6</f>
        <v>19511.7</v>
      </c>
      <c r="H6" s="752">
        <v>42979</v>
      </c>
      <c r="I6" s="828" t="s">
        <v>1172</v>
      </c>
      <c r="L6" s="195"/>
      <c r="M6" s="195"/>
      <c r="N6" s="195"/>
    </row>
    <row r="7" spans="1:14" x14ac:dyDescent="0.25">
      <c r="A7" s="273" t="s">
        <v>1173</v>
      </c>
      <c r="B7" s="268" t="s">
        <v>1545</v>
      </c>
      <c r="C7" s="679">
        <v>42979</v>
      </c>
      <c r="D7" s="270">
        <f t="shared" si="0"/>
        <v>4788</v>
      </c>
      <c r="E7" s="261">
        <v>215</v>
      </c>
      <c r="F7" s="29">
        <v>60</v>
      </c>
      <c r="G7" s="39">
        <f t="shared" ref="G7:G38" si="1">F7*E7</f>
        <v>12900</v>
      </c>
      <c r="H7" s="752">
        <v>42979</v>
      </c>
      <c r="I7" s="828" t="s">
        <v>1172</v>
      </c>
      <c r="L7" s="195"/>
      <c r="M7" s="195"/>
      <c r="N7" s="195"/>
    </row>
    <row r="8" spans="1:14" x14ac:dyDescent="0.25">
      <c r="A8" s="273" t="s">
        <v>1549</v>
      </c>
      <c r="B8" s="268" t="s">
        <v>1503</v>
      </c>
      <c r="C8" s="679">
        <v>42978</v>
      </c>
      <c r="D8" s="270">
        <f t="shared" si="0"/>
        <v>4789</v>
      </c>
      <c r="E8" s="261">
        <v>568.4</v>
      </c>
      <c r="F8" s="29">
        <v>90</v>
      </c>
      <c r="G8" s="39">
        <f t="shared" si="1"/>
        <v>51156</v>
      </c>
      <c r="H8" s="752">
        <v>42980</v>
      </c>
      <c r="I8" s="828" t="s">
        <v>1172</v>
      </c>
      <c r="L8" s="195"/>
      <c r="M8" s="195"/>
      <c r="N8" s="195"/>
    </row>
    <row r="9" spans="1:14" x14ac:dyDescent="0.25">
      <c r="A9" s="273" t="s">
        <v>1208</v>
      </c>
      <c r="B9" s="268" t="s">
        <v>206</v>
      </c>
      <c r="C9" s="679">
        <v>42979</v>
      </c>
      <c r="D9" s="270">
        <f t="shared" si="0"/>
        <v>4790</v>
      </c>
      <c r="E9" s="261">
        <v>746.1</v>
      </c>
      <c r="F9" s="29">
        <v>67</v>
      </c>
      <c r="G9" s="39">
        <f t="shared" si="1"/>
        <v>49988.700000000004</v>
      </c>
      <c r="H9" s="752">
        <v>42979</v>
      </c>
      <c r="I9" s="828" t="s">
        <v>1172</v>
      </c>
      <c r="J9" s="8"/>
      <c r="L9" s="195"/>
      <c r="M9" s="195"/>
      <c r="N9" s="195"/>
    </row>
    <row r="10" spans="1:14" x14ac:dyDescent="0.25">
      <c r="A10" s="275" t="s">
        <v>1220</v>
      </c>
      <c r="B10" s="8" t="s">
        <v>1182</v>
      </c>
      <c r="C10" s="679">
        <v>42979</v>
      </c>
      <c r="D10" s="270">
        <f t="shared" si="0"/>
        <v>4791</v>
      </c>
      <c r="E10" s="261">
        <v>36927.1</v>
      </c>
      <c r="F10" s="29">
        <v>1</v>
      </c>
      <c r="G10" s="39">
        <f t="shared" si="1"/>
        <v>36927.1</v>
      </c>
      <c r="H10" s="752">
        <v>42983</v>
      </c>
      <c r="I10" s="828" t="s">
        <v>1172</v>
      </c>
      <c r="L10" s="195"/>
      <c r="M10" s="195"/>
      <c r="N10" s="195"/>
    </row>
    <row r="11" spans="1:14" x14ac:dyDescent="0.25">
      <c r="A11" s="275" t="s">
        <v>1220</v>
      </c>
      <c r="B11" s="8" t="s">
        <v>1573</v>
      </c>
      <c r="C11" s="679">
        <v>42977</v>
      </c>
      <c r="D11" s="270">
        <f t="shared" si="0"/>
        <v>4792</v>
      </c>
      <c r="E11" s="261">
        <v>64.400000000000006</v>
      </c>
      <c r="F11" s="29">
        <v>44</v>
      </c>
      <c r="G11" s="39">
        <f>F11*E11+41.9*80+2*40</f>
        <v>6265.6</v>
      </c>
      <c r="H11" s="753">
        <v>43000</v>
      </c>
      <c r="I11" s="842" t="s">
        <v>1172</v>
      </c>
      <c r="L11" s="195"/>
      <c r="M11" s="195"/>
      <c r="N11" s="195"/>
    </row>
    <row r="12" spans="1:14" x14ac:dyDescent="0.25">
      <c r="A12" s="275" t="s">
        <v>1197</v>
      </c>
      <c r="B12" s="8" t="s">
        <v>1198</v>
      </c>
      <c r="C12" s="679">
        <v>42979</v>
      </c>
      <c r="D12" s="270">
        <f t="shared" si="0"/>
        <v>4793</v>
      </c>
      <c r="E12" s="261">
        <v>104.16</v>
      </c>
      <c r="F12" s="29">
        <v>54</v>
      </c>
      <c r="G12" s="39">
        <f t="shared" si="1"/>
        <v>5624.6399999999994</v>
      </c>
      <c r="H12" s="752">
        <v>42984</v>
      </c>
      <c r="I12" s="828" t="s">
        <v>1172</v>
      </c>
      <c r="L12" s="195"/>
      <c r="M12" s="195"/>
      <c r="N12" s="195"/>
    </row>
    <row r="13" spans="1:14" x14ac:dyDescent="0.25">
      <c r="A13" s="275" t="s">
        <v>1197</v>
      </c>
      <c r="B13" s="8" t="s">
        <v>1203</v>
      </c>
      <c r="C13" s="679">
        <v>42979</v>
      </c>
      <c r="D13" s="270">
        <f t="shared" si="0"/>
        <v>4794</v>
      </c>
      <c r="E13" s="261">
        <v>1000</v>
      </c>
      <c r="F13" s="29">
        <v>38.5</v>
      </c>
      <c r="G13" s="39">
        <f t="shared" si="1"/>
        <v>38500</v>
      </c>
      <c r="H13" s="752">
        <v>42992</v>
      </c>
      <c r="I13" s="828" t="s">
        <v>1172</v>
      </c>
      <c r="L13" s="195"/>
      <c r="M13" s="195"/>
      <c r="N13" s="195"/>
    </row>
    <row r="14" spans="1:14" x14ac:dyDescent="0.25">
      <c r="A14" s="275" t="s">
        <v>1206</v>
      </c>
      <c r="B14" s="8" t="s">
        <v>1207</v>
      </c>
      <c r="C14" s="679">
        <v>42980</v>
      </c>
      <c r="D14" s="270">
        <f t="shared" si="0"/>
        <v>4795</v>
      </c>
      <c r="E14" s="261">
        <v>205</v>
      </c>
      <c r="F14" s="29">
        <v>69</v>
      </c>
      <c r="G14" s="39">
        <f t="shared" si="1"/>
        <v>14145</v>
      </c>
      <c r="H14" s="752">
        <v>42985</v>
      </c>
      <c r="I14" s="828" t="s">
        <v>1172</v>
      </c>
      <c r="L14" s="195"/>
      <c r="M14" s="195"/>
      <c r="N14" s="195"/>
    </row>
    <row r="15" spans="1:14" x14ac:dyDescent="0.25">
      <c r="A15" s="275" t="s">
        <v>1173</v>
      </c>
      <c r="B15" s="8" t="s">
        <v>1533</v>
      </c>
      <c r="C15" s="679">
        <v>42981</v>
      </c>
      <c r="D15" s="270">
        <f t="shared" si="0"/>
        <v>4796</v>
      </c>
      <c r="E15" s="261">
        <v>30</v>
      </c>
      <c r="F15" s="29">
        <v>46</v>
      </c>
      <c r="G15" s="39">
        <f t="shared" si="1"/>
        <v>1380</v>
      </c>
      <c r="H15" s="752">
        <v>42984</v>
      </c>
      <c r="I15" s="828" t="s">
        <v>1172</v>
      </c>
      <c r="L15" s="195"/>
      <c r="M15" s="195"/>
      <c r="N15" s="195"/>
    </row>
    <row r="16" spans="1:14" x14ac:dyDescent="0.25">
      <c r="A16" s="275" t="s">
        <v>1554</v>
      </c>
      <c r="B16" s="8" t="s">
        <v>1554</v>
      </c>
      <c r="C16" s="679">
        <v>42982</v>
      </c>
      <c r="D16" s="270">
        <f t="shared" si="0"/>
        <v>4797</v>
      </c>
      <c r="E16" s="261">
        <v>8.6</v>
      </c>
      <c r="F16" s="29">
        <v>51.74</v>
      </c>
      <c r="G16" s="39">
        <f>F16*E16+4*33.5+8*8</f>
        <v>642.96399999999994</v>
      </c>
      <c r="H16" s="752">
        <v>42982</v>
      </c>
      <c r="I16" s="828" t="s">
        <v>1172</v>
      </c>
      <c r="L16" s="195"/>
      <c r="M16" s="195"/>
      <c r="N16" s="195"/>
    </row>
    <row r="17" spans="1:14" x14ac:dyDescent="0.25">
      <c r="A17" s="273" t="s">
        <v>1448</v>
      </c>
      <c r="B17" s="268" t="s">
        <v>1555</v>
      </c>
      <c r="C17" s="679">
        <v>42982</v>
      </c>
      <c r="D17" s="270">
        <f t="shared" si="0"/>
        <v>4798</v>
      </c>
      <c r="E17" s="261">
        <v>6.3</v>
      </c>
      <c r="F17" s="29">
        <v>49</v>
      </c>
      <c r="G17" s="39">
        <f t="shared" si="1"/>
        <v>308.7</v>
      </c>
      <c r="H17" s="752">
        <v>42984</v>
      </c>
      <c r="I17" s="828" t="s">
        <v>1172</v>
      </c>
      <c r="L17" s="195"/>
      <c r="M17" s="195"/>
      <c r="N17" s="195"/>
    </row>
    <row r="18" spans="1:14" x14ac:dyDescent="0.25">
      <c r="A18" s="277" t="s">
        <v>1214</v>
      </c>
      <c r="B18" s="268" t="s">
        <v>1214</v>
      </c>
      <c r="C18" s="679">
        <v>42982</v>
      </c>
      <c r="D18" s="270">
        <f t="shared" si="0"/>
        <v>4799</v>
      </c>
      <c r="E18" s="261">
        <v>67.2</v>
      </c>
      <c r="F18" s="29">
        <v>50</v>
      </c>
      <c r="G18" s="39">
        <f t="shared" si="1"/>
        <v>3360</v>
      </c>
      <c r="H18" s="752">
        <v>42982</v>
      </c>
      <c r="I18" s="828" t="s">
        <v>1172</v>
      </c>
      <c r="L18" s="195"/>
      <c r="M18" s="195"/>
      <c r="N18" s="195"/>
    </row>
    <row r="19" spans="1:14" x14ac:dyDescent="0.25">
      <c r="A19" s="273" t="s">
        <v>1553</v>
      </c>
      <c r="B19" s="268" t="s">
        <v>1473</v>
      </c>
      <c r="C19" s="679">
        <v>42982</v>
      </c>
      <c r="D19" s="270">
        <f t="shared" si="0"/>
        <v>4800</v>
      </c>
      <c r="E19" s="261">
        <v>668.5</v>
      </c>
      <c r="F19" s="29">
        <v>19.5</v>
      </c>
      <c r="G19" s="39">
        <f t="shared" si="1"/>
        <v>13035.75</v>
      </c>
      <c r="H19" s="752">
        <v>42982</v>
      </c>
      <c r="I19" s="828" t="s">
        <v>1172</v>
      </c>
      <c r="L19" s="195"/>
      <c r="M19" s="195"/>
      <c r="N19" s="195"/>
    </row>
    <row r="20" spans="1:14" x14ac:dyDescent="0.25">
      <c r="A20" s="273" t="s">
        <v>1387</v>
      </c>
      <c r="B20" s="279" t="s">
        <v>206</v>
      </c>
      <c r="C20" s="679">
        <v>42982</v>
      </c>
      <c r="D20" s="270">
        <f t="shared" si="0"/>
        <v>4801</v>
      </c>
      <c r="E20" s="261">
        <v>1990</v>
      </c>
      <c r="F20" s="29">
        <v>65</v>
      </c>
      <c r="G20" s="39">
        <f t="shared" si="1"/>
        <v>129350</v>
      </c>
      <c r="H20" s="752">
        <v>42982</v>
      </c>
      <c r="I20" s="828" t="s">
        <v>1172</v>
      </c>
      <c r="L20" s="195"/>
      <c r="M20" s="195"/>
      <c r="N20" s="195"/>
    </row>
    <row r="21" spans="1:14" x14ac:dyDescent="0.25">
      <c r="A21" s="273" t="s">
        <v>1171</v>
      </c>
      <c r="B21" s="279" t="s">
        <v>206</v>
      </c>
      <c r="C21" s="679">
        <v>42982</v>
      </c>
      <c r="D21" s="270">
        <f t="shared" si="0"/>
        <v>4802</v>
      </c>
      <c r="E21" s="261">
        <v>1676.7</v>
      </c>
      <c r="F21" s="29">
        <v>68</v>
      </c>
      <c r="G21" s="39">
        <f t="shared" si="1"/>
        <v>114015.6</v>
      </c>
      <c r="H21" s="752">
        <v>42991</v>
      </c>
      <c r="I21" s="828" t="s">
        <v>1172</v>
      </c>
      <c r="L21" s="195"/>
      <c r="M21" s="195"/>
      <c r="N21" s="195"/>
    </row>
    <row r="22" spans="1:14" x14ac:dyDescent="0.25">
      <c r="A22" s="273" t="s">
        <v>1173</v>
      </c>
      <c r="B22" s="280" t="s">
        <v>1545</v>
      </c>
      <c r="C22" s="679">
        <v>42982</v>
      </c>
      <c r="D22" s="270">
        <f t="shared" si="0"/>
        <v>4803</v>
      </c>
      <c r="E22" s="261">
        <v>163.30000000000001</v>
      </c>
      <c r="F22" s="29">
        <v>48</v>
      </c>
      <c r="G22" s="39">
        <f>F22*E22+74.9*61+97.8*28</f>
        <v>15145.7</v>
      </c>
      <c r="H22" s="752">
        <v>42984</v>
      </c>
      <c r="I22" s="828" t="s">
        <v>1172</v>
      </c>
      <c r="L22" s="195"/>
      <c r="M22" s="195"/>
      <c r="N22" s="195"/>
    </row>
    <row r="23" spans="1:14" x14ac:dyDescent="0.25">
      <c r="A23" s="273" t="s">
        <v>1477</v>
      </c>
      <c r="B23" s="280" t="s">
        <v>206</v>
      </c>
      <c r="C23" s="679">
        <v>42983</v>
      </c>
      <c r="D23" s="270">
        <f t="shared" si="0"/>
        <v>4804</v>
      </c>
      <c r="E23" s="261">
        <v>1805.3</v>
      </c>
      <c r="F23" s="209">
        <v>66</v>
      </c>
      <c r="G23" s="39">
        <f t="shared" si="1"/>
        <v>119149.8</v>
      </c>
      <c r="H23" s="752">
        <v>42987</v>
      </c>
      <c r="I23" s="828" t="s">
        <v>1172</v>
      </c>
      <c r="J23" s="198"/>
      <c r="K23" s="281"/>
      <c r="L23" s="195"/>
      <c r="M23" s="195"/>
      <c r="N23" s="195"/>
    </row>
    <row r="24" spans="1:14" x14ac:dyDescent="0.25">
      <c r="A24" s="282" t="s">
        <v>1171</v>
      </c>
      <c r="B24" s="283" t="s">
        <v>206</v>
      </c>
      <c r="C24" s="680">
        <v>42983</v>
      </c>
      <c r="D24" s="270">
        <f t="shared" si="0"/>
        <v>4805</v>
      </c>
      <c r="E24" s="261">
        <v>821.5</v>
      </c>
      <c r="F24" s="209">
        <v>68</v>
      </c>
      <c r="G24" s="39">
        <f t="shared" si="1"/>
        <v>55862</v>
      </c>
      <c r="H24" s="752">
        <v>42986</v>
      </c>
      <c r="I24" s="828" t="s">
        <v>1172</v>
      </c>
      <c r="J24" s="198"/>
      <c r="K24" s="281"/>
      <c r="L24" s="195"/>
      <c r="M24" s="195"/>
      <c r="N24" s="195"/>
    </row>
    <row r="25" spans="1:14" x14ac:dyDescent="0.25">
      <c r="A25" s="282" t="s">
        <v>1246</v>
      </c>
      <c r="B25" s="283" t="s">
        <v>88</v>
      </c>
      <c r="C25" s="680">
        <v>42982</v>
      </c>
      <c r="D25" s="270">
        <f t="shared" si="0"/>
        <v>4806</v>
      </c>
      <c r="E25" s="261">
        <v>10.8</v>
      </c>
      <c r="F25" s="209">
        <v>100</v>
      </c>
      <c r="G25" s="39">
        <f t="shared" si="1"/>
        <v>1080</v>
      </c>
      <c r="H25" s="752">
        <v>42984</v>
      </c>
      <c r="I25" s="828" t="s">
        <v>1172</v>
      </c>
      <c r="J25" s="198"/>
      <c r="K25" s="281"/>
      <c r="L25" s="195"/>
      <c r="M25" s="195"/>
      <c r="N25" s="195"/>
    </row>
    <row r="26" spans="1:14" x14ac:dyDescent="0.25">
      <c r="A26" s="282" t="s">
        <v>923</v>
      </c>
      <c r="B26" s="283"/>
      <c r="C26" s="680"/>
      <c r="D26" s="270">
        <f t="shared" si="0"/>
        <v>4807</v>
      </c>
      <c r="F26" s="209"/>
      <c r="G26" s="39">
        <f t="shared" si="1"/>
        <v>0</v>
      </c>
      <c r="H26" s="835"/>
      <c r="I26" s="844"/>
      <c r="J26" s="198"/>
      <c r="K26" s="281"/>
      <c r="L26" s="195"/>
      <c r="M26" s="195"/>
      <c r="N26" s="195"/>
    </row>
    <row r="27" spans="1:14" x14ac:dyDescent="0.25">
      <c r="A27" s="282" t="s">
        <v>1282</v>
      </c>
      <c r="B27" s="279" t="s">
        <v>1436</v>
      </c>
      <c r="C27" s="680">
        <v>42984</v>
      </c>
      <c r="D27" s="270">
        <f t="shared" si="0"/>
        <v>4808</v>
      </c>
      <c r="E27" s="261">
        <v>15.3</v>
      </c>
      <c r="F27" s="209">
        <v>52</v>
      </c>
      <c r="G27" s="39">
        <f t="shared" si="1"/>
        <v>795.6</v>
      </c>
      <c r="H27" s="752">
        <v>42987</v>
      </c>
      <c r="I27" s="828" t="s">
        <v>1172</v>
      </c>
      <c r="J27" s="198"/>
      <c r="K27" s="281"/>
      <c r="L27" s="195"/>
      <c r="M27" s="195"/>
      <c r="N27" s="195"/>
    </row>
    <row r="28" spans="1:14" x14ac:dyDescent="0.25">
      <c r="A28" s="282" t="s">
        <v>1171</v>
      </c>
      <c r="B28" s="279" t="s">
        <v>206</v>
      </c>
      <c r="C28" s="680">
        <v>42984</v>
      </c>
      <c r="D28" s="270">
        <f t="shared" si="0"/>
        <v>4809</v>
      </c>
      <c r="E28" s="261">
        <v>1177</v>
      </c>
      <c r="F28" s="209">
        <v>68</v>
      </c>
      <c r="G28" s="39">
        <f t="shared" si="1"/>
        <v>80036</v>
      </c>
      <c r="H28" s="752">
        <v>42987</v>
      </c>
      <c r="I28" s="828" t="s">
        <v>1172</v>
      </c>
      <c r="J28" s="198"/>
      <c r="K28" s="281"/>
      <c r="L28" s="195"/>
      <c r="M28" s="195"/>
      <c r="N28" s="195"/>
    </row>
    <row r="29" spans="1:14" x14ac:dyDescent="0.25">
      <c r="A29" s="282" t="s">
        <v>1173</v>
      </c>
      <c r="B29" s="279" t="s">
        <v>1533</v>
      </c>
      <c r="C29" s="680">
        <v>42985</v>
      </c>
      <c r="D29" s="270">
        <f t="shared" si="0"/>
        <v>4810</v>
      </c>
      <c r="E29" s="261">
        <v>148.9</v>
      </c>
      <c r="F29" s="209">
        <v>30</v>
      </c>
      <c r="G29" s="39">
        <f>F29*E29+98.1*48+144.4*49</f>
        <v>16251.4</v>
      </c>
      <c r="H29" s="752">
        <v>42991</v>
      </c>
      <c r="I29" s="828" t="s">
        <v>1172</v>
      </c>
      <c r="J29" s="198"/>
      <c r="K29" s="281"/>
      <c r="L29" s="195"/>
      <c r="M29" s="195"/>
      <c r="N29" s="195"/>
    </row>
    <row r="30" spans="1:14" x14ac:dyDescent="0.25">
      <c r="A30" s="838" t="s">
        <v>1556</v>
      </c>
      <c r="B30" s="61" t="s">
        <v>1214</v>
      </c>
      <c r="C30" s="680">
        <v>42985</v>
      </c>
      <c r="D30" s="270">
        <f t="shared" si="0"/>
        <v>4811</v>
      </c>
      <c r="E30" s="261">
        <v>411.9</v>
      </c>
      <c r="F30" s="209">
        <v>40</v>
      </c>
      <c r="G30" s="39">
        <f t="shared" si="1"/>
        <v>16476</v>
      </c>
      <c r="H30" s="752">
        <v>42985</v>
      </c>
      <c r="I30" s="828" t="s">
        <v>1172</v>
      </c>
      <c r="J30" s="198"/>
      <c r="K30" s="281"/>
      <c r="L30" s="195"/>
      <c r="M30" s="195"/>
      <c r="N30" s="195"/>
    </row>
    <row r="31" spans="1:14" x14ac:dyDescent="0.25">
      <c r="A31" s="839" t="s">
        <v>1182</v>
      </c>
      <c r="B31" s="61" t="s">
        <v>1182</v>
      </c>
      <c r="C31" s="679">
        <v>42985</v>
      </c>
      <c r="D31" s="270">
        <f t="shared" si="0"/>
        <v>4812</v>
      </c>
      <c r="E31" s="261">
        <v>39480</v>
      </c>
      <c r="F31" s="209">
        <v>1</v>
      </c>
      <c r="G31" s="39">
        <f t="shared" si="1"/>
        <v>39480</v>
      </c>
      <c r="H31" s="752">
        <v>42987</v>
      </c>
      <c r="I31" s="828" t="s">
        <v>1172</v>
      </c>
      <c r="L31" s="195"/>
      <c r="M31" s="195"/>
      <c r="N31" s="195"/>
    </row>
    <row r="32" spans="1:14" x14ac:dyDescent="0.25">
      <c r="A32" s="275" t="s">
        <v>1220</v>
      </c>
      <c r="B32" s="279" t="s">
        <v>1574</v>
      </c>
      <c r="C32" s="679">
        <v>42984</v>
      </c>
      <c r="D32" s="270">
        <f t="shared" si="0"/>
        <v>4813</v>
      </c>
      <c r="E32" s="261">
        <v>294.39999999999998</v>
      </c>
      <c r="F32" s="209">
        <v>56</v>
      </c>
      <c r="G32" s="39">
        <f>F32*E32+68.4*38</f>
        <v>19085.599999999999</v>
      </c>
      <c r="H32" s="753">
        <v>43000</v>
      </c>
      <c r="I32" s="842" t="s">
        <v>1172</v>
      </c>
      <c r="J32" s="286"/>
      <c r="L32" s="195"/>
      <c r="M32" s="195"/>
      <c r="N32" s="195"/>
    </row>
    <row r="33" spans="1:14" x14ac:dyDescent="0.25">
      <c r="A33" s="275" t="s">
        <v>1546</v>
      </c>
      <c r="B33" s="279" t="s">
        <v>1473</v>
      </c>
      <c r="C33" s="679">
        <v>42986</v>
      </c>
      <c r="D33" s="270">
        <f t="shared" si="0"/>
        <v>4814</v>
      </c>
      <c r="E33" s="261">
        <v>1047.4000000000001</v>
      </c>
      <c r="F33" s="209">
        <v>20.8</v>
      </c>
      <c r="G33" s="39">
        <f t="shared" si="1"/>
        <v>21785.920000000002</v>
      </c>
      <c r="H33" s="752">
        <v>42986</v>
      </c>
      <c r="I33" s="828" t="s">
        <v>1172</v>
      </c>
      <c r="J33" s="286"/>
      <c r="L33" s="195"/>
      <c r="M33" s="195"/>
      <c r="N33" s="195"/>
    </row>
    <row r="34" spans="1:14" s="8" customFormat="1" x14ac:dyDescent="0.25">
      <c r="A34" s="275" t="s">
        <v>1554</v>
      </c>
      <c r="B34" s="279" t="s">
        <v>1554</v>
      </c>
      <c r="C34" s="679">
        <v>42986</v>
      </c>
      <c r="D34" s="270">
        <f t="shared" si="0"/>
        <v>4815</v>
      </c>
      <c r="E34" s="261">
        <v>4.6239999999999997</v>
      </c>
      <c r="F34" s="209">
        <v>56</v>
      </c>
      <c r="G34" s="39">
        <f>F34*E34+3.41*46</f>
        <v>415.80399999999997</v>
      </c>
      <c r="H34" s="752">
        <v>42986</v>
      </c>
      <c r="I34" s="829" t="s">
        <v>1172</v>
      </c>
      <c r="J34" s="195"/>
    </row>
    <row r="35" spans="1:14" s="8" customFormat="1" x14ac:dyDescent="0.25">
      <c r="A35" s="275" t="s">
        <v>1208</v>
      </c>
      <c r="B35" s="279" t="s">
        <v>206</v>
      </c>
      <c r="C35" s="679">
        <v>42986</v>
      </c>
      <c r="D35" s="270">
        <f t="shared" si="0"/>
        <v>4816</v>
      </c>
      <c r="E35" s="261">
        <v>589</v>
      </c>
      <c r="F35" s="29">
        <v>67</v>
      </c>
      <c r="G35" s="39">
        <f t="shared" si="1"/>
        <v>39463</v>
      </c>
      <c r="H35" s="752">
        <v>42987</v>
      </c>
      <c r="I35" s="829" t="s">
        <v>1172</v>
      </c>
      <c r="J35" s="195"/>
    </row>
    <row r="36" spans="1:14" s="8" customFormat="1" x14ac:dyDescent="0.25">
      <c r="A36" s="275" t="s">
        <v>1558</v>
      </c>
      <c r="B36" s="279" t="s">
        <v>1284</v>
      </c>
      <c r="C36" s="679">
        <v>42985</v>
      </c>
      <c r="D36" s="270">
        <f t="shared" si="0"/>
        <v>4817</v>
      </c>
      <c r="E36" s="261">
        <v>96.4</v>
      </c>
      <c r="F36" s="29">
        <v>26</v>
      </c>
      <c r="G36" s="39">
        <f t="shared" si="1"/>
        <v>2506.4</v>
      </c>
      <c r="H36" s="752">
        <v>42986</v>
      </c>
      <c r="I36" s="829" t="s">
        <v>1172</v>
      </c>
      <c r="J36" s="195"/>
    </row>
    <row r="37" spans="1:14" s="8" customFormat="1" x14ac:dyDescent="0.25">
      <c r="A37" s="275" t="s">
        <v>1517</v>
      </c>
      <c r="B37" s="279" t="s">
        <v>248</v>
      </c>
      <c r="C37" s="679">
        <v>42986</v>
      </c>
      <c r="D37" s="270">
        <f t="shared" si="0"/>
        <v>4818</v>
      </c>
      <c r="E37" s="261">
        <v>300</v>
      </c>
      <c r="F37" s="29">
        <v>38</v>
      </c>
      <c r="G37" s="39">
        <f t="shared" si="1"/>
        <v>11400</v>
      </c>
      <c r="H37" s="752">
        <v>42986</v>
      </c>
      <c r="I37" s="829" t="s">
        <v>1172</v>
      </c>
      <c r="J37" s="195"/>
    </row>
    <row r="38" spans="1:14" s="8" customFormat="1" x14ac:dyDescent="0.25">
      <c r="A38" s="275" t="s">
        <v>1182</v>
      </c>
      <c r="B38" s="177" t="s">
        <v>1199</v>
      </c>
      <c r="C38" s="679">
        <v>42986</v>
      </c>
      <c r="D38" s="270">
        <f t="shared" si="0"/>
        <v>4819</v>
      </c>
      <c r="E38" s="261">
        <v>56955.7</v>
      </c>
      <c r="F38" s="29">
        <v>1</v>
      </c>
      <c r="G38" s="39">
        <f t="shared" si="1"/>
        <v>56955.7</v>
      </c>
      <c r="H38" s="752">
        <v>42989</v>
      </c>
      <c r="I38" s="828" t="s">
        <v>1172</v>
      </c>
      <c r="J38" s="195"/>
    </row>
    <row r="39" spans="1:14" x14ac:dyDescent="0.25">
      <c r="A39" s="275" t="s">
        <v>1220</v>
      </c>
      <c r="B39" s="177" t="s">
        <v>421</v>
      </c>
      <c r="C39" s="679">
        <v>42986</v>
      </c>
      <c r="D39" s="270">
        <f t="shared" si="0"/>
        <v>4820</v>
      </c>
      <c r="E39" s="261">
        <v>2848.6</v>
      </c>
      <c r="F39" s="29">
        <v>35.924300000000002</v>
      </c>
      <c r="G39" s="39">
        <f t="shared" ref="G39:G69" si="2">F39*E39</f>
        <v>102333.96098</v>
      </c>
      <c r="H39" s="752">
        <v>42990</v>
      </c>
      <c r="I39" s="828" t="s">
        <v>1172</v>
      </c>
      <c r="L39" s="195"/>
      <c r="M39" s="195"/>
      <c r="N39" s="195"/>
    </row>
    <row r="40" spans="1:14" x14ac:dyDescent="0.25">
      <c r="A40" s="275" t="s">
        <v>1197</v>
      </c>
      <c r="B40" s="177" t="s">
        <v>1198</v>
      </c>
      <c r="C40" s="679">
        <v>42986</v>
      </c>
      <c r="D40" s="270">
        <f t="shared" si="0"/>
        <v>4821</v>
      </c>
      <c r="E40" s="261">
        <v>108.74</v>
      </c>
      <c r="F40" s="29">
        <v>54</v>
      </c>
      <c r="G40" s="39">
        <f t="shared" si="2"/>
        <v>5871.96</v>
      </c>
      <c r="H40" s="752">
        <v>42992</v>
      </c>
      <c r="I40" s="828" t="s">
        <v>1172</v>
      </c>
      <c r="L40" s="195"/>
      <c r="M40" s="195"/>
      <c r="N40" s="195"/>
    </row>
    <row r="41" spans="1:14" x14ac:dyDescent="0.25">
      <c r="A41" s="290" t="s">
        <v>1173</v>
      </c>
      <c r="B41" s="188" t="s">
        <v>1533</v>
      </c>
      <c r="C41" s="678">
        <v>42986</v>
      </c>
      <c r="D41" s="270">
        <f t="shared" si="0"/>
        <v>4822</v>
      </c>
      <c r="E41" s="261">
        <v>40.799999999999997</v>
      </c>
      <c r="F41" s="29">
        <v>30</v>
      </c>
      <c r="G41" s="39">
        <f t="shared" si="2"/>
        <v>1224</v>
      </c>
      <c r="H41" s="752">
        <v>42991</v>
      </c>
      <c r="I41" s="828" t="s">
        <v>1172</v>
      </c>
      <c r="L41" s="195"/>
      <c r="M41" s="195"/>
      <c r="N41" s="195"/>
    </row>
    <row r="42" spans="1:14" x14ac:dyDescent="0.25">
      <c r="A42" s="290" t="s">
        <v>1206</v>
      </c>
      <c r="B42" s="188" t="s">
        <v>1207</v>
      </c>
      <c r="C42" s="678">
        <v>42987</v>
      </c>
      <c r="D42" s="270">
        <f t="shared" si="0"/>
        <v>4823</v>
      </c>
      <c r="E42" s="261">
        <v>204.4</v>
      </c>
      <c r="F42" s="29">
        <v>69</v>
      </c>
      <c r="G42" s="39">
        <f t="shared" si="2"/>
        <v>14103.6</v>
      </c>
      <c r="H42" s="752">
        <v>42990</v>
      </c>
      <c r="I42" s="828" t="s">
        <v>1172</v>
      </c>
      <c r="L42" s="195"/>
      <c r="M42" s="195"/>
      <c r="N42" s="195"/>
    </row>
    <row r="43" spans="1:14" x14ac:dyDescent="0.25">
      <c r="A43" s="291" t="s">
        <v>1173</v>
      </c>
      <c r="B43" s="188" t="s">
        <v>1468</v>
      </c>
      <c r="C43" s="678">
        <v>42986</v>
      </c>
      <c r="D43" s="270">
        <f t="shared" si="0"/>
        <v>4824</v>
      </c>
      <c r="E43" s="261">
        <v>60</v>
      </c>
      <c r="F43" s="29">
        <v>60</v>
      </c>
      <c r="G43" s="39">
        <f>F43*E43+60*49</f>
        <v>6540</v>
      </c>
      <c r="H43" s="752">
        <v>42991</v>
      </c>
      <c r="I43" s="828" t="s">
        <v>1172</v>
      </c>
      <c r="L43" s="195"/>
      <c r="M43" s="195"/>
      <c r="N43" s="195"/>
    </row>
    <row r="44" spans="1:14" x14ac:dyDescent="0.25">
      <c r="A44" s="290" t="s">
        <v>1171</v>
      </c>
      <c r="B44" s="188" t="s">
        <v>206</v>
      </c>
      <c r="C44" s="678">
        <v>42986</v>
      </c>
      <c r="D44" s="270">
        <f t="shared" si="0"/>
        <v>4825</v>
      </c>
      <c r="E44" s="261">
        <v>891.1</v>
      </c>
      <c r="F44" s="29">
        <v>68</v>
      </c>
      <c r="G44" s="39">
        <f t="shared" si="2"/>
        <v>60594.8</v>
      </c>
      <c r="H44" s="752">
        <v>42987</v>
      </c>
      <c r="I44" s="828" t="s">
        <v>1172</v>
      </c>
      <c r="L44" s="195"/>
      <c r="M44" s="195"/>
      <c r="N44" s="195"/>
    </row>
    <row r="45" spans="1:14" x14ac:dyDescent="0.25">
      <c r="A45" s="290" t="s">
        <v>1173</v>
      </c>
      <c r="B45" s="188" t="s">
        <v>1457</v>
      </c>
      <c r="C45" s="678">
        <v>42986</v>
      </c>
      <c r="D45" s="270">
        <f t="shared" si="0"/>
        <v>4826</v>
      </c>
      <c r="E45" s="261">
        <v>64.900000000000006</v>
      </c>
      <c r="F45" s="29">
        <v>30</v>
      </c>
      <c r="G45" s="39">
        <f t="shared" si="2"/>
        <v>1947.0000000000002</v>
      </c>
      <c r="H45" s="752">
        <v>42991</v>
      </c>
      <c r="I45" s="828" t="s">
        <v>1172</v>
      </c>
      <c r="L45" s="195"/>
      <c r="M45" s="195"/>
      <c r="N45" s="195"/>
    </row>
    <row r="46" spans="1:14" x14ac:dyDescent="0.25">
      <c r="A46" s="290" t="s">
        <v>1387</v>
      </c>
      <c r="B46" s="188" t="s">
        <v>206</v>
      </c>
      <c r="C46" s="678">
        <v>42987</v>
      </c>
      <c r="D46" s="270">
        <f t="shared" si="0"/>
        <v>4827</v>
      </c>
      <c r="E46" s="261">
        <v>1680</v>
      </c>
      <c r="F46" s="29">
        <v>65</v>
      </c>
      <c r="G46" s="39">
        <f t="shared" si="2"/>
        <v>109200</v>
      </c>
      <c r="H46" s="752">
        <v>42987</v>
      </c>
      <c r="I46" s="828" t="s">
        <v>1172</v>
      </c>
      <c r="L46" s="195"/>
      <c r="M46" s="195"/>
      <c r="N46" s="195"/>
    </row>
    <row r="47" spans="1:14" x14ac:dyDescent="0.25">
      <c r="A47" s="808" t="s">
        <v>1197</v>
      </c>
      <c r="B47" s="689" t="s">
        <v>1198</v>
      </c>
      <c r="C47" s="678">
        <v>42987</v>
      </c>
      <c r="D47" s="270">
        <f t="shared" si="0"/>
        <v>4828</v>
      </c>
      <c r="E47" s="261">
        <v>116.4</v>
      </c>
      <c r="F47" s="29">
        <v>54</v>
      </c>
      <c r="G47" s="39">
        <f t="shared" si="2"/>
        <v>6285.6</v>
      </c>
      <c r="H47" s="752">
        <v>42999</v>
      </c>
      <c r="I47" s="828" t="s">
        <v>1172</v>
      </c>
      <c r="L47" s="195"/>
      <c r="M47" s="195"/>
      <c r="N47" s="195"/>
    </row>
    <row r="48" spans="1:14" x14ac:dyDescent="0.25">
      <c r="A48" s="808" t="s">
        <v>1477</v>
      </c>
      <c r="B48" s="689" t="s">
        <v>206</v>
      </c>
      <c r="C48" s="678">
        <v>42988</v>
      </c>
      <c r="D48" s="270">
        <f t="shared" si="0"/>
        <v>4829</v>
      </c>
      <c r="E48" s="261">
        <v>1911.9</v>
      </c>
      <c r="F48" s="29">
        <v>66</v>
      </c>
      <c r="G48" s="39">
        <f t="shared" si="2"/>
        <v>126185.40000000001</v>
      </c>
      <c r="H48" s="752">
        <v>42994</v>
      </c>
      <c r="I48" s="828" t="s">
        <v>1172</v>
      </c>
      <c r="L48" s="195"/>
      <c r="M48" s="195"/>
      <c r="N48" s="195"/>
    </row>
    <row r="49" spans="1:14" x14ac:dyDescent="0.25">
      <c r="A49" s="290" t="s">
        <v>1554</v>
      </c>
      <c r="B49" s="188" t="s">
        <v>1554</v>
      </c>
      <c r="C49" s="678">
        <v>42988</v>
      </c>
      <c r="D49" s="270">
        <f t="shared" si="0"/>
        <v>4830</v>
      </c>
      <c r="E49" s="261">
        <v>6</v>
      </c>
      <c r="F49" s="29">
        <v>7.5</v>
      </c>
      <c r="G49" s="39">
        <f t="shared" si="2"/>
        <v>45</v>
      </c>
      <c r="H49" s="752">
        <v>42988</v>
      </c>
      <c r="I49" s="828" t="s">
        <v>1172</v>
      </c>
      <c r="L49" s="195"/>
      <c r="M49" s="195"/>
      <c r="N49" s="195"/>
    </row>
    <row r="50" spans="1:14" x14ac:dyDescent="0.25">
      <c r="A50" s="290" t="s">
        <v>1173</v>
      </c>
      <c r="B50" s="188" t="s">
        <v>1533</v>
      </c>
      <c r="C50" s="678">
        <v>42988</v>
      </c>
      <c r="D50" s="270">
        <f t="shared" si="0"/>
        <v>4831</v>
      </c>
      <c r="E50" s="261">
        <v>244.2</v>
      </c>
      <c r="F50" s="29">
        <v>49</v>
      </c>
      <c r="G50" s="39">
        <f>F50*E50+185.6*30+60.9*48</f>
        <v>20457</v>
      </c>
      <c r="H50" s="752">
        <v>42991</v>
      </c>
      <c r="I50" s="828" t="s">
        <v>1172</v>
      </c>
      <c r="L50" s="195"/>
      <c r="M50" s="195"/>
      <c r="N50" s="195"/>
    </row>
    <row r="51" spans="1:14" x14ac:dyDescent="0.25">
      <c r="A51" s="290" t="s">
        <v>1448</v>
      </c>
      <c r="B51" s="188" t="s">
        <v>1561</v>
      </c>
      <c r="C51" s="678">
        <v>42989</v>
      </c>
      <c r="D51" s="270">
        <f t="shared" si="0"/>
        <v>4832</v>
      </c>
      <c r="E51" s="261">
        <v>12.7</v>
      </c>
      <c r="F51" s="29">
        <v>60</v>
      </c>
      <c r="G51" s="39">
        <f t="shared" si="2"/>
        <v>762</v>
      </c>
      <c r="H51" s="752">
        <v>42991</v>
      </c>
      <c r="I51" s="828" t="s">
        <v>1172</v>
      </c>
      <c r="L51" s="195"/>
      <c r="M51" s="195"/>
      <c r="N51" s="195"/>
    </row>
    <row r="52" spans="1:14" x14ac:dyDescent="0.25">
      <c r="A52" s="290" t="s">
        <v>1171</v>
      </c>
      <c r="B52" s="188" t="s">
        <v>206</v>
      </c>
      <c r="C52" s="678">
        <v>42989</v>
      </c>
      <c r="D52" s="270">
        <f t="shared" si="0"/>
        <v>4833</v>
      </c>
      <c r="E52" s="261">
        <v>1106.3</v>
      </c>
      <c r="F52" s="29">
        <v>68</v>
      </c>
      <c r="G52" s="39">
        <f t="shared" si="2"/>
        <v>75228.399999999994</v>
      </c>
      <c r="H52" s="752">
        <v>42992</v>
      </c>
      <c r="I52" s="828" t="s">
        <v>1172</v>
      </c>
      <c r="L52" s="195"/>
      <c r="M52" s="195"/>
      <c r="N52" s="195"/>
    </row>
    <row r="53" spans="1:14" x14ac:dyDescent="0.25">
      <c r="A53" s="290" t="s">
        <v>1501</v>
      </c>
      <c r="B53" s="188" t="s">
        <v>1559</v>
      </c>
      <c r="C53" s="678">
        <v>42988</v>
      </c>
      <c r="D53" s="270">
        <f t="shared" si="0"/>
        <v>4834</v>
      </c>
      <c r="E53" s="261">
        <v>8.3000000000000007</v>
      </c>
      <c r="F53" s="29">
        <v>80</v>
      </c>
      <c r="G53" s="39">
        <f t="shared" si="2"/>
        <v>664</v>
      </c>
      <c r="H53" s="752">
        <v>42989</v>
      </c>
      <c r="I53" s="828" t="s">
        <v>1172</v>
      </c>
      <c r="J53" s="8"/>
      <c r="L53" s="195"/>
      <c r="M53" s="195"/>
      <c r="N53" s="195"/>
    </row>
    <row r="54" spans="1:14" x14ac:dyDescent="0.25">
      <c r="A54" s="290" t="s">
        <v>1560</v>
      </c>
      <c r="B54" s="188" t="s">
        <v>1479</v>
      </c>
      <c r="C54" s="678">
        <v>42990</v>
      </c>
      <c r="D54" s="270">
        <f t="shared" si="0"/>
        <v>4835</v>
      </c>
      <c r="E54" s="261">
        <v>15.1</v>
      </c>
      <c r="F54" s="29">
        <v>45</v>
      </c>
      <c r="G54" s="39">
        <f t="shared" si="2"/>
        <v>679.5</v>
      </c>
      <c r="H54" s="752">
        <v>42990</v>
      </c>
      <c r="I54" s="828" t="s">
        <v>1172</v>
      </c>
      <c r="L54" s="195"/>
      <c r="M54" s="195"/>
      <c r="N54" s="195"/>
    </row>
    <row r="55" spans="1:14" x14ac:dyDescent="0.25">
      <c r="A55" s="293" t="s">
        <v>1197</v>
      </c>
      <c r="B55" s="188" t="s">
        <v>1198</v>
      </c>
      <c r="C55" s="678">
        <v>42990</v>
      </c>
      <c r="D55" s="270">
        <f t="shared" si="0"/>
        <v>4836</v>
      </c>
      <c r="E55" s="261">
        <v>91.3</v>
      </c>
      <c r="F55" s="29">
        <v>54</v>
      </c>
      <c r="G55" s="39">
        <f t="shared" si="2"/>
        <v>4930.2</v>
      </c>
      <c r="H55" s="752">
        <v>43002</v>
      </c>
      <c r="I55" s="828" t="s">
        <v>1172</v>
      </c>
      <c r="J55" s="8"/>
      <c r="L55" s="195"/>
      <c r="M55" s="195"/>
      <c r="N55" s="195"/>
    </row>
    <row r="56" spans="1:14" x14ac:dyDescent="0.25">
      <c r="A56" s="293" t="s">
        <v>1197</v>
      </c>
      <c r="B56" s="188" t="s">
        <v>1572</v>
      </c>
      <c r="C56" s="678">
        <v>42990</v>
      </c>
      <c r="D56" s="270">
        <f t="shared" si="0"/>
        <v>4837</v>
      </c>
      <c r="E56" s="261">
        <v>115.6</v>
      </c>
      <c r="F56" s="29">
        <v>54</v>
      </c>
      <c r="G56" s="39">
        <f t="shared" si="2"/>
        <v>6242.4</v>
      </c>
      <c r="H56" s="752">
        <v>43002</v>
      </c>
      <c r="I56" s="828" t="s">
        <v>1172</v>
      </c>
      <c r="J56" s="8"/>
      <c r="L56" s="195"/>
      <c r="M56" s="195"/>
      <c r="N56" s="195"/>
    </row>
    <row r="57" spans="1:14" x14ac:dyDescent="0.25">
      <c r="A57" s="293" t="s">
        <v>1197</v>
      </c>
      <c r="B57" s="188" t="s">
        <v>1473</v>
      </c>
      <c r="C57" s="678">
        <v>42990</v>
      </c>
      <c r="D57" s="270">
        <f t="shared" si="0"/>
        <v>4838</v>
      </c>
      <c r="E57" s="261">
        <v>42.6</v>
      </c>
      <c r="F57" s="29">
        <v>20</v>
      </c>
      <c r="G57" s="39">
        <f t="shared" si="2"/>
        <v>852</v>
      </c>
      <c r="H57" s="752">
        <v>42994</v>
      </c>
      <c r="I57" s="828" t="s">
        <v>1172</v>
      </c>
      <c r="J57" s="8"/>
      <c r="L57" s="195"/>
      <c r="M57" s="195"/>
      <c r="N57" s="195"/>
    </row>
    <row r="58" spans="1:14" x14ac:dyDescent="0.25">
      <c r="A58" s="290" t="s">
        <v>1171</v>
      </c>
      <c r="B58" s="189" t="s">
        <v>206</v>
      </c>
      <c r="C58" s="678">
        <v>42990</v>
      </c>
      <c r="D58" s="270">
        <f t="shared" si="0"/>
        <v>4839</v>
      </c>
      <c r="E58" s="261">
        <v>1345.1</v>
      </c>
      <c r="F58" s="29">
        <v>68</v>
      </c>
      <c r="G58" s="39">
        <f t="shared" si="2"/>
        <v>91466.799999999988</v>
      </c>
      <c r="H58" s="752">
        <v>42992</v>
      </c>
      <c r="I58" s="828" t="s">
        <v>1172</v>
      </c>
      <c r="L58" s="195"/>
      <c r="M58" s="195"/>
      <c r="N58" s="195"/>
    </row>
    <row r="59" spans="1:14" x14ac:dyDescent="0.25">
      <c r="A59" s="290" t="s">
        <v>1173</v>
      </c>
      <c r="B59" s="189" t="s">
        <v>1533</v>
      </c>
      <c r="C59" s="678">
        <v>42990</v>
      </c>
      <c r="D59" s="270">
        <f t="shared" si="0"/>
        <v>4840</v>
      </c>
      <c r="E59" s="261">
        <v>165.6</v>
      </c>
      <c r="F59" s="29">
        <v>30</v>
      </c>
      <c r="G59" s="39">
        <f>F59*E59+101.1*48+94*60</f>
        <v>15460.8</v>
      </c>
      <c r="H59" s="752">
        <v>42991</v>
      </c>
      <c r="I59" s="828" t="s">
        <v>1172</v>
      </c>
      <c r="L59" s="195"/>
      <c r="M59" s="195"/>
      <c r="N59" s="195"/>
    </row>
    <row r="60" spans="1:14" x14ac:dyDescent="0.25">
      <c r="A60" s="290" t="s">
        <v>1173</v>
      </c>
      <c r="B60" s="189" t="s">
        <v>1533</v>
      </c>
      <c r="C60" s="678">
        <v>42991</v>
      </c>
      <c r="D60" s="270">
        <f t="shared" si="0"/>
        <v>4841</v>
      </c>
      <c r="E60" s="261">
        <v>264.39999999999998</v>
      </c>
      <c r="F60" s="29">
        <v>49</v>
      </c>
      <c r="G60" s="39">
        <f t="shared" si="2"/>
        <v>12955.599999999999</v>
      </c>
      <c r="H60" s="752">
        <v>42991</v>
      </c>
      <c r="I60" s="828" t="s">
        <v>1172</v>
      </c>
      <c r="L60" s="195"/>
      <c r="M60" s="195"/>
      <c r="N60" s="195"/>
    </row>
    <row r="61" spans="1:14" ht="30" x14ac:dyDescent="0.25">
      <c r="A61" s="290" t="s">
        <v>1171</v>
      </c>
      <c r="B61" s="188" t="s">
        <v>206</v>
      </c>
      <c r="C61" s="678">
        <v>42991</v>
      </c>
      <c r="D61" s="270">
        <f t="shared" si="0"/>
        <v>4842</v>
      </c>
      <c r="E61" s="261">
        <v>2318.1999999999998</v>
      </c>
      <c r="F61" s="29">
        <v>68</v>
      </c>
      <c r="G61" s="39">
        <f t="shared" si="2"/>
        <v>157637.59999999998</v>
      </c>
      <c r="H61" s="718" t="s">
        <v>1569</v>
      </c>
      <c r="I61" s="828" t="s">
        <v>1172</v>
      </c>
      <c r="J61" s="841"/>
      <c r="L61" s="195"/>
      <c r="M61" s="195"/>
      <c r="N61" s="195"/>
    </row>
    <row r="62" spans="1:14" x14ac:dyDescent="0.25">
      <c r="A62" s="290" t="s">
        <v>1197</v>
      </c>
      <c r="B62" s="188" t="s">
        <v>1576</v>
      </c>
      <c r="C62" s="678">
        <v>42991</v>
      </c>
      <c r="D62" s="270">
        <f t="shared" si="0"/>
        <v>4843</v>
      </c>
      <c r="E62" s="261">
        <v>306.39999999999998</v>
      </c>
      <c r="F62" s="29">
        <v>49</v>
      </c>
      <c r="G62" s="39">
        <f>F62*E62+244.2*20+139.5*30</f>
        <v>24082.6</v>
      </c>
      <c r="H62" s="752">
        <v>43002</v>
      </c>
      <c r="I62" s="828" t="s">
        <v>1172</v>
      </c>
      <c r="J62" s="8"/>
      <c r="L62" s="195"/>
      <c r="M62" s="195"/>
      <c r="N62" s="195"/>
    </row>
    <row r="63" spans="1:14" x14ac:dyDescent="0.25">
      <c r="A63" s="290" t="s">
        <v>1556</v>
      </c>
      <c r="B63" s="188" t="s">
        <v>1214</v>
      </c>
      <c r="C63" s="678">
        <v>42992</v>
      </c>
      <c r="D63" s="270">
        <f t="shared" si="0"/>
        <v>4844</v>
      </c>
      <c r="E63" s="261">
        <v>402.3</v>
      </c>
      <c r="F63" s="29">
        <v>40</v>
      </c>
      <c r="G63" s="39">
        <f t="shared" si="2"/>
        <v>16092</v>
      </c>
      <c r="H63" s="752">
        <v>42992</v>
      </c>
      <c r="I63" s="828" t="s">
        <v>1172</v>
      </c>
      <c r="J63" s="8"/>
      <c r="L63" s="195"/>
      <c r="M63" s="195"/>
      <c r="N63" s="195"/>
    </row>
    <row r="64" spans="1:14" x14ac:dyDescent="0.25">
      <c r="A64" s="290" t="s">
        <v>1171</v>
      </c>
      <c r="B64" s="188" t="s">
        <v>206</v>
      </c>
      <c r="C64" s="678">
        <v>42992</v>
      </c>
      <c r="D64" s="270">
        <f t="shared" si="0"/>
        <v>4845</v>
      </c>
      <c r="E64" s="261">
        <v>2022.2</v>
      </c>
      <c r="F64" s="29">
        <v>68</v>
      </c>
      <c r="G64" s="39">
        <f t="shared" si="2"/>
        <v>137509.6</v>
      </c>
      <c r="H64" s="752">
        <v>42998</v>
      </c>
      <c r="I64" s="828" t="s">
        <v>1172</v>
      </c>
      <c r="J64" s="8"/>
      <c r="L64" s="195"/>
      <c r="M64" s="195"/>
      <c r="N64" s="195"/>
    </row>
    <row r="65" spans="1:14" x14ac:dyDescent="0.25">
      <c r="A65" s="290" t="s">
        <v>1197</v>
      </c>
      <c r="B65" s="188" t="s">
        <v>1198</v>
      </c>
      <c r="C65" s="678">
        <v>42992</v>
      </c>
      <c r="D65" s="270">
        <f t="shared" si="0"/>
        <v>4846</v>
      </c>
      <c r="E65" s="261">
        <v>58.56</v>
      </c>
      <c r="F65" s="29">
        <v>54</v>
      </c>
      <c r="G65" s="39">
        <f t="shared" si="2"/>
        <v>3162.2400000000002</v>
      </c>
      <c r="H65" s="752">
        <v>43002</v>
      </c>
      <c r="I65" s="828" t="s">
        <v>1172</v>
      </c>
      <c r="L65" s="195"/>
      <c r="M65" s="195"/>
      <c r="N65" s="195"/>
    </row>
    <row r="66" spans="1:14" x14ac:dyDescent="0.25">
      <c r="A66" s="290" t="s">
        <v>1546</v>
      </c>
      <c r="B66" s="188" t="s">
        <v>1473</v>
      </c>
      <c r="C66" s="678">
        <v>42992</v>
      </c>
      <c r="D66" s="270">
        <f t="shared" si="0"/>
        <v>4847</v>
      </c>
      <c r="E66" s="261">
        <f>779.7+1013.2</f>
        <v>1792.9</v>
      </c>
      <c r="F66" s="29">
        <v>20.8</v>
      </c>
      <c r="G66" s="39">
        <f t="shared" si="2"/>
        <v>37292.32</v>
      </c>
      <c r="H66" s="752">
        <v>42992</v>
      </c>
      <c r="I66" s="828" t="s">
        <v>1172</v>
      </c>
      <c r="J66" s="8"/>
      <c r="L66" s="195"/>
      <c r="M66" s="195"/>
      <c r="N66" s="195"/>
    </row>
    <row r="67" spans="1:14" ht="17.25" customHeight="1" x14ac:dyDescent="0.25">
      <c r="A67" s="290" t="s">
        <v>1562</v>
      </c>
      <c r="B67" s="295" t="s">
        <v>421</v>
      </c>
      <c r="C67" s="678">
        <v>42992</v>
      </c>
      <c r="D67" s="270">
        <f t="shared" si="0"/>
        <v>4848</v>
      </c>
      <c r="E67" s="296">
        <v>67.56</v>
      </c>
      <c r="F67" s="297">
        <v>38</v>
      </c>
      <c r="G67" s="39">
        <f t="shared" si="2"/>
        <v>2567.2800000000002</v>
      </c>
      <c r="H67" s="783">
        <v>42993</v>
      </c>
      <c r="I67" s="840" t="s">
        <v>1565</v>
      </c>
      <c r="J67" s="300"/>
      <c r="K67" s="208"/>
      <c r="L67" s="301"/>
      <c r="M67" s="301"/>
      <c r="N67" s="301"/>
    </row>
    <row r="68" spans="1:14" x14ac:dyDescent="0.25">
      <c r="A68" s="290" t="s">
        <v>1228</v>
      </c>
      <c r="B68" s="188" t="s">
        <v>1212</v>
      </c>
      <c r="C68" s="678">
        <v>42992</v>
      </c>
      <c r="D68" s="270">
        <f t="shared" si="0"/>
        <v>4849</v>
      </c>
      <c r="E68" s="261">
        <v>11</v>
      </c>
      <c r="F68" s="29">
        <v>54</v>
      </c>
      <c r="G68" s="39">
        <f t="shared" si="2"/>
        <v>594</v>
      </c>
      <c r="H68" s="752">
        <v>42992</v>
      </c>
      <c r="I68" s="828" t="s">
        <v>1172</v>
      </c>
      <c r="K68" s="302"/>
      <c r="L68" s="302"/>
      <c r="M68" s="302"/>
      <c r="N68" s="302"/>
    </row>
    <row r="69" spans="1:14" x14ac:dyDescent="0.25">
      <c r="A69" s="290" t="s">
        <v>1197</v>
      </c>
      <c r="B69" s="188" t="s">
        <v>88</v>
      </c>
      <c r="C69" s="678">
        <v>42992</v>
      </c>
      <c r="D69" s="270">
        <f t="shared" ref="D69:D132" si="3">D68+1</f>
        <v>4850</v>
      </c>
      <c r="E69" s="261">
        <v>742.6</v>
      </c>
      <c r="F69" s="29">
        <v>48</v>
      </c>
      <c r="G69" s="39">
        <f t="shared" si="2"/>
        <v>35644.800000000003</v>
      </c>
      <c r="H69" s="752">
        <v>42994</v>
      </c>
      <c r="I69" s="828" t="s">
        <v>1172</v>
      </c>
      <c r="K69" s="302"/>
      <c r="L69" s="302"/>
      <c r="M69" s="302"/>
      <c r="N69" s="302"/>
    </row>
    <row r="70" spans="1:14" x14ac:dyDescent="0.25">
      <c r="A70" s="290" t="s">
        <v>1173</v>
      </c>
      <c r="B70" s="303" t="s">
        <v>1533</v>
      </c>
      <c r="C70" s="678">
        <v>42993</v>
      </c>
      <c r="D70" s="270">
        <f t="shared" si="3"/>
        <v>4851</v>
      </c>
      <c r="E70" s="261">
        <v>113</v>
      </c>
      <c r="F70" s="29">
        <v>49</v>
      </c>
      <c r="G70" s="39">
        <f>F70*E70+50.2*60</f>
        <v>8549</v>
      </c>
      <c r="H70" s="752">
        <v>42994</v>
      </c>
      <c r="I70" s="828" t="s">
        <v>1172</v>
      </c>
      <c r="L70" s="195"/>
      <c r="M70" s="195"/>
      <c r="N70" s="195"/>
    </row>
    <row r="71" spans="1:14" x14ac:dyDescent="0.25">
      <c r="A71" s="290" t="s">
        <v>1197</v>
      </c>
      <c r="B71" s="303" t="s">
        <v>1198</v>
      </c>
      <c r="C71" s="678">
        <v>42993</v>
      </c>
      <c r="D71" s="270">
        <f t="shared" si="3"/>
        <v>4852</v>
      </c>
      <c r="E71" s="261">
        <v>131.94</v>
      </c>
      <c r="F71" s="29">
        <v>54</v>
      </c>
      <c r="G71" s="39">
        <f t="shared" ref="G71:G89" si="4">F71*E71</f>
        <v>7124.76</v>
      </c>
      <c r="H71" s="752">
        <v>42994</v>
      </c>
      <c r="I71" s="828" t="s">
        <v>1172</v>
      </c>
      <c r="L71" s="195"/>
      <c r="M71" s="195"/>
      <c r="N71" s="195"/>
    </row>
    <row r="72" spans="1:14" x14ac:dyDescent="0.25">
      <c r="A72" s="290" t="s">
        <v>1208</v>
      </c>
      <c r="B72" s="188" t="s">
        <v>206</v>
      </c>
      <c r="C72" s="678">
        <v>42993</v>
      </c>
      <c r="D72" s="270">
        <f t="shared" si="3"/>
        <v>4853</v>
      </c>
      <c r="E72" s="261">
        <v>531</v>
      </c>
      <c r="F72" s="29">
        <v>67</v>
      </c>
      <c r="G72" s="39">
        <f t="shared" si="4"/>
        <v>35577</v>
      </c>
      <c r="H72" s="752">
        <v>42997</v>
      </c>
      <c r="I72" s="828" t="s">
        <v>1172</v>
      </c>
      <c r="L72" s="195"/>
      <c r="M72" s="195"/>
      <c r="N72" s="195"/>
    </row>
    <row r="73" spans="1:14" x14ac:dyDescent="0.25">
      <c r="A73" s="290" t="s">
        <v>1517</v>
      </c>
      <c r="B73" s="188" t="s">
        <v>248</v>
      </c>
      <c r="C73" s="678">
        <v>42993</v>
      </c>
      <c r="D73" s="270">
        <f t="shared" si="3"/>
        <v>4854</v>
      </c>
      <c r="E73" s="261">
        <v>400</v>
      </c>
      <c r="F73" s="29">
        <v>38</v>
      </c>
      <c r="G73" s="39">
        <f t="shared" si="4"/>
        <v>15200</v>
      </c>
      <c r="H73" s="752">
        <v>42993</v>
      </c>
      <c r="I73" s="828" t="s">
        <v>1172</v>
      </c>
      <c r="L73" s="195"/>
      <c r="M73" s="195"/>
      <c r="N73" s="195"/>
    </row>
    <row r="74" spans="1:14" x14ac:dyDescent="0.25">
      <c r="A74" s="291" t="s">
        <v>1182</v>
      </c>
      <c r="B74" s="188" t="s">
        <v>1566</v>
      </c>
      <c r="C74" s="678">
        <v>42993</v>
      </c>
      <c r="D74" s="270">
        <f t="shared" si="3"/>
        <v>4855</v>
      </c>
      <c r="E74" s="261">
        <v>25095</v>
      </c>
      <c r="F74" s="29">
        <v>1</v>
      </c>
      <c r="G74" s="39">
        <f t="shared" si="4"/>
        <v>25095</v>
      </c>
      <c r="H74" s="752">
        <v>42993</v>
      </c>
      <c r="I74" s="828" t="s">
        <v>1172</v>
      </c>
      <c r="J74" s="8"/>
      <c r="L74" s="195"/>
      <c r="M74" s="195"/>
      <c r="N74" s="195"/>
    </row>
    <row r="75" spans="1:14" x14ac:dyDescent="0.25">
      <c r="A75" s="290" t="s">
        <v>1182</v>
      </c>
      <c r="B75" s="188" t="s">
        <v>1407</v>
      </c>
      <c r="C75" s="678">
        <v>42993</v>
      </c>
      <c r="D75" s="270">
        <f t="shared" si="3"/>
        <v>4856</v>
      </c>
      <c r="E75" s="261">
        <v>45430.8</v>
      </c>
      <c r="F75" s="29">
        <v>1</v>
      </c>
      <c r="G75" s="39">
        <f t="shared" si="4"/>
        <v>45430.8</v>
      </c>
      <c r="H75" s="752">
        <v>42993</v>
      </c>
      <c r="I75" s="828" t="s">
        <v>1172</v>
      </c>
      <c r="J75" s="8"/>
      <c r="L75" s="195"/>
      <c r="M75" s="195"/>
      <c r="N75" s="195"/>
    </row>
    <row r="76" spans="1:14" x14ac:dyDescent="0.25">
      <c r="A76" s="290" t="s">
        <v>1564</v>
      </c>
      <c r="B76" s="188" t="s">
        <v>1563</v>
      </c>
      <c r="C76" s="678">
        <v>42992</v>
      </c>
      <c r="D76" s="270">
        <f t="shared" si="3"/>
        <v>4857</v>
      </c>
      <c r="E76" s="261">
        <v>38.6</v>
      </c>
      <c r="F76" s="29">
        <v>37</v>
      </c>
      <c r="G76" s="39">
        <f t="shared" si="4"/>
        <v>1428.2</v>
      </c>
      <c r="H76" s="752">
        <v>42993</v>
      </c>
      <c r="I76" s="828" t="s">
        <v>1172</v>
      </c>
      <c r="J76" s="8"/>
      <c r="L76" s="195"/>
      <c r="M76" s="195"/>
      <c r="N76" s="195"/>
    </row>
    <row r="77" spans="1:14" x14ac:dyDescent="0.25">
      <c r="A77" s="290" t="s">
        <v>1171</v>
      </c>
      <c r="B77" s="188" t="s">
        <v>206</v>
      </c>
      <c r="C77" s="678">
        <v>42993</v>
      </c>
      <c r="D77" s="270">
        <f t="shared" si="3"/>
        <v>4858</v>
      </c>
      <c r="E77" s="261">
        <v>821.8</v>
      </c>
      <c r="F77" s="29">
        <v>68</v>
      </c>
      <c r="G77" s="39">
        <f t="shared" si="4"/>
        <v>55882.399999999994</v>
      </c>
      <c r="H77" s="752">
        <v>42996</v>
      </c>
      <c r="I77" s="828" t="s">
        <v>1172</v>
      </c>
      <c r="J77" s="8"/>
      <c r="L77" s="195"/>
      <c r="M77" s="195"/>
      <c r="N77" s="195"/>
    </row>
    <row r="78" spans="1:14" x14ac:dyDescent="0.25">
      <c r="A78" s="291" t="s">
        <v>1220</v>
      </c>
      <c r="B78" s="188" t="s">
        <v>1193</v>
      </c>
      <c r="C78" s="678">
        <v>42994</v>
      </c>
      <c r="D78" s="270">
        <f t="shared" si="3"/>
        <v>4859</v>
      </c>
      <c r="E78" s="261">
        <v>74.2</v>
      </c>
      <c r="F78" s="29">
        <v>24</v>
      </c>
      <c r="G78" s="39">
        <f t="shared" si="4"/>
        <v>1780.8000000000002</v>
      </c>
      <c r="H78" s="752">
        <v>43000</v>
      </c>
      <c r="I78" s="828" t="s">
        <v>1172</v>
      </c>
      <c r="J78" s="8"/>
      <c r="L78" s="195"/>
      <c r="M78" s="195"/>
      <c r="N78" s="195"/>
    </row>
    <row r="79" spans="1:14" x14ac:dyDescent="0.25">
      <c r="A79" s="808" t="s">
        <v>1173</v>
      </c>
      <c r="B79" s="689" t="s">
        <v>1533</v>
      </c>
      <c r="C79" s="678">
        <v>42994</v>
      </c>
      <c r="D79" s="270">
        <f t="shared" si="3"/>
        <v>4860</v>
      </c>
      <c r="E79" s="261">
        <v>200</v>
      </c>
      <c r="F79" s="29">
        <v>30</v>
      </c>
      <c r="G79" s="39">
        <f>F79*E79+240*49+80*60</f>
        <v>22560</v>
      </c>
      <c r="H79" s="752">
        <v>42994</v>
      </c>
      <c r="I79" s="828" t="s">
        <v>1172</v>
      </c>
      <c r="J79" s="8"/>
      <c r="L79" s="195"/>
      <c r="M79" s="195"/>
      <c r="N79" s="195"/>
    </row>
    <row r="80" spans="1:14" x14ac:dyDescent="0.25">
      <c r="A80" s="808" t="s">
        <v>1477</v>
      </c>
      <c r="B80" s="690" t="s">
        <v>206</v>
      </c>
      <c r="C80" s="678">
        <v>42995</v>
      </c>
      <c r="D80" s="270">
        <f t="shared" si="3"/>
        <v>4861</v>
      </c>
      <c r="E80" s="261">
        <v>1558.1</v>
      </c>
      <c r="F80" s="29">
        <v>66</v>
      </c>
      <c r="G80" s="39">
        <f t="shared" si="4"/>
        <v>102834.59999999999</v>
      </c>
      <c r="H80" s="752">
        <v>42999</v>
      </c>
      <c r="I80" s="828" t="s">
        <v>1172</v>
      </c>
      <c r="J80" s="8"/>
      <c r="L80" s="195"/>
      <c r="M80" s="195"/>
      <c r="N80" s="195"/>
    </row>
    <row r="81" spans="1:14" x14ac:dyDescent="0.25">
      <c r="A81" s="808" t="s">
        <v>1220</v>
      </c>
      <c r="B81" s="690" t="s">
        <v>1322</v>
      </c>
      <c r="C81" s="678">
        <v>42996</v>
      </c>
      <c r="D81" s="270">
        <f t="shared" si="3"/>
        <v>4862</v>
      </c>
      <c r="E81" s="261">
        <v>139.6</v>
      </c>
      <c r="F81" s="29">
        <v>52</v>
      </c>
      <c r="G81" s="39">
        <f>F81*E81+33*60+18.1*80+1*40</f>
        <v>10727.2</v>
      </c>
      <c r="H81" s="752">
        <v>43000</v>
      </c>
      <c r="I81" s="828" t="s">
        <v>1172</v>
      </c>
      <c r="J81" s="8"/>
      <c r="L81" s="195"/>
      <c r="M81" s="195"/>
      <c r="N81" s="195"/>
    </row>
    <row r="82" spans="1:14" x14ac:dyDescent="0.25">
      <c r="A82" s="808" t="s">
        <v>1171</v>
      </c>
      <c r="B82" s="689" t="s">
        <v>206</v>
      </c>
      <c r="C82" s="678">
        <v>42996</v>
      </c>
      <c r="D82" s="270">
        <f t="shared" si="3"/>
        <v>4863</v>
      </c>
      <c r="E82" s="261">
        <v>740.6</v>
      </c>
      <c r="F82" s="29">
        <v>68</v>
      </c>
      <c r="G82" s="39">
        <f>F82*E82+243.2*63</f>
        <v>65682.399999999994</v>
      </c>
      <c r="H82" s="752">
        <v>42998</v>
      </c>
      <c r="I82" s="828" t="s">
        <v>1172</v>
      </c>
      <c r="L82" s="195"/>
      <c r="M82" s="195"/>
      <c r="N82" s="195"/>
    </row>
    <row r="83" spans="1:14" x14ac:dyDescent="0.25">
      <c r="A83" s="808" t="s">
        <v>1567</v>
      </c>
      <c r="B83" s="689" t="s">
        <v>1568</v>
      </c>
      <c r="C83" s="678">
        <v>42996</v>
      </c>
      <c r="D83" s="270">
        <f t="shared" si="3"/>
        <v>4864</v>
      </c>
      <c r="E83" s="261">
        <v>100</v>
      </c>
      <c r="F83" s="29">
        <v>46</v>
      </c>
      <c r="G83" s="39">
        <f t="shared" si="4"/>
        <v>4600</v>
      </c>
      <c r="H83" s="752">
        <v>42996</v>
      </c>
      <c r="I83" s="828" t="s">
        <v>1172</v>
      </c>
      <c r="L83" s="195"/>
      <c r="M83" s="195"/>
      <c r="N83" s="195"/>
    </row>
    <row r="84" spans="1:14" x14ac:dyDescent="0.25">
      <c r="A84" s="808" t="s">
        <v>1560</v>
      </c>
      <c r="B84" s="689" t="s">
        <v>1571</v>
      </c>
      <c r="C84" s="678">
        <v>42996</v>
      </c>
      <c r="D84" s="270">
        <f t="shared" si="3"/>
        <v>4865</v>
      </c>
      <c r="E84" s="261">
        <v>28.4</v>
      </c>
      <c r="F84" s="29">
        <v>55</v>
      </c>
      <c r="G84" s="39">
        <f t="shared" si="4"/>
        <v>1562</v>
      </c>
      <c r="H84" s="752">
        <v>42997</v>
      </c>
      <c r="I84" s="828" t="s">
        <v>1172</v>
      </c>
      <c r="L84" s="195"/>
      <c r="M84" s="195"/>
      <c r="N84" s="195"/>
    </row>
    <row r="85" spans="1:14" x14ac:dyDescent="0.25">
      <c r="A85" s="808" t="s">
        <v>1570</v>
      </c>
      <c r="B85" s="689" t="s">
        <v>1177</v>
      </c>
      <c r="C85" s="678">
        <v>42997</v>
      </c>
      <c r="D85" s="270">
        <f t="shared" si="3"/>
        <v>4866</v>
      </c>
      <c r="E85" s="261">
        <v>10</v>
      </c>
      <c r="F85" s="29">
        <v>48</v>
      </c>
      <c r="G85" s="39">
        <f t="shared" si="4"/>
        <v>480</v>
      </c>
      <c r="H85" s="752">
        <v>42997</v>
      </c>
      <c r="I85" s="828" t="s">
        <v>1172</v>
      </c>
      <c r="L85" s="195"/>
      <c r="M85" s="195"/>
      <c r="N85" s="195"/>
    </row>
    <row r="86" spans="1:14" x14ac:dyDescent="0.25">
      <c r="A86" s="808" t="s">
        <v>1387</v>
      </c>
      <c r="B86" s="689" t="s">
        <v>206</v>
      </c>
      <c r="C86" s="678">
        <v>42997</v>
      </c>
      <c r="D86" s="270">
        <f t="shared" si="3"/>
        <v>4867</v>
      </c>
      <c r="E86" s="261">
        <v>1590</v>
      </c>
      <c r="F86" s="29">
        <v>65</v>
      </c>
      <c r="G86" s="39">
        <f t="shared" si="4"/>
        <v>103350</v>
      </c>
      <c r="H86" s="752">
        <v>42997</v>
      </c>
      <c r="I86" s="828" t="s">
        <v>1172</v>
      </c>
      <c r="L86" s="195"/>
      <c r="M86" s="195"/>
      <c r="N86" s="195"/>
    </row>
    <row r="87" spans="1:14" x14ac:dyDescent="0.25">
      <c r="A87" s="808" t="s">
        <v>1171</v>
      </c>
      <c r="B87" s="689" t="s">
        <v>206</v>
      </c>
      <c r="C87" s="678">
        <v>42997</v>
      </c>
      <c r="D87" s="270">
        <f t="shared" si="3"/>
        <v>4868</v>
      </c>
      <c r="E87" s="261">
        <v>729.4</v>
      </c>
      <c r="F87" s="29">
        <v>67</v>
      </c>
      <c r="G87" s="39">
        <f t="shared" si="4"/>
        <v>48869.799999999996</v>
      </c>
      <c r="H87" s="752">
        <v>42999</v>
      </c>
      <c r="I87" s="828" t="s">
        <v>1172</v>
      </c>
      <c r="L87" s="195"/>
      <c r="M87" s="195"/>
      <c r="N87" s="195"/>
    </row>
    <row r="88" spans="1:14" x14ac:dyDescent="0.25">
      <c r="A88" s="808" t="s">
        <v>1197</v>
      </c>
      <c r="B88" s="689" t="s">
        <v>1198</v>
      </c>
      <c r="C88" s="678">
        <v>42997</v>
      </c>
      <c r="D88" s="270">
        <f t="shared" si="3"/>
        <v>4869</v>
      </c>
      <c r="E88" s="261">
        <v>211.7</v>
      </c>
      <c r="F88" s="29">
        <v>54</v>
      </c>
      <c r="G88" s="39">
        <f t="shared" si="4"/>
        <v>11431.8</v>
      </c>
      <c r="H88" s="752">
        <v>43002</v>
      </c>
      <c r="I88" s="828" t="s">
        <v>1172</v>
      </c>
      <c r="L88" s="195"/>
      <c r="M88" s="195"/>
      <c r="N88" s="195"/>
    </row>
    <row r="89" spans="1:14" x14ac:dyDescent="0.25">
      <c r="A89" s="808" t="s">
        <v>1556</v>
      </c>
      <c r="B89" s="689" t="s">
        <v>1214</v>
      </c>
      <c r="C89" s="678">
        <v>42998</v>
      </c>
      <c r="D89" s="270">
        <f t="shared" si="3"/>
        <v>4870</v>
      </c>
      <c r="E89" s="261">
        <v>415.3</v>
      </c>
      <c r="F89" s="29">
        <v>40</v>
      </c>
      <c r="G89" s="39">
        <f t="shared" si="4"/>
        <v>16612</v>
      </c>
      <c r="H89" s="752">
        <v>42998</v>
      </c>
      <c r="I89" s="828" t="s">
        <v>1172</v>
      </c>
      <c r="L89" s="195"/>
      <c r="M89" s="195"/>
      <c r="N89" s="195"/>
    </row>
    <row r="90" spans="1:14" x14ac:dyDescent="0.25">
      <c r="A90" s="808" t="s">
        <v>1173</v>
      </c>
      <c r="B90" s="689" t="s">
        <v>1533</v>
      </c>
      <c r="C90" s="678">
        <v>42998</v>
      </c>
      <c r="D90" s="270">
        <f t="shared" si="3"/>
        <v>4871</v>
      </c>
      <c r="E90" s="261">
        <v>285</v>
      </c>
      <c r="F90" s="29">
        <v>49</v>
      </c>
      <c r="G90" s="39">
        <f>F90*E90+115*30</f>
        <v>17415</v>
      </c>
      <c r="H90" s="752">
        <v>43001</v>
      </c>
      <c r="I90" s="828" t="s">
        <v>1172</v>
      </c>
      <c r="L90" s="195"/>
      <c r="M90" s="195"/>
      <c r="N90" s="195"/>
    </row>
    <row r="91" spans="1:14" x14ac:dyDescent="0.25">
      <c r="A91" s="808" t="s">
        <v>1332</v>
      </c>
      <c r="B91" s="689" t="s">
        <v>1333</v>
      </c>
      <c r="C91" s="678">
        <v>42998</v>
      </c>
      <c r="D91" s="270">
        <f t="shared" si="3"/>
        <v>4872</v>
      </c>
      <c r="E91" s="261">
        <v>9.1649999999999991</v>
      </c>
      <c r="F91" s="29">
        <v>46</v>
      </c>
      <c r="G91" s="39">
        <f t="shared" ref="G91:G136" si="5">F91*E91</f>
        <v>421.59</v>
      </c>
      <c r="H91" s="752">
        <v>42998</v>
      </c>
      <c r="I91" s="828" t="s">
        <v>1172</v>
      </c>
      <c r="L91" s="195"/>
      <c r="M91" s="195"/>
      <c r="N91" s="195"/>
    </row>
    <row r="92" spans="1:14" x14ac:dyDescent="0.25">
      <c r="A92" s="808" t="s">
        <v>1362</v>
      </c>
      <c r="B92" s="689" t="s">
        <v>1572</v>
      </c>
      <c r="C92" s="678">
        <v>42993</v>
      </c>
      <c r="D92" s="270">
        <f t="shared" si="3"/>
        <v>4873</v>
      </c>
      <c r="E92" s="261">
        <v>589.79999999999995</v>
      </c>
      <c r="F92" s="29">
        <v>17</v>
      </c>
      <c r="G92" s="39">
        <f t="shared" si="5"/>
        <v>10026.599999999999</v>
      </c>
      <c r="H92" s="752">
        <v>42999</v>
      </c>
      <c r="I92" s="828" t="s">
        <v>1172</v>
      </c>
      <c r="L92" s="195"/>
      <c r="M92" s="195"/>
      <c r="N92" s="195"/>
    </row>
    <row r="93" spans="1:14" x14ac:dyDescent="0.25">
      <c r="A93" s="808" t="s">
        <v>1182</v>
      </c>
      <c r="B93" s="689" t="s">
        <v>1199</v>
      </c>
      <c r="C93" s="678">
        <v>42999</v>
      </c>
      <c r="D93" s="270">
        <f t="shared" si="3"/>
        <v>4874</v>
      </c>
      <c r="E93" s="261">
        <v>48365.9</v>
      </c>
      <c r="F93" s="29">
        <v>1</v>
      </c>
      <c r="G93" s="39">
        <f t="shared" si="5"/>
        <v>48365.9</v>
      </c>
      <c r="H93" s="752">
        <v>43000</v>
      </c>
      <c r="I93" s="828" t="s">
        <v>1172</v>
      </c>
      <c r="L93" s="195"/>
      <c r="M93" s="195"/>
      <c r="N93" s="195"/>
    </row>
    <row r="94" spans="1:14" x14ac:dyDescent="0.25">
      <c r="A94" s="808" t="s">
        <v>1171</v>
      </c>
      <c r="B94" s="689" t="s">
        <v>206</v>
      </c>
      <c r="C94" s="678">
        <v>42999</v>
      </c>
      <c r="D94" s="270">
        <f t="shared" si="3"/>
        <v>4875</v>
      </c>
      <c r="E94" s="261">
        <v>741.4</v>
      </c>
      <c r="F94" s="29">
        <v>67.5</v>
      </c>
      <c r="G94" s="39">
        <f t="shared" si="5"/>
        <v>50044.5</v>
      </c>
      <c r="H94" s="752">
        <v>43002</v>
      </c>
      <c r="I94" s="828" t="s">
        <v>1172</v>
      </c>
      <c r="L94" s="195"/>
      <c r="M94" s="195"/>
      <c r="N94" s="195"/>
    </row>
    <row r="95" spans="1:14" ht="31.5" x14ac:dyDescent="0.25">
      <c r="A95" s="808" t="s">
        <v>1184</v>
      </c>
      <c r="B95" s="689" t="s">
        <v>1203</v>
      </c>
      <c r="C95" s="678">
        <v>42998</v>
      </c>
      <c r="D95" s="270">
        <f t="shared" si="3"/>
        <v>4876</v>
      </c>
      <c r="E95" s="261">
        <v>5840</v>
      </c>
      <c r="F95" s="29">
        <v>35</v>
      </c>
      <c r="G95" s="821">
        <f t="shared" si="5"/>
        <v>204400</v>
      </c>
      <c r="H95" s="837" t="s">
        <v>1575</v>
      </c>
      <c r="I95" s="846" t="s">
        <v>1172</v>
      </c>
      <c r="J95" s="816"/>
      <c r="L95" s="195"/>
      <c r="M95" s="195"/>
      <c r="N95" s="195"/>
    </row>
    <row r="96" spans="1:14" x14ac:dyDescent="0.25">
      <c r="A96" s="808" t="s">
        <v>1208</v>
      </c>
      <c r="B96" s="689" t="s">
        <v>206</v>
      </c>
      <c r="C96" s="678">
        <v>43000</v>
      </c>
      <c r="D96" s="270">
        <f t="shared" si="3"/>
        <v>4877</v>
      </c>
      <c r="E96" s="261">
        <v>518</v>
      </c>
      <c r="F96" s="29">
        <v>67</v>
      </c>
      <c r="G96" s="39">
        <f t="shared" si="5"/>
        <v>34706</v>
      </c>
      <c r="H96" s="752">
        <v>43004</v>
      </c>
      <c r="I96" s="828" t="s">
        <v>1172</v>
      </c>
      <c r="L96" s="195"/>
      <c r="M96" s="195"/>
      <c r="N96" s="195"/>
    </row>
    <row r="97" spans="1:14" x14ac:dyDescent="0.25">
      <c r="A97" s="808" t="s">
        <v>923</v>
      </c>
      <c r="B97" s="689"/>
      <c r="C97" s="678"/>
      <c r="D97" s="270">
        <f t="shared" si="3"/>
        <v>4878</v>
      </c>
      <c r="G97" s="39">
        <f t="shared" si="5"/>
        <v>0</v>
      </c>
      <c r="H97" s="835"/>
      <c r="I97" s="844"/>
      <c r="L97" s="195"/>
      <c r="M97" s="195"/>
      <c r="N97" s="195"/>
    </row>
    <row r="98" spans="1:14" x14ac:dyDescent="0.25">
      <c r="A98" s="808" t="s">
        <v>923</v>
      </c>
      <c r="B98" s="689"/>
      <c r="C98" s="678"/>
      <c r="D98" s="270">
        <f t="shared" si="3"/>
        <v>4879</v>
      </c>
      <c r="G98" s="39">
        <f t="shared" si="5"/>
        <v>0</v>
      </c>
      <c r="H98" s="835"/>
      <c r="I98" s="844"/>
      <c r="L98" s="195"/>
      <c r="M98" s="195"/>
      <c r="N98" s="195"/>
    </row>
    <row r="99" spans="1:14" x14ac:dyDescent="0.25">
      <c r="A99" s="808" t="s">
        <v>1387</v>
      </c>
      <c r="B99" s="689" t="s">
        <v>206</v>
      </c>
      <c r="C99" s="678">
        <v>43000</v>
      </c>
      <c r="D99" s="270">
        <f t="shared" si="3"/>
        <v>4880</v>
      </c>
      <c r="E99" s="261">
        <v>1512</v>
      </c>
      <c r="F99" s="29">
        <v>65</v>
      </c>
      <c r="G99" s="39">
        <f>F99*E99-520</f>
        <v>97760</v>
      </c>
      <c r="H99" s="752">
        <v>43001</v>
      </c>
      <c r="I99" s="828" t="s">
        <v>1172</v>
      </c>
      <c r="L99" s="195"/>
      <c r="M99" s="195"/>
      <c r="N99" s="195"/>
    </row>
    <row r="100" spans="1:14" x14ac:dyDescent="0.25">
      <c r="A100" s="808" t="s">
        <v>1282</v>
      </c>
      <c r="B100" s="689" t="s">
        <v>1212</v>
      </c>
      <c r="C100" s="678">
        <v>43000</v>
      </c>
      <c r="D100" s="270">
        <f t="shared" si="3"/>
        <v>4881</v>
      </c>
      <c r="E100" s="261">
        <v>98.1</v>
      </c>
      <c r="F100" s="29">
        <v>50</v>
      </c>
      <c r="G100" s="39">
        <f t="shared" si="5"/>
        <v>4905</v>
      </c>
      <c r="H100" s="752">
        <v>43000</v>
      </c>
      <c r="I100" s="828" t="s">
        <v>1172</v>
      </c>
      <c r="L100" s="195"/>
      <c r="M100" s="195"/>
      <c r="N100" s="195"/>
    </row>
    <row r="101" spans="1:14" x14ac:dyDescent="0.25">
      <c r="A101" s="808" t="s">
        <v>1171</v>
      </c>
      <c r="B101" s="689" t="s">
        <v>206</v>
      </c>
      <c r="C101" s="678">
        <v>43000</v>
      </c>
      <c r="D101" s="270">
        <f t="shared" si="3"/>
        <v>4882</v>
      </c>
      <c r="E101" s="261">
        <v>637.20000000000005</v>
      </c>
      <c r="F101" s="29">
        <v>68</v>
      </c>
      <c r="G101" s="39">
        <f>F101*E101+338.5*67</f>
        <v>66009.100000000006</v>
      </c>
      <c r="H101" s="752">
        <v>43005</v>
      </c>
      <c r="I101" s="828" t="s">
        <v>1172</v>
      </c>
      <c r="L101" s="195"/>
      <c r="M101" s="195"/>
      <c r="N101" s="195"/>
    </row>
    <row r="102" spans="1:14" x14ac:dyDescent="0.25">
      <c r="A102" s="808" t="s">
        <v>923</v>
      </c>
      <c r="B102" s="689"/>
      <c r="C102" s="678"/>
      <c r="D102" s="270">
        <f t="shared" si="3"/>
        <v>4883</v>
      </c>
      <c r="G102" s="39">
        <f t="shared" si="5"/>
        <v>0</v>
      </c>
      <c r="H102" s="753"/>
      <c r="I102" s="842"/>
      <c r="L102" s="195"/>
      <c r="M102" s="195"/>
      <c r="N102" s="195"/>
    </row>
    <row r="103" spans="1:14" x14ac:dyDescent="0.25">
      <c r="A103" s="808" t="s">
        <v>1173</v>
      </c>
      <c r="B103" s="689" t="s">
        <v>1533</v>
      </c>
      <c r="C103" s="678">
        <v>43001</v>
      </c>
      <c r="D103" s="270">
        <f t="shared" si="3"/>
        <v>4884</v>
      </c>
      <c r="E103" s="261">
        <v>105</v>
      </c>
      <c r="F103" s="29">
        <v>48</v>
      </c>
      <c r="G103" s="39">
        <f t="shared" si="5"/>
        <v>5040</v>
      </c>
      <c r="H103" s="753">
        <v>43010</v>
      </c>
      <c r="I103" s="842" t="s">
        <v>1172</v>
      </c>
      <c r="L103" s="195"/>
      <c r="M103" s="195"/>
      <c r="N103" s="195"/>
    </row>
    <row r="104" spans="1:14" x14ac:dyDescent="0.25">
      <c r="A104" s="808" t="s">
        <v>1206</v>
      </c>
      <c r="B104" s="690" t="s">
        <v>1207</v>
      </c>
      <c r="C104" s="678">
        <v>43001</v>
      </c>
      <c r="D104" s="270">
        <f t="shared" si="3"/>
        <v>4885</v>
      </c>
      <c r="E104" s="261">
        <v>103</v>
      </c>
      <c r="F104" s="29">
        <v>69</v>
      </c>
      <c r="G104" s="39">
        <f t="shared" si="5"/>
        <v>7107</v>
      </c>
      <c r="H104" s="752">
        <v>43007</v>
      </c>
      <c r="I104" s="828" t="s">
        <v>1172</v>
      </c>
      <c r="L104" s="195"/>
      <c r="M104" s="195"/>
      <c r="N104" s="195"/>
    </row>
    <row r="105" spans="1:14" x14ac:dyDescent="0.25">
      <c r="A105" s="808" t="s">
        <v>1171</v>
      </c>
      <c r="B105" s="690" t="s">
        <v>206</v>
      </c>
      <c r="C105" s="678">
        <v>43001</v>
      </c>
      <c r="D105" s="270">
        <f t="shared" si="3"/>
        <v>4886</v>
      </c>
      <c r="E105" s="261">
        <v>1069.9000000000001</v>
      </c>
      <c r="F105" s="29">
        <v>68</v>
      </c>
      <c r="G105" s="39">
        <f>F105*E105+294.2*62</f>
        <v>90993.600000000006</v>
      </c>
      <c r="H105" s="752">
        <v>43008</v>
      </c>
      <c r="I105" s="828" t="s">
        <v>1172</v>
      </c>
      <c r="L105" s="195"/>
      <c r="M105" s="195"/>
      <c r="N105" s="195"/>
    </row>
    <row r="106" spans="1:14" x14ac:dyDescent="0.25">
      <c r="A106" s="808" t="s">
        <v>1197</v>
      </c>
      <c r="B106" s="690" t="s">
        <v>1577</v>
      </c>
      <c r="C106" s="678">
        <v>43000</v>
      </c>
      <c r="D106" s="270">
        <f t="shared" si="3"/>
        <v>4887</v>
      </c>
      <c r="E106" s="261">
        <v>10</v>
      </c>
      <c r="F106" s="29">
        <v>28</v>
      </c>
      <c r="G106" s="39">
        <f t="shared" si="5"/>
        <v>280</v>
      </c>
      <c r="H106" s="752">
        <v>43006</v>
      </c>
      <c r="I106" s="828" t="s">
        <v>1172</v>
      </c>
      <c r="L106" s="195"/>
      <c r="M106" s="195"/>
      <c r="N106" s="195"/>
    </row>
    <row r="107" spans="1:14" x14ac:dyDescent="0.25">
      <c r="A107" s="808" t="s">
        <v>1173</v>
      </c>
      <c r="B107" s="690" t="s">
        <v>1584</v>
      </c>
      <c r="C107" s="678">
        <v>43001</v>
      </c>
      <c r="D107" s="270">
        <f t="shared" si="3"/>
        <v>4888</v>
      </c>
      <c r="E107" s="261">
        <v>100</v>
      </c>
      <c r="F107" s="29">
        <v>58</v>
      </c>
      <c r="G107" s="39">
        <f>F107*E107+112.8*30+173.2*49</f>
        <v>17670.8</v>
      </c>
      <c r="H107" s="753">
        <v>43010</v>
      </c>
      <c r="I107" s="842" t="s">
        <v>1172</v>
      </c>
      <c r="L107" s="195"/>
      <c r="M107" s="195"/>
      <c r="N107" s="195"/>
    </row>
    <row r="108" spans="1:14" x14ac:dyDescent="0.25">
      <c r="A108" s="808" t="s">
        <v>1171</v>
      </c>
      <c r="B108" s="690" t="s">
        <v>206</v>
      </c>
      <c r="C108" s="678">
        <v>43003</v>
      </c>
      <c r="D108" s="270">
        <f t="shared" si="3"/>
        <v>4889</v>
      </c>
      <c r="E108" s="261">
        <v>712.7</v>
      </c>
      <c r="F108" s="29">
        <v>68</v>
      </c>
      <c r="G108" s="39">
        <f>F108*E108+254.9*66.5</f>
        <v>65414.450000000012</v>
      </c>
      <c r="H108" s="752">
        <v>43006</v>
      </c>
      <c r="I108" s="828" t="s">
        <v>1172</v>
      </c>
      <c r="L108" s="195"/>
      <c r="M108" s="195"/>
      <c r="N108" s="195"/>
    </row>
    <row r="109" spans="1:14" x14ac:dyDescent="0.25">
      <c r="A109" s="808" t="s">
        <v>1220</v>
      </c>
      <c r="B109" s="690" t="s">
        <v>1601</v>
      </c>
      <c r="C109" s="678">
        <v>43003</v>
      </c>
      <c r="D109" s="270">
        <f t="shared" si="3"/>
        <v>4890</v>
      </c>
      <c r="E109" s="261">
        <v>75.400000000000006</v>
      </c>
      <c r="F109" s="29">
        <v>60</v>
      </c>
      <c r="G109" s="39">
        <f>F109*E109+45.7*60+49.7*42+93.6*52+23.8*60+33.3*60</f>
        <v>17646.599999999999</v>
      </c>
      <c r="H109" s="753">
        <v>43029</v>
      </c>
      <c r="I109" s="842" t="s">
        <v>1172</v>
      </c>
      <c r="L109" s="195"/>
      <c r="M109" s="195"/>
      <c r="N109" s="195"/>
    </row>
    <row r="110" spans="1:14" x14ac:dyDescent="0.25">
      <c r="A110" s="808" t="s">
        <v>1182</v>
      </c>
      <c r="B110" s="689" t="s">
        <v>1182</v>
      </c>
      <c r="C110" s="678">
        <v>43003</v>
      </c>
      <c r="D110" s="270">
        <f t="shared" si="3"/>
        <v>4891</v>
      </c>
      <c r="E110" s="261">
        <v>45005.8</v>
      </c>
      <c r="F110" s="29">
        <v>1</v>
      </c>
      <c r="G110" s="39">
        <f t="shared" si="5"/>
        <v>45005.8</v>
      </c>
      <c r="H110" s="752">
        <v>43006</v>
      </c>
      <c r="I110" s="828" t="s">
        <v>1172</v>
      </c>
      <c r="L110" s="195"/>
      <c r="M110" s="195"/>
      <c r="N110" s="195"/>
    </row>
    <row r="111" spans="1:14" x14ac:dyDescent="0.25">
      <c r="A111" s="808" t="s">
        <v>1197</v>
      </c>
      <c r="B111" s="689" t="s">
        <v>1581</v>
      </c>
      <c r="C111" s="678">
        <v>43003</v>
      </c>
      <c r="D111" s="270">
        <f t="shared" si="3"/>
        <v>4892</v>
      </c>
      <c r="E111" s="261">
        <v>58.86</v>
      </c>
      <c r="F111" s="29">
        <v>48</v>
      </c>
      <c r="G111" s="39">
        <f>F111*E111+127.9*50</f>
        <v>9220.2799999999988</v>
      </c>
      <c r="H111" s="752">
        <v>43007</v>
      </c>
      <c r="I111" s="828" t="s">
        <v>1172</v>
      </c>
      <c r="L111" s="195"/>
      <c r="M111" s="195"/>
      <c r="N111" s="195"/>
    </row>
    <row r="112" spans="1:14" x14ac:dyDescent="0.25">
      <c r="A112" s="808" t="s">
        <v>1197</v>
      </c>
      <c r="B112" s="689" t="s">
        <v>1212</v>
      </c>
      <c r="C112" s="678">
        <v>43004</v>
      </c>
      <c r="D112" s="270">
        <f t="shared" si="3"/>
        <v>4893</v>
      </c>
      <c r="E112" s="261">
        <v>178.2</v>
      </c>
      <c r="F112" s="29">
        <v>50</v>
      </c>
      <c r="G112" s="39">
        <f>F112*E112+240.4*52</f>
        <v>21410.800000000003</v>
      </c>
      <c r="H112" s="752">
        <v>43007</v>
      </c>
      <c r="I112" s="828" t="s">
        <v>1172</v>
      </c>
      <c r="L112" s="195"/>
      <c r="M112" s="195"/>
      <c r="N112" s="195"/>
    </row>
    <row r="113" spans="1:14" x14ac:dyDescent="0.25">
      <c r="A113" s="808" t="s">
        <v>1208</v>
      </c>
      <c r="B113" s="689" t="s">
        <v>1498</v>
      </c>
      <c r="C113" s="678">
        <v>43004</v>
      </c>
      <c r="D113" s="270">
        <f t="shared" si="3"/>
        <v>4894</v>
      </c>
      <c r="E113" s="261">
        <v>230.8</v>
      </c>
      <c r="F113" s="29">
        <v>72</v>
      </c>
      <c r="G113" s="39">
        <f t="shared" si="5"/>
        <v>16617.600000000002</v>
      </c>
      <c r="H113" s="752">
        <v>43004</v>
      </c>
      <c r="I113" s="828" t="s">
        <v>1172</v>
      </c>
      <c r="L113" s="195"/>
      <c r="M113" s="195"/>
      <c r="N113" s="195"/>
    </row>
    <row r="114" spans="1:14" x14ac:dyDescent="0.25">
      <c r="A114" s="808" t="s">
        <v>1184</v>
      </c>
      <c r="B114" s="689" t="s">
        <v>1583</v>
      </c>
      <c r="C114" s="678">
        <v>43004</v>
      </c>
      <c r="D114" s="270">
        <f t="shared" si="3"/>
        <v>4895</v>
      </c>
      <c r="E114" s="261">
        <v>1622.3</v>
      </c>
      <c r="F114" s="29">
        <v>66</v>
      </c>
      <c r="G114" s="39">
        <f t="shared" si="5"/>
        <v>107071.8</v>
      </c>
      <c r="H114" s="752">
        <v>43008</v>
      </c>
      <c r="I114" s="828" t="s">
        <v>1172</v>
      </c>
      <c r="L114" s="195"/>
      <c r="M114" s="195"/>
      <c r="N114" s="195"/>
    </row>
    <row r="115" spans="1:14" x14ac:dyDescent="0.25">
      <c r="A115" s="808" t="s">
        <v>1173</v>
      </c>
      <c r="B115" s="689" t="s">
        <v>1533</v>
      </c>
      <c r="C115" s="678">
        <v>43005</v>
      </c>
      <c r="D115" s="270">
        <f t="shared" si="3"/>
        <v>4896</v>
      </c>
      <c r="E115" s="261">
        <v>124</v>
      </c>
      <c r="F115" s="29">
        <v>49</v>
      </c>
      <c r="G115" s="39">
        <f>F115*E115+20*58</f>
        <v>7236</v>
      </c>
      <c r="H115" s="753">
        <v>43010</v>
      </c>
      <c r="I115" s="842" t="s">
        <v>1172</v>
      </c>
      <c r="L115" s="195"/>
      <c r="M115" s="195"/>
      <c r="N115" s="195"/>
    </row>
    <row r="116" spans="1:14" x14ac:dyDescent="0.25">
      <c r="A116" s="808" t="s">
        <v>1208</v>
      </c>
      <c r="B116" s="689" t="s">
        <v>1582</v>
      </c>
      <c r="C116" s="678">
        <v>43005</v>
      </c>
      <c r="D116" s="270">
        <f t="shared" si="3"/>
        <v>4897</v>
      </c>
      <c r="E116" s="261">
        <v>218</v>
      </c>
      <c r="F116" s="29">
        <v>72</v>
      </c>
      <c r="G116" s="39">
        <f t="shared" si="5"/>
        <v>15696</v>
      </c>
      <c r="H116" s="752">
        <v>43008</v>
      </c>
      <c r="I116" s="828" t="s">
        <v>1172</v>
      </c>
      <c r="L116" s="195"/>
      <c r="M116" s="195"/>
      <c r="N116" s="195"/>
    </row>
    <row r="117" spans="1:14" x14ac:dyDescent="0.25">
      <c r="A117" s="808" t="s">
        <v>1197</v>
      </c>
      <c r="B117" s="689" t="s">
        <v>1198</v>
      </c>
      <c r="C117" s="678">
        <v>43005</v>
      </c>
      <c r="D117" s="270">
        <f t="shared" si="3"/>
        <v>4898</v>
      </c>
      <c r="E117" s="261">
        <v>49.32</v>
      </c>
      <c r="F117" s="29">
        <v>52</v>
      </c>
      <c r="G117" s="39">
        <f t="shared" si="5"/>
        <v>2564.64</v>
      </c>
      <c r="H117" s="752">
        <v>43007</v>
      </c>
      <c r="I117" s="828" t="s">
        <v>1172</v>
      </c>
      <c r="L117" s="195"/>
      <c r="M117" s="195"/>
      <c r="N117" s="195"/>
    </row>
    <row r="118" spans="1:14" x14ac:dyDescent="0.25">
      <c r="A118" s="808" t="s">
        <v>1197</v>
      </c>
      <c r="B118" s="689" t="s">
        <v>1579</v>
      </c>
      <c r="C118" s="678">
        <v>43005</v>
      </c>
      <c r="D118" s="270">
        <f t="shared" si="3"/>
        <v>4899</v>
      </c>
      <c r="E118" s="261">
        <v>125.38</v>
      </c>
      <c r="F118" s="29">
        <v>54</v>
      </c>
      <c r="G118" s="39">
        <f>F118*E118+86.92*54</f>
        <v>11464.2</v>
      </c>
      <c r="H118" s="752">
        <v>43007</v>
      </c>
      <c r="I118" s="828" t="s">
        <v>1172</v>
      </c>
      <c r="L118" s="195"/>
      <c r="M118" s="195"/>
      <c r="N118" s="195"/>
    </row>
    <row r="119" spans="1:14" x14ac:dyDescent="0.25">
      <c r="A119" s="808" t="s">
        <v>1220</v>
      </c>
      <c r="B119" s="689" t="s">
        <v>1602</v>
      </c>
      <c r="C119" s="678">
        <v>43006</v>
      </c>
      <c r="D119" s="270">
        <f t="shared" si="3"/>
        <v>4900</v>
      </c>
      <c r="E119" s="261">
        <v>237</v>
      </c>
      <c r="F119" s="29">
        <v>50</v>
      </c>
      <c r="G119" s="39">
        <f t="shared" si="5"/>
        <v>11850</v>
      </c>
      <c r="H119" s="753">
        <v>43029</v>
      </c>
      <c r="I119" s="842" t="s">
        <v>1172</v>
      </c>
      <c r="L119" s="195"/>
      <c r="M119" s="195"/>
      <c r="N119" s="195"/>
    </row>
    <row r="120" spans="1:14" x14ac:dyDescent="0.25">
      <c r="A120" s="808" t="s">
        <v>1370</v>
      </c>
      <c r="B120" s="689" t="s">
        <v>1578</v>
      </c>
      <c r="C120" s="678">
        <v>43006</v>
      </c>
      <c r="D120" s="270">
        <f t="shared" si="3"/>
        <v>4901</v>
      </c>
      <c r="E120" s="261">
        <v>163.80000000000001</v>
      </c>
      <c r="F120" s="29">
        <v>17</v>
      </c>
      <c r="G120" s="39">
        <f t="shared" si="5"/>
        <v>2784.6000000000004</v>
      </c>
      <c r="H120" s="752">
        <v>43006</v>
      </c>
      <c r="I120" s="828" t="s">
        <v>1172</v>
      </c>
      <c r="L120" s="195"/>
      <c r="M120" s="195"/>
      <c r="N120" s="195"/>
    </row>
    <row r="121" spans="1:14" x14ac:dyDescent="0.25">
      <c r="A121" s="808" t="s">
        <v>1197</v>
      </c>
      <c r="B121" s="689" t="s">
        <v>1212</v>
      </c>
      <c r="C121" s="678">
        <v>43006</v>
      </c>
      <c r="D121" s="270">
        <f t="shared" si="3"/>
        <v>4902</v>
      </c>
      <c r="E121" s="261">
        <v>118</v>
      </c>
      <c r="F121" s="29">
        <v>50</v>
      </c>
      <c r="G121" s="39">
        <f>F121*E121+49.46*52</f>
        <v>8471.92</v>
      </c>
      <c r="H121" s="752">
        <v>43007</v>
      </c>
      <c r="I121" s="828" t="s">
        <v>1172</v>
      </c>
      <c r="L121" s="195"/>
      <c r="M121" s="195"/>
      <c r="N121" s="195"/>
    </row>
    <row r="122" spans="1:14" x14ac:dyDescent="0.25">
      <c r="A122" s="808" t="s">
        <v>1173</v>
      </c>
      <c r="B122" s="689" t="s">
        <v>1533</v>
      </c>
      <c r="C122" s="678">
        <v>43006</v>
      </c>
      <c r="D122" s="270">
        <f t="shared" si="3"/>
        <v>4903</v>
      </c>
      <c r="E122" s="261">
        <v>191</v>
      </c>
      <c r="F122" s="29">
        <v>55</v>
      </c>
      <c r="G122" s="39">
        <f>F122*E122+137.8*49+125.4*30</f>
        <v>21019.200000000001</v>
      </c>
      <c r="H122" s="753">
        <v>43010</v>
      </c>
      <c r="I122" s="842" t="s">
        <v>1172</v>
      </c>
      <c r="L122" s="195"/>
      <c r="M122" s="195"/>
      <c r="N122" s="195"/>
    </row>
    <row r="123" spans="1:14" ht="48.75" x14ac:dyDescent="0.25">
      <c r="A123" s="808" t="s">
        <v>1171</v>
      </c>
      <c r="B123" s="689" t="s">
        <v>206</v>
      </c>
      <c r="C123" s="678">
        <v>43006</v>
      </c>
      <c r="D123" s="270">
        <f t="shared" si="3"/>
        <v>4904</v>
      </c>
      <c r="E123" s="261">
        <v>3384.1</v>
      </c>
      <c r="F123" s="29">
        <v>68</v>
      </c>
      <c r="G123" s="39">
        <f t="shared" si="5"/>
        <v>230118.8</v>
      </c>
      <c r="H123" s="847" t="s">
        <v>1586</v>
      </c>
      <c r="I123" s="842" t="s">
        <v>1172</v>
      </c>
      <c r="J123" s="845">
        <f>50000+50000+50000+50000+30118.8</f>
        <v>230118.8</v>
      </c>
      <c r="L123" s="195"/>
      <c r="M123" s="195"/>
      <c r="N123" s="195"/>
    </row>
    <row r="124" spans="1:14" x14ac:dyDescent="0.25">
      <c r="A124" s="808" t="s">
        <v>1220</v>
      </c>
      <c r="B124" s="689" t="s">
        <v>1602</v>
      </c>
      <c r="C124" s="678">
        <v>43007</v>
      </c>
      <c r="D124" s="270">
        <f t="shared" si="3"/>
        <v>4905</v>
      </c>
      <c r="E124" s="261">
        <v>80</v>
      </c>
      <c r="F124" s="29">
        <v>80</v>
      </c>
      <c r="G124" s="39">
        <f>F124*E124+117*48</f>
        <v>12016</v>
      </c>
      <c r="H124" s="753">
        <v>43029</v>
      </c>
      <c r="I124" s="842" t="s">
        <v>1172</v>
      </c>
      <c r="L124" s="195"/>
      <c r="M124" s="195"/>
      <c r="N124" s="195"/>
    </row>
    <row r="125" spans="1:14" x14ac:dyDescent="0.25">
      <c r="A125" s="808" t="s">
        <v>1208</v>
      </c>
      <c r="B125" s="689" t="s">
        <v>206</v>
      </c>
      <c r="C125" s="678">
        <v>43007</v>
      </c>
      <c r="D125" s="270">
        <f t="shared" si="3"/>
        <v>4906</v>
      </c>
      <c r="E125" s="261">
        <v>719</v>
      </c>
      <c r="F125" s="29">
        <v>67</v>
      </c>
      <c r="G125" s="39">
        <f t="shared" si="5"/>
        <v>48173</v>
      </c>
      <c r="H125" s="752">
        <v>43007</v>
      </c>
      <c r="I125" s="828" t="s">
        <v>1172</v>
      </c>
      <c r="L125" s="195"/>
      <c r="M125" s="195"/>
      <c r="N125" s="195"/>
    </row>
    <row r="126" spans="1:14" x14ac:dyDescent="0.25">
      <c r="A126" s="808" t="s">
        <v>1517</v>
      </c>
      <c r="B126" s="689" t="s">
        <v>248</v>
      </c>
      <c r="C126" s="678">
        <v>43007</v>
      </c>
      <c r="D126" s="270">
        <f t="shared" si="3"/>
        <v>4907</v>
      </c>
      <c r="E126" s="261">
        <v>400</v>
      </c>
      <c r="F126" s="29">
        <v>38</v>
      </c>
      <c r="G126" s="39">
        <f t="shared" si="5"/>
        <v>15200</v>
      </c>
      <c r="H126" s="752">
        <v>43007</v>
      </c>
      <c r="I126" s="828" t="s">
        <v>1172</v>
      </c>
      <c r="L126" s="195"/>
      <c r="M126" s="195"/>
      <c r="N126" s="195"/>
    </row>
    <row r="127" spans="1:14" x14ac:dyDescent="0.25">
      <c r="A127" s="808" t="s">
        <v>1197</v>
      </c>
      <c r="B127" s="689" t="s">
        <v>1580</v>
      </c>
      <c r="C127" s="678">
        <v>43004</v>
      </c>
      <c r="D127" s="270">
        <f t="shared" si="3"/>
        <v>4908</v>
      </c>
      <c r="E127" s="261">
        <v>51.24</v>
      </c>
      <c r="F127" s="29">
        <v>50</v>
      </c>
      <c r="G127" s="39">
        <f>F127*E127+6*34</f>
        <v>2766</v>
      </c>
      <c r="H127" s="752">
        <v>43007</v>
      </c>
      <c r="I127" s="828" t="s">
        <v>1172</v>
      </c>
      <c r="L127" s="195"/>
      <c r="M127" s="195"/>
      <c r="N127" s="195"/>
    </row>
    <row r="128" spans="1:14" x14ac:dyDescent="0.25">
      <c r="A128" s="808" t="s">
        <v>1220</v>
      </c>
      <c r="B128" s="689" t="s">
        <v>1571</v>
      </c>
      <c r="C128" s="678">
        <v>43008</v>
      </c>
      <c r="D128" s="270">
        <f t="shared" si="3"/>
        <v>4909</v>
      </c>
      <c r="E128" s="261">
        <v>95.7</v>
      </c>
      <c r="F128" s="29">
        <v>54</v>
      </c>
      <c r="G128" s="39">
        <f t="shared" si="5"/>
        <v>5167.8</v>
      </c>
      <c r="H128" s="752">
        <v>43008</v>
      </c>
      <c r="I128" s="828" t="s">
        <v>1172</v>
      </c>
      <c r="L128" s="195"/>
      <c r="M128" s="195"/>
      <c r="N128" s="195"/>
    </row>
    <row r="129" spans="1:14" x14ac:dyDescent="0.25">
      <c r="A129" s="808" t="s">
        <v>1173</v>
      </c>
      <c r="B129" s="689" t="s">
        <v>1533</v>
      </c>
      <c r="C129" s="678">
        <v>43008</v>
      </c>
      <c r="D129" s="270">
        <f t="shared" si="3"/>
        <v>4910</v>
      </c>
      <c r="E129" s="261">
        <v>208</v>
      </c>
      <c r="F129" s="29">
        <v>49</v>
      </c>
      <c r="G129" s="39">
        <f>F129*E129+101*30</f>
        <v>13222</v>
      </c>
      <c r="H129" s="753">
        <v>43010</v>
      </c>
      <c r="I129" s="842" t="s">
        <v>1172</v>
      </c>
      <c r="L129" s="195"/>
      <c r="M129" s="195"/>
      <c r="N129" s="195"/>
    </row>
    <row r="130" spans="1:14" x14ac:dyDescent="0.25">
      <c r="A130" s="808" t="s">
        <v>1197</v>
      </c>
      <c r="B130" s="689" t="s">
        <v>1198</v>
      </c>
      <c r="C130" s="678">
        <v>43008</v>
      </c>
      <c r="D130" s="270">
        <f t="shared" si="3"/>
        <v>4911</v>
      </c>
      <c r="E130" s="261">
        <v>74.099999999999994</v>
      </c>
      <c r="F130" s="29">
        <v>52</v>
      </c>
      <c r="G130" s="39">
        <f t="shared" si="5"/>
        <v>3853.2</v>
      </c>
      <c r="H130" s="753">
        <v>43015</v>
      </c>
      <c r="I130" s="842" t="s">
        <v>1172</v>
      </c>
      <c r="L130" s="195"/>
      <c r="M130" s="195"/>
      <c r="N130" s="195"/>
    </row>
    <row r="131" spans="1:14" x14ac:dyDescent="0.25">
      <c r="A131" s="808" t="s">
        <v>1206</v>
      </c>
      <c r="B131" s="689" t="s">
        <v>1207</v>
      </c>
      <c r="C131" s="678">
        <v>43008</v>
      </c>
      <c r="D131" s="270">
        <f t="shared" si="3"/>
        <v>4912</v>
      </c>
      <c r="E131" s="261">
        <v>122.8</v>
      </c>
      <c r="F131" s="29">
        <v>69</v>
      </c>
      <c r="G131" s="39">
        <f t="shared" si="5"/>
        <v>8473.1999999999989</v>
      </c>
      <c r="H131" s="752">
        <v>43008</v>
      </c>
      <c r="I131" s="828" t="s">
        <v>1172</v>
      </c>
      <c r="L131" s="195"/>
      <c r="M131" s="195"/>
      <c r="N131" s="195"/>
    </row>
    <row r="132" spans="1:14" x14ac:dyDescent="0.25">
      <c r="A132" s="808" t="s">
        <v>1171</v>
      </c>
      <c r="B132" s="689" t="s">
        <v>206</v>
      </c>
      <c r="C132" s="678">
        <v>43008</v>
      </c>
      <c r="D132" s="270">
        <f t="shared" si="3"/>
        <v>4913</v>
      </c>
      <c r="E132" s="261">
        <v>1317.8</v>
      </c>
      <c r="F132" s="29">
        <v>68</v>
      </c>
      <c r="G132" s="39">
        <f t="shared" si="5"/>
        <v>89610.4</v>
      </c>
      <c r="H132" s="753">
        <v>43009</v>
      </c>
      <c r="I132" s="842" t="s">
        <v>1172</v>
      </c>
      <c r="L132" s="195"/>
      <c r="M132" s="195"/>
      <c r="N132" s="195"/>
    </row>
    <row r="133" spans="1:14" x14ac:dyDescent="0.25">
      <c r="A133" s="808" t="s">
        <v>1477</v>
      </c>
      <c r="B133" s="689" t="s">
        <v>1561</v>
      </c>
      <c r="C133" s="678">
        <v>43008</v>
      </c>
      <c r="D133" s="270">
        <f t="shared" ref="D133" si="6">D132+1</f>
        <v>4914</v>
      </c>
      <c r="E133" s="261">
        <v>244.7</v>
      </c>
      <c r="F133" s="29">
        <v>90</v>
      </c>
      <c r="G133" s="39">
        <f>F133*E133+51.1*120</f>
        <v>28155</v>
      </c>
      <c r="H133" s="752">
        <v>43008</v>
      </c>
      <c r="I133" s="828" t="s">
        <v>1172</v>
      </c>
      <c r="L133" s="195"/>
      <c r="M133" s="195"/>
      <c r="N133" s="195"/>
    </row>
    <row r="134" spans="1:14" x14ac:dyDescent="0.25">
      <c r="A134" s="808"/>
      <c r="B134" s="689"/>
      <c r="C134" s="678"/>
      <c r="D134" s="270"/>
      <c r="G134" s="39">
        <f t="shared" si="5"/>
        <v>0</v>
      </c>
      <c r="H134" s="752"/>
      <c r="L134" s="195"/>
      <c r="M134" s="195"/>
      <c r="N134" s="195"/>
    </row>
    <row r="135" spans="1:14" x14ac:dyDescent="0.25">
      <c r="A135" s="808"/>
      <c r="B135" s="689"/>
      <c r="C135" s="678"/>
      <c r="D135" s="270"/>
      <c r="G135" s="39">
        <f t="shared" si="5"/>
        <v>0</v>
      </c>
      <c r="H135" s="752"/>
      <c r="L135" s="195"/>
      <c r="M135" s="195"/>
      <c r="N135" s="195"/>
    </row>
    <row r="136" spans="1:14" ht="16.5" thickBot="1" x14ac:dyDescent="0.3">
      <c r="A136" s="808"/>
      <c r="B136" s="689"/>
      <c r="C136" s="678"/>
      <c r="D136" s="270"/>
      <c r="G136" s="39">
        <f t="shared" si="5"/>
        <v>0</v>
      </c>
      <c r="H136" s="752"/>
      <c r="L136" s="195"/>
      <c r="M136" s="195"/>
      <c r="N136" s="195"/>
    </row>
    <row r="137" spans="1:14" ht="19.5" thickBot="1" x14ac:dyDescent="0.35">
      <c r="A137" s="313"/>
      <c r="B137" s="188"/>
      <c r="C137" s="682"/>
      <c r="D137" s="314"/>
      <c r="E137" s="891" t="s">
        <v>30</v>
      </c>
      <c r="F137" s="892"/>
      <c r="G137" s="214">
        <f>SUM(G23:G136)</f>
        <v>3619507.82498</v>
      </c>
      <c r="H137" s="785"/>
    </row>
    <row r="138" spans="1:14" x14ac:dyDescent="0.25">
      <c r="A138" s="313"/>
      <c r="B138" s="188"/>
      <c r="C138" s="682"/>
      <c r="D138" s="314"/>
      <c r="E138" s="311"/>
      <c r="F138" s="316"/>
      <c r="G138" s="39"/>
      <c r="H138" s="785"/>
    </row>
    <row r="139" spans="1:14" x14ac:dyDescent="0.25">
      <c r="A139" s="313"/>
      <c r="B139" s="188"/>
      <c r="C139" s="682"/>
      <c r="D139" s="314"/>
      <c r="E139" s="311"/>
      <c r="F139" s="316"/>
      <c r="G139" s="39"/>
      <c r="H139" s="785"/>
    </row>
    <row r="140" spans="1:14" x14ac:dyDescent="0.25">
      <c r="A140" s="313"/>
      <c r="B140" s="188"/>
      <c r="C140" s="682"/>
      <c r="D140" s="314"/>
      <c r="E140" s="311"/>
      <c r="F140" s="316"/>
      <c r="G140" s="39"/>
      <c r="H140" s="785"/>
    </row>
    <row r="141" spans="1:14" ht="18.75" x14ac:dyDescent="0.25">
      <c r="A141" s="313"/>
      <c r="B141" s="188"/>
      <c r="C141" s="682"/>
      <c r="D141" s="317"/>
      <c r="E141" s="318"/>
      <c r="F141" s="319"/>
      <c r="G141" s="320"/>
      <c r="H141" s="785"/>
    </row>
    <row r="142" spans="1:14" ht="18.75" x14ac:dyDescent="0.25">
      <c r="A142" s="313"/>
      <c r="B142" s="188"/>
      <c r="C142" s="682"/>
      <c r="D142" s="317"/>
      <c r="E142" s="318"/>
      <c r="F142" s="319"/>
      <c r="G142" s="320"/>
      <c r="H142" s="785"/>
    </row>
    <row r="143" spans="1:14" x14ac:dyDescent="0.25">
      <c r="A143" s="313"/>
      <c r="B143" s="188"/>
      <c r="C143" s="682"/>
      <c r="D143" s="317"/>
      <c r="E143" s="321"/>
      <c r="F143" s="322"/>
      <c r="G143" s="323"/>
      <c r="H143" s="785"/>
      <c r="K143"/>
    </row>
    <row r="144" spans="1:14" x14ac:dyDescent="0.25">
      <c r="A144" s="313"/>
      <c r="B144" s="188"/>
      <c r="C144" s="682"/>
      <c r="D144" s="317"/>
      <c r="E144" s="321"/>
      <c r="F144" s="322"/>
      <c r="G144" s="323"/>
      <c r="H144" s="785"/>
      <c r="K144"/>
    </row>
    <row r="145" spans="1:11" x14ac:dyDescent="0.25">
      <c r="A145" s="313"/>
      <c r="B145" s="188"/>
      <c r="C145" s="682"/>
      <c r="D145" s="317"/>
      <c r="E145" s="321"/>
      <c r="F145" s="322"/>
      <c r="G145" s="323"/>
      <c r="H145" s="785"/>
      <c r="K145"/>
    </row>
    <row r="146" spans="1:11" x14ac:dyDescent="0.25">
      <c r="A146" s="313"/>
      <c r="B146" s="188"/>
      <c r="C146" s="682"/>
      <c r="D146" s="317"/>
      <c r="E146" s="321"/>
      <c r="F146" s="322"/>
      <c r="G146" s="323"/>
      <c r="H146" s="785"/>
      <c r="K146"/>
    </row>
    <row r="147" spans="1:11" x14ac:dyDescent="0.25">
      <c r="A147" s="313"/>
      <c r="B147" s="188"/>
      <c r="C147" s="682"/>
      <c r="D147" s="317"/>
      <c r="E147" s="321"/>
      <c r="F147" s="322"/>
      <c r="G147" s="323"/>
      <c r="H147" s="785"/>
      <c r="K147"/>
    </row>
    <row r="148" spans="1:11" x14ac:dyDescent="0.25">
      <c r="A148" s="313"/>
      <c r="B148" s="188"/>
      <c r="C148" s="682"/>
      <c r="D148" s="317"/>
      <c r="E148" s="321"/>
      <c r="F148" s="322"/>
      <c r="G148" s="323"/>
      <c r="H148" s="785"/>
      <c r="K148"/>
    </row>
    <row r="149" spans="1:11" x14ac:dyDescent="0.25">
      <c r="A149" s="313"/>
      <c r="B149" s="188"/>
      <c r="C149" s="682"/>
      <c r="D149" s="317"/>
      <c r="E149" s="321"/>
      <c r="F149" s="322"/>
      <c r="G149" s="323"/>
      <c r="H149" s="785"/>
      <c r="K149"/>
    </row>
    <row r="150" spans="1:11" x14ac:dyDescent="0.25">
      <c r="A150" s="313"/>
      <c r="B150" s="324"/>
      <c r="C150" s="682"/>
      <c r="D150" s="260"/>
      <c r="E150" s="325"/>
      <c r="F150" s="326"/>
      <c r="G150" s="39"/>
      <c r="H150" s="785"/>
      <c r="K150"/>
    </row>
    <row r="151" spans="1:11" x14ac:dyDescent="0.25">
      <c r="A151" s="313"/>
      <c r="B151" s="324"/>
      <c r="C151" s="682"/>
      <c r="D151" s="260"/>
      <c r="E151" s="325"/>
      <c r="F151" s="326"/>
      <c r="G151" s="39"/>
      <c r="H151" s="785"/>
      <c r="K151"/>
    </row>
    <row r="152" spans="1:11" x14ac:dyDescent="0.25">
      <c r="A152" s="313"/>
      <c r="B152" s="324"/>
      <c r="C152" s="682"/>
      <c r="D152" s="260"/>
      <c r="E152" s="325"/>
      <c r="F152" s="326"/>
      <c r="G152" s="39"/>
      <c r="H152" s="785"/>
      <c r="K152"/>
    </row>
    <row r="153" spans="1:11" x14ac:dyDescent="0.25">
      <c r="A153" s="313"/>
      <c r="B153" s="324"/>
      <c r="C153" s="682"/>
      <c r="D153" s="260"/>
      <c r="E153" s="325"/>
      <c r="F153" s="326"/>
      <c r="G153" s="39"/>
      <c r="H153" s="785"/>
      <c r="K153"/>
    </row>
    <row r="154" spans="1:11" x14ac:dyDescent="0.25">
      <c r="A154" s="313"/>
      <c r="B154" s="324"/>
      <c r="C154" s="682"/>
      <c r="D154" s="260"/>
      <c r="E154" s="325"/>
      <c r="F154" s="326"/>
      <c r="G154" s="39"/>
      <c r="H154" s="785"/>
      <c r="K154"/>
    </row>
    <row r="155" spans="1:11" x14ac:dyDescent="0.25">
      <c r="A155" s="313"/>
      <c r="B155" s="324"/>
      <c r="C155" s="682"/>
      <c r="D155" s="260"/>
      <c r="E155" s="325"/>
      <c r="F155" s="326"/>
      <c r="G155" s="39"/>
      <c r="H155" s="785"/>
      <c r="K155"/>
    </row>
    <row r="156" spans="1:11" x14ac:dyDescent="0.25">
      <c r="A156" s="313"/>
      <c r="B156" s="324"/>
      <c r="C156" s="682"/>
      <c r="D156" s="260"/>
      <c r="E156" s="325"/>
      <c r="F156" s="326"/>
      <c r="G156" s="39"/>
      <c r="H156" s="785"/>
      <c r="K156"/>
    </row>
    <row r="157" spans="1:11" x14ac:dyDescent="0.25">
      <c r="A157" s="313"/>
      <c r="B157" s="324"/>
      <c r="C157" s="682"/>
      <c r="D157" s="260"/>
      <c r="E157" s="325"/>
      <c r="F157" s="326"/>
      <c r="G157" s="39"/>
      <c r="H157" s="785"/>
      <c r="K157"/>
    </row>
    <row r="158" spans="1:11" x14ac:dyDescent="0.25">
      <c r="A158" s="313"/>
      <c r="B158" s="324"/>
      <c r="C158" s="682"/>
      <c r="D158" s="260"/>
      <c r="E158" s="325"/>
      <c r="F158" s="326"/>
      <c r="G158" s="39"/>
      <c r="H158" s="785"/>
      <c r="K158"/>
    </row>
    <row r="159" spans="1:11" x14ac:dyDescent="0.25">
      <c r="A159" s="313"/>
      <c r="B159" s="324"/>
      <c r="C159" s="682"/>
      <c r="D159" s="260"/>
      <c r="E159" s="325"/>
      <c r="F159" s="326"/>
      <c r="G159" s="39"/>
      <c r="H159" s="785"/>
      <c r="K159"/>
    </row>
    <row r="160" spans="1:11" x14ac:dyDescent="0.25">
      <c r="A160" s="313"/>
      <c r="B160" s="324"/>
      <c r="C160" s="682"/>
      <c r="D160" s="260"/>
      <c r="E160" s="327"/>
      <c r="F160" s="328"/>
      <c r="G160" s="39"/>
      <c r="H160" s="785"/>
      <c r="K160"/>
    </row>
    <row r="161" spans="1:11" x14ac:dyDescent="0.25">
      <c r="A161" s="183"/>
      <c r="B161" s="324"/>
      <c r="C161" s="684"/>
      <c r="D161" s="260"/>
      <c r="E161" s="327"/>
      <c r="F161" s="328"/>
      <c r="G161" s="39"/>
      <c r="H161" s="785"/>
      <c r="K161"/>
    </row>
    <row r="162" spans="1:11" x14ac:dyDescent="0.25">
      <c r="B162" s="324"/>
      <c r="C162" s="684"/>
      <c r="D162" s="260"/>
      <c r="E162" s="327"/>
      <c r="F162" s="328"/>
      <c r="G162" s="39"/>
      <c r="H162" s="785"/>
      <c r="K162"/>
    </row>
    <row r="163" spans="1:11" x14ac:dyDescent="0.25">
      <c r="B163" s="324"/>
      <c r="C163" s="684"/>
      <c r="D163" s="260"/>
      <c r="E163" s="327"/>
      <c r="F163" s="328"/>
      <c r="G163" s="39"/>
      <c r="H163" s="785"/>
      <c r="K163"/>
    </row>
    <row r="164" spans="1:11" x14ac:dyDescent="0.25">
      <c r="B164" s="324"/>
      <c r="C164" s="684"/>
      <c r="D164" s="260"/>
      <c r="E164" s="327"/>
      <c r="F164" s="328"/>
      <c r="G164" s="39"/>
      <c r="H164" s="785"/>
      <c r="K164"/>
    </row>
    <row r="165" spans="1:11" x14ac:dyDescent="0.25">
      <c r="B165" s="324"/>
      <c r="C165" s="684"/>
      <c r="D165" s="260"/>
      <c r="E165" s="327"/>
      <c r="F165" s="328"/>
      <c r="G165" s="39"/>
      <c r="H165" s="785"/>
      <c r="K165"/>
    </row>
    <row r="166" spans="1:11" x14ac:dyDescent="0.25">
      <c r="A166" s="290"/>
      <c r="B166" s="324"/>
      <c r="C166" s="684"/>
      <c r="D166" s="260"/>
      <c r="E166" s="327"/>
      <c r="F166" s="328"/>
      <c r="G166" s="27"/>
      <c r="H166" s="785"/>
      <c r="K166"/>
    </row>
    <row r="167" spans="1:11" x14ac:dyDescent="0.25">
      <c r="B167" s="324"/>
      <c r="C167" s="684"/>
      <c r="D167" s="260"/>
      <c r="E167" s="327"/>
      <c r="F167" s="328"/>
      <c r="G167" s="330"/>
      <c r="H167" s="785"/>
      <c r="K167"/>
    </row>
    <row r="168" spans="1:11" x14ac:dyDescent="0.25">
      <c r="B168" s="188"/>
      <c r="C168" s="684"/>
      <c r="D168" s="331"/>
      <c r="E168" s="311"/>
      <c r="F168" s="316"/>
      <c r="G168" s="330"/>
      <c r="H168" s="785"/>
      <c r="K168"/>
    </row>
    <row r="169" spans="1:11" x14ac:dyDescent="0.25">
      <c r="B169" s="188"/>
      <c r="C169" s="684"/>
      <c r="D169" s="331"/>
      <c r="E169" s="311"/>
      <c r="F169" s="316"/>
      <c r="G169" s="330"/>
      <c r="H169" s="785"/>
      <c r="K169"/>
    </row>
    <row r="170" spans="1:11" x14ac:dyDescent="0.25">
      <c r="B170" s="188"/>
      <c r="C170" s="684"/>
      <c r="D170" s="331"/>
      <c r="E170" s="311"/>
      <c r="F170" s="316"/>
      <c r="G170" s="330"/>
      <c r="H170" s="785"/>
      <c r="K170"/>
    </row>
    <row r="171" spans="1:11" x14ac:dyDescent="0.25">
      <c r="B171" s="188"/>
      <c r="C171" s="684"/>
      <c r="D171" s="331"/>
      <c r="E171" s="311"/>
      <c r="F171" s="316"/>
      <c r="G171" s="330"/>
      <c r="H171" s="785"/>
      <c r="K171"/>
    </row>
    <row r="172" spans="1:11" x14ac:dyDescent="0.25">
      <c r="B172" s="188"/>
      <c r="C172" s="684"/>
      <c r="D172" s="331"/>
      <c r="E172" s="311"/>
      <c r="F172" s="316"/>
      <c r="G172" s="330"/>
      <c r="H172" s="785"/>
      <c r="K172"/>
    </row>
    <row r="173" spans="1:11" x14ac:dyDescent="0.25">
      <c r="B173" s="188"/>
      <c r="C173" s="684"/>
      <c r="D173" s="331"/>
      <c r="E173" s="311"/>
      <c r="F173" s="316"/>
      <c r="G173" s="330"/>
      <c r="H173" s="785"/>
      <c r="K173"/>
    </row>
    <row r="174" spans="1:11" x14ac:dyDescent="0.25">
      <c r="B174" s="188"/>
      <c r="C174" s="684"/>
      <c r="D174" s="331"/>
      <c r="E174" s="311"/>
      <c r="F174" s="316"/>
      <c r="G174" s="330"/>
      <c r="H174" s="785"/>
      <c r="K174"/>
    </row>
  </sheetData>
  <mergeCells count="2">
    <mergeCell ref="A1:G1"/>
    <mergeCell ref="E137:F137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GZ112"/>
  <sheetViews>
    <sheetView topLeftCell="J1" workbookViewId="0">
      <pane xSplit="4" ySplit="1" topLeftCell="GY35" activePane="bottomRight" state="frozen"/>
      <selection activeCell="J1" sqref="J1"/>
      <selection pane="topRight" activeCell="N1" sqref="N1"/>
      <selection pane="bottomLeft" activeCell="J2" sqref="J2"/>
      <selection pane="bottomRight" activeCell="HJ8" sqref="HJ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3" style="25" bestFit="1" customWidth="1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207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810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32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39" t="s">
        <v>16</v>
      </c>
      <c r="L3" s="540" t="s">
        <v>17</v>
      </c>
      <c r="M3" s="541" t="s">
        <v>18</v>
      </c>
      <c r="N3" s="542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54"/>
      <c r="GZ3" s="55"/>
    </row>
    <row r="4" spans="1:208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812</v>
      </c>
      <c r="K4" s="449" t="s">
        <v>59</v>
      </c>
      <c r="L4" s="538">
        <v>17900</v>
      </c>
      <c r="M4" s="102">
        <v>43009</v>
      </c>
      <c r="N4" s="103" t="s">
        <v>884</v>
      </c>
      <c r="O4" s="351">
        <v>25845</v>
      </c>
      <c r="P4" s="60">
        <f t="shared" ref="P4:P72" si="0">O4-L4</f>
        <v>7945</v>
      </c>
      <c r="Q4" s="333">
        <v>26</v>
      </c>
      <c r="R4" s="567"/>
      <c r="S4" s="567"/>
      <c r="T4" s="39">
        <f>Q4*O4</f>
        <v>671970</v>
      </c>
      <c r="U4" s="61" t="s">
        <v>885</v>
      </c>
      <c r="V4" s="62">
        <v>43031</v>
      </c>
      <c r="W4" s="63">
        <v>17342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508">
        <v>43031</v>
      </c>
      <c r="GU4" s="622">
        <v>19800</v>
      </c>
      <c r="GV4" s="221" t="s">
        <v>993</v>
      </c>
      <c r="GW4" s="31"/>
      <c r="GX4" s="31"/>
      <c r="GY4" s="656" t="s">
        <v>1165</v>
      </c>
      <c r="GZ4" s="521">
        <v>3248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813</v>
      </c>
      <c r="K5" s="407" t="s">
        <v>814</v>
      </c>
      <c r="L5" s="77">
        <v>11540</v>
      </c>
      <c r="M5" s="71">
        <v>43009</v>
      </c>
      <c r="N5" s="56" t="s">
        <v>886</v>
      </c>
      <c r="O5" s="27">
        <v>11320</v>
      </c>
      <c r="P5" s="60">
        <f t="shared" si="0"/>
        <v>-220</v>
      </c>
      <c r="Q5" s="29">
        <v>26</v>
      </c>
      <c r="R5" s="57"/>
      <c r="S5" s="57"/>
      <c r="T5" s="39">
        <f>Q5*O5</f>
        <v>294320</v>
      </c>
      <c r="U5" s="336" t="s">
        <v>885</v>
      </c>
      <c r="V5" s="166">
        <v>43032</v>
      </c>
      <c r="W5" s="86">
        <v>7464.6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43032</v>
      </c>
      <c r="GU5" s="64">
        <v>17584</v>
      </c>
      <c r="GV5" s="65" t="s">
        <v>849</v>
      </c>
      <c r="GW5" s="66"/>
      <c r="GX5" s="66"/>
      <c r="GY5" s="405" t="s">
        <v>1165</v>
      </c>
      <c r="GZ5" s="404">
        <v>2088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815</v>
      </c>
      <c r="K6" s="407" t="s">
        <v>59</v>
      </c>
      <c r="L6" s="77">
        <v>19730</v>
      </c>
      <c r="M6" s="71">
        <v>43010</v>
      </c>
      <c r="N6" s="56" t="s">
        <v>887</v>
      </c>
      <c r="O6" s="27">
        <v>25290</v>
      </c>
      <c r="P6" s="60">
        <f t="shared" si="0"/>
        <v>5560</v>
      </c>
      <c r="Q6" s="29">
        <v>26</v>
      </c>
      <c r="R6" s="57"/>
      <c r="S6" s="57"/>
      <c r="T6" s="39">
        <f t="shared" ref="T6:T74" si="1">Q6*O6</f>
        <v>657540</v>
      </c>
      <c r="U6" s="336" t="s">
        <v>885</v>
      </c>
      <c r="V6" s="166">
        <v>43032</v>
      </c>
      <c r="W6" s="86">
        <v>17342</v>
      </c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>
        <v>43032</v>
      </c>
      <c r="GU6" s="64">
        <v>22176</v>
      </c>
      <c r="GV6" s="65" t="s">
        <v>850</v>
      </c>
      <c r="GW6" s="66"/>
      <c r="GX6" s="66"/>
      <c r="GY6" s="405" t="s">
        <v>1165</v>
      </c>
      <c r="GZ6" s="404">
        <v>3712</v>
      </c>
    </row>
    <row r="7" spans="1:208" ht="30" x14ac:dyDescent="0.25">
      <c r="B7" s="34"/>
      <c r="C7" s="34"/>
      <c r="D7" s="35"/>
      <c r="E7" s="36"/>
      <c r="F7" s="37"/>
      <c r="G7" s="38"/>
      <c r="H7" s="39"/>
      <c r="I7" s="40"/>
      <c r="J7" s="68" t="s">
        <v>816</v>
      </c>
      <c r="K7" s="407" t="s">
        <v>890</v>
      </c>
      <c r="L7" s="70">
        <v>23390</v>
      </c>
      <c r="M7" s="71">
        <v>43011</v>
      </c>
      <c r="N7" s="56" t="s">
        <v>891</v>
      </c>
      <c r="O7" s="72">
        <f>29680+325</f>
        <v>30005</v>
      </c>
      <c r="P7" s="60">
        <f t="shared" si="0"/>
        <v>6615</v>
      </c>
      <c r="Q7" s="64">
        <v>26</v>
      </c>
      <c r="R7" s="57"/>
      <c r="S7" s="57"/>
      <c r="T7" s="39">
        <f t="shared" si="1"/>
        <v>780130</v>
      </c>
      <c r="U7" s="82" t="s">
        <v>885</v>
      </c>
      <c r="V7" s="339">
        <v>43033</v>
      </c>
      <c r="W7" s="340">
        <f>19453.2+226.2</f>
        <v>19679.400000000001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43033</v>
      </c>
      <c r="GU7" s="623">
        <v>19800</v>
      </c>
      <c r="GV7" s="65" t="s">
        <v>993</v>
      </c>
      <c r="GW7" s="74"/>
      <c r="GX7" s="74"/>
      <c r="GY7" s="403" t="s">
        <v>1165</v>
      </c>
      <c r="GZ7" s="522">
        <v>3712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817</v>
      </c>
      <c r="K8" s="407" t="s">
        <v>40</v>
      </c>
      <c r="L8" s="77">
        <v>18480</v>
      </c>
      <c r="M8" s="71">
        <v>43012</v>
      </c>
      <c r="N8" s="56" t="s">
        <v>903</v>
      </c>
      <c r="O8" s="78">
        <v>23800</v>
      </c>
      <c r="P8" s="60">
        <f t="shared" si="0"/>
        <v>5320</v>
      </c>
      <c r="Q8" s="79">
        <v>26</v>
      </c>
      <c r="R8" s="80"/>
      <c r="S8" s="81"/>
      <c r="T8" s="39">
        <f t="shared" si="1"/>
        <v>618800</v>
      </c>
      <c r="U8" s="82" t="s">
        <v>885</v>
      </c>
      <c r="V8" s="339">
        <v>43034</v>
      </c>
      <c r="W8" s="340">
        <v>16588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515">
        <v>43034</v>
      </c>
      <c r="GU8" s="73">
        <v>22176</v>
      </c>
      <c r="GV8" s="84" t="s">
        <v>851</v>
      </c>
      <c r="GW8" s="74"/>
      <c r="GX8" s="74"/>
      <c r="GY8" s="403" t="s">
        <v>1165</v>
      </c>
      <c r="GZ8" s="404">
        <v>3248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564</v>
      </c>
      <c r="K9" s="407" t="s">
        <v>46</v>
      </c>
      <c r="L9" s="77">
        <v>11410</v>
      </c>
      <c r="M9" s="71">
        <v>43013</v>
      </c>
      <c r="N9" s="56" t="s">
        <v>906</v>
      </c>
      <c r="O9" s="78">
        <v>11015</v>
      </c>
      <c r="P9" s="60">
        <f t="shared" si="0"/>
        <v>-395</v>
      </c>
      <c r="Q9" s="79">
        <v>25.5</v>
      </c>
      <c r="R9" s="64"/>
      <c r="S9" s="89"/>
      <c r="T9" s="39">
        <f t="shared" si="1"/>
        <v>280882.5</v>
      </c>
      <c r="U9" s="90" t="s">
        <v>885</v>
      </c>
      <c r="V9" s="83">
        <v>43035</v>
      </c>
      <c r="W9" s="91">
        <v>7540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97">
        <v>43035</v>
      </c>
      <c r="GU9" s="98">
        <v>17584</v>
      </c>
      <c r="GV9" s="65" t="s">
        <v>854</v>
      </c>
      <c r="GW9" s="74"/>
      <c r="GX9" s="74"/>
      <c r="GY9" s="403" t="s">
        <v>1165</v>
      </c>
      <c r="GZ9" s="404">
        <v>2088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905</v>
      </c>
      <c r="K10" s="407" t="s">
        <v>59</v>
      </c>
      <c r="L10" s="77">
        <v>17640</v>
      </c>
      <c r="M10" s="71">
        <v>43013</v>
      </c>
      <c r="N10" s="56" t="s">
        <v>904</v>
      </c>
      <c r="O10" s="78">
        <v>26440</v>
      </c>
      <c r="P10" s="60">
        <f t="shared" si="0"/>
        <v>8800</v>
      </c>
      <c r="Q10" s="79">
        <v>25.5</v>
      </c>
      <c r="R10" s="64"/>
      <c r="S10" s="89"/>
      <c r="T10" s="39">
        <f t="shared" si="1"/>
        <v>674220</v>
      </c>
      <c r="U10" s="90" t="s">
        <v>885</v>
      </c>
      <c r="V10" s="83">
        <v>43035</v>
      </c>
      <c r="W10" s="91">
        <v>15080</v>
      </c>
      <c r="X10" s="17"/>
      <c r="Y10" s="20"/>
      <c r="Z10" s="92"/>
      <c r="AA10" s="93"/>
      <c r="AB10" s="92"/>
      <c r="AC10" s="94"/>
      <c r="AD10" s="95"/>
      <c r="AE10" s="17"/>
      <c r="AF10" s="17"/>
      <c r="AG10" s="17"/>
      <c r="AH10" s="20"/>
      <c r="AI10" s="92"/>
      <c r="AJ10" s="93"/>
      <c r="AK10" s="92"/>
      <c r="AL10" s="94"/>
      <c r="AM10" s="95"/>
      <c r="AN10" s="17"/>
      <c r="AO10" s="17"/>
      <c r="AP10" s="17"/>
      <c r="AQ10" s="20"/>
      <c r="AR10" s="92"/>
      <c r="AS10" s="93"/>
      <c r="AT10" s="92"/>
      <c r="AU10" s="94"/>
      <c r="AV10" s="95"/>
      <c r="AW10" s="17"/>
      <c r="AX10" s="17"/>
      <c r="AY10" s="17"/>
      <c r="AZ10" s="20"/>
      <c r="BA10" s="92"/>
      <c r="BB10" s="93"/>
      <c r="BC10" s="92"/>
      <c r="BD10" s="94"/>
      <c r="BE10" s="95"/>
      <c r="BF10" s="17"/>
      <c r="BG10" s="17"/>
      <c r="BH10" s="17"/>
      <c r="BI10" s="20"/>
      <c r="BJ10" s="92"/>
      <c r="BK10" s="93"/>
      <c r="BL10" s="92"/>
      <c r="BM10" s="94"/>
      <c r="BN10" s="95"/>
      <c r="BO10" s="17"/>
      <c r="BP10" s="17"/>
      <c r="BQ10" s="17"/>
      <c r="BR10" s="20"/>
      <c r="BS10" s="92"/>
      <c r="BT10" s="93"/>
      <c r="BU10" s="92"/>
      <c r="BV10" s="94"/>
      <c r="BW10" s="95"/>
      <c r="BX10" s="17"/>
      <c r="BY10" s="17"/>
      <c r="BZ10" s="17"/>
      <c r="CA10" s="20"/>
      <c r="CB10" s="92"/>
      <c r="CC10" s="93"/>
      <c r="CD10" s="92"/>
      <c r="CE10" s="94"/>
      <c r="CF10" s="95"/>
      <c r="CG10" s="17"/>
      <c r="CH10" s="17"/>
      <c r="CI10" s="17"/>
      <c r="CJ10" s="20"/>
      <c r="CK10" s="92"/>
      <c r="CL10" s="93"/>
      <c r="CM10" s="92"/>
      <c r="CN10" s="94"/>
      <c r="CO10" s="95"/>
      <c r="CP10" s="17"/>
      <c r="CQ10" s="17"/>
      <c r="CR10" s="17"/>
      <c r="CS10" s="20"/>
      <c r="CT10" s="92"/>
      <c r="CU10" s="93"/>
      <c r="CV10" s="96"/>
      <c r="CW10" s="94"/>
      <c r="CX10" s="95"/>
      <c r="CY10" s="17"/>
      <c r="CZ10" s="17"/>
      <c r="DA10" s="17"/>
      <c r="DB10" s="20"/>
      <c r="DC10" s="92"/>
      <c r="DD10" s="93"/>
      <c r="DE10" s="92"/>
      <c r="DF10" s="94"/>
      <c r="DG10" s="95"/>
      <c r="DH10" s="17"/>
      <c r="DI10" s="17"/>
      <c r="DJ10" s="17"/>
      <c r="DK10" s="20"/>
      <c r="DL10" s="92"/>
      <c r="DM10" s="93"/>
      <c r="DN10" s="92"/>
      <c r="DO10" s="94"/>
      <c r="DP10" s="95"/>
      <c r="DQ10" s="17"/>
      <c r="DR10" s="17"/>
      <c r="DS10" s="17"/>
      <c r="DT10" s="20"/>
      <c r="DU10" s="92"/>
      <c r="DV10" s="93"/>
      <c r="DW10" s="92"/>
      <c r="DX10" s="94"/>
      <c r="DY10" s="95"/>
      <c r="DZ10" s="17"/>
      <c r="EA10" s="17"/>
      <c r="EB10" s="17"/>
      <c r="EC10" s="20"/>
      <c r="ED10" s="92"/>
      <c r="EE10" s="93"/>
      <c r="EF10" s="92"/>
      <c r="EG10" s="94"/>
      <c r="EH10" s="95"/>
      <c r="EI10" s="17"/>
      <c r="EJ10" s="17"/>
      <c r="EK10" s="17"/>
      <c r="EL10" s="20"/>
      <c r="EM10" s="92"/>
      <c r="EN10" s="93"/>
      <c r="EO10" s="92"/>
      <c r="EP10" s="94"/>
      <c r="EQ10" s="95"/>
      <c r="ER10" s="17"/>
      <c r="ES10" s="17"/>
      <c r="ET10" s="17"/>
      <c r="EU10" s="20"/>
      <c r="EV10" s="92"/>
      <c r="EW10" s="93"/>
      <c r="EX10" s="92"/>
      <c r="EY10" s="94"/>
      <c r="EZ10" s="95"/>
      <c r="FA10" s="17"/>
      <c r="FB10" s="17"/>
      <c r="FC10" s="17"/>
      <c r="FD10" s="20"/>
      <c r="FE10" s="92"/>
      <c r="FF10" s="93"/>
      <c r="FG10" s="92"/>
      <c r="FH10" s="94"/>
      <c r="FI10" s="95"/>
      <c r="FJ10" s="17"/>
      <c r="FK10" s="17"/>
      <c r="FL10" s="17"/>
      <c r="FM10" s="20"/>
      <c r="FN10" s="92"/>
      <c r="FO10" s="93"/>
      <c r="FP10" s="92"/>
      <c r="FQ10" s="94"/>
      <c r="FR10" s="95"/>
      <c r="FS10" s="17"/>
      <c r="FT10" s="17"/>
      <c r="FU10" s="17"/>
      <c r="FV10" s="20"/>
      <c r="FW10" s="92"/>
      <c r="FX10" s="93"/>
      <c r="FY10" s="92"/>
      <c r="FZ10" s="94"/>
      <c r="GA10" s="95"/>
      <c r="GB10" s="17"/>
      <c r="GC10" s="17"/>
      <c r="GD10" s="17"/>
      <c r="GE10" s="20"/>
      <c r="GF10" s="92"/>
      <c r="GG10" s="93"/>
      <c r="GH10" s="92"/>
      <c r="GI10" s="94"/>
      <c r="GJ10" s="95"/>
      <c r="GK10" s="17"/>
      <c r="GL10" s="17"/>
      <c r="GM10" s="17"/>
      <c r="GN10" s="20"/>
      <c r="GO10" s="92"/>
      <c r="GP10" s="93"/>
      <c r="GQ10" s="92"/>
      <c r="GR10" s="94"/>
      <c r="GS10" s="95"/>
      <c r="GT10" s="97">
        <v>43035</v>
      </c>
      <c r="GU10" s="624">
        <v>19800</v>
      </c>
      <c r="GV10" s="65" t="s">
        <v>993</v>
      </c>
      <c r="GW10" s="74"/>
      <c r="GX10" s="74"/>
      <c r="GY10" s="403" t="s">
        <v>1165</v>
      </c>
      <c r="GZ10" s="404">
        <v>3248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818</v>
      </c>
      <c r="K11" s="407" t="s">
        <v>37</v>
      </c>
      <c r="L11" s="70">
        <v>17990</v>
      </c>
      <c r="M11" s="71">
        <v>43014</v>
      </c>
      <c r="N11" s="56" t="s">
        <v>917</v>
      </c>
      <c r="O11" s="72">
        <v>22810</v>
      </c>
      <c r="P11" s="60">
        <f t="shared" si="0"/>
        <v>4820</v>
      </c>
      <c r="Q11" s="64">
        <v>25.5</v>
      </c>
      <c r="R11" s="64"/>
      <c r="S11" s="99"/>
      <c r="T11" s="39">
        <f t="shared" si="1"/>
        <v>581655</v>
      </c>
      <c r="U11" s="90" t="s">
        <v>885</v>
      </c>
      <c r="V11" s="83">
        <v>43038</v>
      </c>
      <c r="W11" s="91">
        <v>15080</v>
      </c>
      <c r="X11" s="17"/>
      <c r="Y11" s="20"/>
      <c r="Z11" s="92"/>
      <c r="AA11" s="93"/>
      <c r="AB11" s="92"/>
      <c r="AC11" s="94"/>
      <c r="AD11" s="95"/>
      <c r="AE11" s="17"/>
      <c r="AF11" s="17"/>
      <c r="AG11" s="17"/>
      <c r="AH11" s="20"/>
      <c r="AI11" s="92"/>
      <c r="AJ11" s="93"/>
      <c r="AK11" s="92"/>
      <c r="AL11" s="94"/>
      <c r="AM11" s="95"/>
      <c r="AN11" s="17"/>
      <c r="AO11" s="17"/>
      <c r="AP11" s="17"/>
      <c r="AQ11" s="20"/>
      <c r="AR11" s="92"/>
      <c r="AS11" s="93"/>
      <c r="AT11" s="92"/>
      <c r="AU11" s="94"/>
      <c r="AV11" s="95"/>
      <c r="AW11" s="17"/>
      <c r="AX11" s="17"/>
      <c r="AY11" s="17"/>
      <c r="AZ11" s="20"/>
      <c r="BA11" s="92"/>
      <c r="BB11" s="93"/>
      <c r="BC11" s="92"/>
      <c r="BD11" s="94"/>
      <c r="BE11" s="95"/>
      <c r="BF11" s="17"/>
      <c r="BG11" s="17"/>
      <c r="BH11" s="17"/>
      <c r="BI11" s="20"/>
      <c r="BJ11" s="92"/>
      <c r="BK11" s="93"/>
      <c r="BL11" s="92"/>
      <c r="BM11" s="94"/>
      <c r="BN11" s="95"/>
      <c r="BO11" s="17"/>
      <c r="BP11" s="17"/>
      <c r="BQ11" s="17"/>
      <c r="BR11" s="20"/>
      <c r="BS11" s="92"/>
      <c r="BT11" s="93"/>
      <c r="BU11" s="92"/>
      <c r="BV11" s="94"/>
      <c r="BW11" s="95"/>
      <c r="BX11" s="17"/>
      <c r="BY11" s="17"/>
      <c r="BZ11" s="17"/>
      <c r="CA11" s="20"/>
      <c r="CB11" s="92"/>
      <c r="CC11" s="93"/>
      <c r="CD11" s="92"/>
      <c r="CE11" s="94"/>
      <c r="CF11" s="95"/>
      <c r="CG11" s="17"/>
      <c r="CH11" s="17"/>
      <c r="CI11" s="17"/>
      <c r="CJ11" s="20"/>
      <c r="CK11" s="92"/>
      <c r="CL11" s="93"/>
      <c r="CM11" s="92"/>
      <c r="CN11" s="94"/>
      <c r="CO11" s="95"/>
      <c r="CP11" s="17"/>
      <c r="CQ11" s="17"/>
      <c r="CR11" s="17"/>
      <c r="CS11" s="20"/>
      <c r="CT11" s="92"/>
      <c r="CU11" s="93"/>
      <c r="CV11" s="96"/>
      <c r="CW11" s="94"/>
      <c r="CX11" s="95"/>
      <c r="CY11" s="17"/>
      <c r="CZ11" s="17"/>
      <c r="DA11" s="17"/>
      <c r="DB11" s="20"/>
      <c r="DC11" s="92"/>
      <c r="DD11" s="93"/>
      <c r="DE11" s="92"/>
      <c r="DF11" s="94"/>
      <c r="DG11" s="95"/>
      <c r="DH11" s="17"/>
      <c r="DI11" s="17"/>
      <c r="DJ11" s="17"/>
      <c r="DK11" s="20"/>
      <c r="DL11" s="92"/>
      <c r="DM11" s="93"/>
      <c r="DN11" s="92"/>
      <c r="DO11" s="94"/>
      <c r="DP11" s="95"/>
      <c r="DQ11" s="17"/>
      <c r="DR11" s="17"/>
      <c r="DS11" s="17"/>
      <c r="DT11" s="20"/>
      <c r="DU11" s="92"/>
      <c r="DV11" s="93"/>
      <c r="DW11" s="92"/>
      <c r="DX11" s="94"/>
      <c r="DY11" s="95"/>
      <c r="DZ11" s="17"/>
      <c r="EA11" s="17"/>
      <c r="EB11" s="17"/>
      <c r="EC11" s="20"/>
      <c r="ED11" s="92"/>
      <c r="EE11" s="93"/>
      <c r="EF11" s="92"/>
      <c r="EG11" s="94"/>
      <c r="EH11" s="95"/>
      <c r="EI11" s="17"/>
      <c r="EJ11" s="17"/>
      <c r="EK11" s="17"/>
      <c r="EL11" s="20"/>
      <c r="EM11" s="92"/>
      <c r="EN11" s="93"/>
      <c r="EO11" s="92"/>
      <c r="EP11" s="94"/>
      <c r="EQ11" s="95"/>
      <c r="ER11" s="17"/>
      <c r="ES11" s="17"/>
      <c r="ET11" s="17"/>
      <c r="EU11" s="20"/>
      <c r="EV11" s="92"/>
      <c r="EW11" s="93"/>
      <c r="EX11" s="92"/>
      <c r="EY11" s="94"/>
      <c r="EZ11" s="95"/>
      <c r="FA11" s="17"/>
      <c r="FB11" s="17"/>
      <c r="FC11" s="17"/>
      <c r="FD11" s="20"/>
      <c r="FE11" s="92"/>
      <c r="FF11" s="93"/>
      <c r="FG11" s="92"/>
      <c r="FH11" s="94"/>
      <c r="FI11" s="95"/>
      <c r="FJ11" s="17"/>
      <c r="FK11" s="17"/>
      <c r="FL11" s="17"/>
      <c r="FM11" s="20"/>
      <c r="FN11" s="92"/>
      <c r="FO11" s="93"/>
      <c r="FP11" s="92"/>
      <c r="FQ11" s="94"/>
      <c r="FR11" s="95"/>
      <c r="FS11" s="17"/>
      <c r="FT11" s="17"/>
      <c r="FU11" s="17"/>
      <c r="FV11" s="20"/>
      <c r="FW11" s="92"/>
      <c r="FX11" s="93"/>
      <c r="FY11" s="92"/>
      <c r="FZ11" s="94"/>
      <c r="GA11" s="95"/>
      <c r="GB11" s="17"/>
      <c r="GC11" s="17"/>
      <c r="GD11" s="17"/>
      <c r="GE11" s="20"/>
      <c r="GF11" s="92"/>
      <c r="GG11" s="93"/>
      <c r="GH11" s="92"/>
      <c r="GI11" s="94"/>
      <c r="GJ11" s="95"/>
      <c r="GK11" s="17"/>
      <c r="GL11" s="17"/>
      <c r="GM11" s="17"/>
      <c r="GN11" s="20"/>
      <c r="GO11" s="92"/>
      <c r="GP11" s="93"/>
      <c r="GQ11" s="92"/>
      <c r="GR11" s="94"/>
      <c r="GS11" s="95"/>
      <c r="GT11" s="97">
        <v>43038</v>
      </c>
      <c r="GU11" s="98">
        <v>22176</v>
      </c>
      <c r="GV11" s="65" t="s">
        <v>856</v>
      </c>
      <c r="GW11" s="74"/>
      <c r="GX11" s="74"/>
      <c r="GY11" s="403" t="s">
        <v>1165</v>
      </c>
      <c r="GZ11" s="404">
        <v>3248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33</v>
      </c>
      <c r="K12" s="449" t="s">
        <v>155</v>
      </c>
      <c r="L12" s="101">
        <v>10410</v>
      </c>
      <c r="M12" s="102">
        <v>43014</v>
      </c>
      <c r="N12" s="103" t="s">
        <v>918</v>
      </c>
      <c r="O12" s="104">
        <v>13700</v>
      </c>
      <c r="P12" s="60">
        <f t="shared" si="0"/>
        <v>3290</v>
      </c>
      <c r="Q12" s="29">
        <v>25.5</v>
      </c>
      <c r="R12" s="105"/>
      <c r="S12" s="106"/>
      <c r="T12" s="39">
        <f t="shared" si="1"/>
        <v>349350</v>
      </c>
      <c r="U12" s="107" t="s">
        <v>885</v>
      </c>
      <c r="V12" s="108">
        <v>43038</v>
      </c>
      <c r="W12" s="109">
        <v>9802</v>
      </c>
      <c r="X12" s="17"/>
      <c r="Y12" s="20"/>
      <c r="Z12" s="92"/>
      <c r="AA12" s="93"/>
      <c r="AB12" s="92"/>
      <c r="AC12" s="94"/>
      <c r="AD12" s="95"/>
      <c r="AE12" s="17"/>
      <c r="AF12" s="17"/>
      <c r="AG12" s="17"/>
      <c r="AH12" s="20"/>
      <c r="AI12" s="92"/>
      <c r="AJ12" s="93"/>
      <c r="AK12" s="92"/>
      <c r="AL12" s="94"/>
      <c r="AM12" s="95"/>
      <c r="AN12" s="17"/>
      <c r="AO12" s="17"/>
      <c r="AP12" s="17"/>
      <c r="AQ12" s="20"/>
      <c r="AR12" s="92"/>
      <c r="AS12" s="93"/>
      <c r="AT12" s="92"/>
      <c r="AU12" s="94"/>
      <c r="AV12" s="95"/>
      <c r="AW12" s="17"/>
      <c r="AX12" s="17"/>
      <c r="AY12" s="17"/>
      <c r="AZ12" s="20"/>
      <c r="BA12" s="92"/>
      <c r="BB12" s="93"/>
      <c r="BC12" s="92"/>
      <c r="BD12" s="94"/>
      <c r="BE12" s="95"/>
      <c r="BF12" s="17"/>
      <c r="BG12" s="17"/>
      <c r="BH12" s="17"/>
      <c r="BI12" s="20"/>
      <c r="BJ12" s="92"/>
      <c r="BK12" s="93"/>
      <c r="BL12" s="92"/>
      <c r="BM12" s="94"/>
      <c r="BN12" s="95"/>
      <c r="BO12" s="17"/>
      <c r="BP12" s="17"/>
      <c r="BQ12" s="17"/>
      <c r="BR12" s="20"/>
      <c r="BS12" s="92"/>
      <c r="BT12" s="93"/>
      <c r="BU12" s="92"/>
      <c r="BV12" s="94"/>
      <c r="BW12" s="95"/>
      <c r="BX12" s="17"/>
      <c r="BY12" s="17"/>
      <c r="BZ12" s="17"/>
      <c r="CA12" s="20"/>
      <c r="CB12" s="92"/>
      <c r="CC12" s="93"/>
      <c r="CD12" s="92"/>
      <c r="CE12" s="94"/>
      <c r="CF12" s="95"/>
      <c r="CG12" s="17"/>
      <c r="CH12" s="17"/>
      <c r="CI12" s="17"/>
      <c r="CJ12" s="20"/>
      <c r="CK12" s="92"/>
      <c r="CL12" s="93"/>
      <c r="CM12" s="92"/>
      <c r="CN12" s="94"/>
      <c r="CO12" s="95"/>
      <c r="CP12" s="17"/>
      <c r="CQ12" s="17"/>
      <c r="CR12" s="17"/>
      <c r="CS12" s="20"/>
      <c r="CT12" s="92"/>
      <c r="CU12" s="93"/>
      <c r="CV12" s="96"/>
      <c r="CW12" s="94"/>
      <c r="CX12" s="95"/>
      <c r="CY12" s="17"/>
      <c r="CZ12" s="17"/>
      <c r="DA12" s="17"/>
      <c r="DB12" s="20"/>
      <c r="DC12" s="92"/>
      <c r="DD12" s="93"/>
      <c r="DE12" s="92"/>
      <c r="DF12" s="94"/>
      <c r="DG12" s="95"/>
      <c r="DH12" s="17"/>
      <c r="DI12" s="17"/>
      <c r="DJ12" s="17"/>
      <c r="DK12" s="20"/>
      <c r="DL12" s="92"/>
      <c r="DM12" s="93"/>
      <c r="DN12" s="92"/>
      <c r="DO12" s="94"/>
      <c r="DP12" s="95"/>
      <c r="DQ12" s="17"/>
      <c r="DR12" s="17"/>
      <c r="DS12" s="17"/>
      <c r="DT12" s="20"/>
      <c r="DU12" s="92"/>
      <c r="DV12" s="93"/>
      <c r="DW12" s="92"/>
      <c r="DX12" s="94"/>
      <c r="DY12" s="95"/>
      <c r="DZ12" s="17"/>
      <c r="EA12" s="17"/>
      <c r="EB12" s="17"/>
      <c r="EC12" s="20"/>
      <c r="ED12" s="92"/>
      <c r="EE12" s="93"/>
      <c r="EF12" s="92"/>
      <c r="EG12" s="94"/>
      <c r="EH12" s="95"/>
      <c r="EI12" s="17"/>
      <c r="EJ12" s="17"/>
      <c r="EK12" s="17"/>
      <c r="EL12" s="20"/>
      <c r="EM12" s="92"/>
      <c r="EN12" s="93"/>
      <c r="EO12" s="92"/>
      <c r="EP12" s="94"/>
      <c r="EQ12" s="95"/>
      <c r="ER12" s="17"/>
      <c r="ES12" s="17"/>
      <c r="ET12" s="17"/>
      <c r="EU12" s="20"/>
      <c r="EV12" s="92"/>
      <c r="EW12" s="93"/>
      <c r="EX12" s="92"/>
      <c r="EY12" s="94"/>
      <c r="EZ12" s="95"/>
      <c r="FA12" s="17"/>
      <c r="FB12" s="17"/>
      <c r="FC12" s="17"/>
      <c r="FD12" s="20"/>
      <c r="FE12" s="92"/>
      <c r="FF12" s="93"/>
      <c r="FG12" s="92"/>
      <c r="FH12" s="94"/>
      <c r="FI12" s="95"/>
      <c r="FJ12" s="17"/>
      <c r="FK12" s="17"/>
      <c r="FL12" s="17"/>
      <c r="FM12" s="20"/>
      <c r="FN12" s="92"/>
      <c r="FO12" s="93"/>
      <c r="FP12" s="92"/>
      <c r="FQ12" s="94"/>
      <c r="FR12" s="95"/>
      <c r="FS12" s="17"/>
      <c r="FT12" s="17"/>
      <c r="FU12" s="17"/>
      <c r="FV12" s="20"/>
      <c r="FW12" s="92"/>
      <c r="FX12" s="93"/>
      <c r="FY12" s="92"/>
      <c r="FZ12" s="94"/>
      <c r="GA12" s="95"/>
      <c r="GB12" s="17"/>
      <c r="GC12" s="17"/>
      <c r="GD12" s="17"/>
      <c r="GE12" s="20"/>
      <c r="GF12" s="92"/>
      <c r="GG12" s="93"/>
      <c r="GH12" s="92"/>
      <c r="GI12" s="94"/>
      <c r="GJ12" s="95"/>
      <c r="GK12" s="17"/>
      <c r="GL12" s="17"/>
      <c r="GM12" s="17"/>
      <c r="GN12" s="20"/>
      <c r="GO12" s="92"/>
      <c r="GP12" s="93"/>
      <c r="GQ12" s="92"/>
      <c r="GR12" s="94"/>
      <c r="GS12" s="95"/>
      <c r="GT12" s="97">
        <v>43038</v>
      </c>
      <c r="GU12" s="98">
        <v>17584</v>
      </c>
      <c r="GV12" s="65" t="s">
        <v>855</v>
      </c>
      <c r="GW12" s="74"/>
      <c r="GX12" s="74"/>
      <c r="GY12" s="403" t="s">
        <v>1165</v>
      </c>
      <c r="GZ12" s="404">
        <v>2088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68" t="s">
        <v>45</v>
      </c>
      <c r="K13" s="449" t="s">
        <v>37</v>
      </c>
      <c r="L13" s="101">
        <v>20660</v>
      </c>
      <c r="M13" s="102">
        <v>43016</v>
      </c>
      <c r="N13" s="103" t="s">
        <v>916</v>
      </c>
      <c r="O13" s="104">
        <v>25880</v>
      </c>
      <c r="P13" s="60">
        <f t="shared" si="0"/>
        <v>5220</v>
      </c>
      <c r="Q13" s="29">
        <v>25.5</v>
      </c>
      <c r="R13" s="105"/>
      <c r="S13" s="106"/>
      <c r="T13" s="39">
        <f t="shared" si="1"/>
        <v>659940</v>
      </c>
      <c r="U13" s="107" t="s">
        <v>885</v>
      </c>
      <c r="V13" s="108">
        <v>43038</v>
      </c>
      <c r="W13" s="109">
        <v>15080</v>
      </c>
      <c r="X13" s="17"/>
      <c r="Y13" s="20"/>
      <c r="Z13" s="92"/>
      <c r="AA13" s="93"/>
      <c r="AB13" s="92"/>
      <c r="AC13" s="94"/>
      <c r="AD13" s="95"/>
      <c r="AE13" s="17"/>
      <c r="AF13" s="17"/>
      <c r="AG13" s="17"/>
      <c r="AH13" s="20"/>
      <c r="AI13" s="92"/>
      <c r="AJ13" s="93"/>
      <c r="AK13" s="92"/>
      <c r="AL13" s="94"/>
      <c r="AM13" s="95"/>
      <c r="AN13" s="17"/>
      <c r="AO13" s="17"/>
      <c r="AP13" s="17"/>
      <c r="AQ13" s="20"/>
      <c r="AR13" s="92"/>
      <c r="AS13" s="93"/>
      <c r="AT13" s="92"/>
      <c r="AU13" s="94"/>
      <c r="AV13" s="95"/>
      <c r="AW13" s="17"/>
      <c r="AX13" s="17"/>
      <c r="AY13" s="17"/>
      <c r="AZ13" s="20"/>
      <c r="BA13" s="92"/>
      <c r="BB13" s="93"/>
      <c r="BC13" s="92"/>
      <c r="BD13" s="94"/>
      <c r="BE13" s="95"/>
      <c r="BF13" s="17"/>
      <c r="BG13" s="17"/>
      <c r="BH13" s="17"/>
      <c r="BI13" s="20"/>
      <c r="BJ13" s="92"/>
      <c r="BK13" s="93"/>
      <c r="BL13" s="92"/>
      <c r="BM13" s="94"/>
      <c r="BN13" s="95"/>
      <c r="BO13" s="17"/>
      <c r="BP13" s="17"/>
      <c r="BQ13" s="17"/>
      <c r="BR13" s="20"/>
      <c r="BS13" s="92"/>
      <c r="BT13" s="93"/>
      <c r="BU13" s="92"/>
      <c r="BV13" s="94"/>
      <c r="BW13" s="95"/>
      <c r="BX13" s="17"/>
      <c r="BY13" s="17"/>
      <c r="BZ13" s="17"/>
      <c r="CA13" s="20"/>
      <c r="CB13" s="92"/>
      <c r="CC13" s="93"/>
      <c r="CD13" s="92"/>
      <c r="CE13" s="94"/>
      <c r="CF13" s="95"/>
      <c r="CG13" s="17"/>
      <c r="CH13" s="17"/>
      <c r="CI13" s="17"/>
      <c r="CJ13" s="20"/>
      <c r="CK13" s="92"/>
      <c r="CL13" s="93"/>
      <c r="CM13" s="92"/>
      <c r="CN13" s="94"/>
      <c r="CO13" s="95"/>
      <c r="CP13" s="17"/>
      <c r="CQ13" s="17"/>
      <c r="CR13" s="17"/>
      <c r="CS13" s="20"/>
      <c r="CT13" s="92"/>
      <c r="CU13" s="93"/>
      <c r="CV13" s="96"/>
      <c r="CW13" s="94"/>
      <c r="CX13" s="95"/>
      <c r="CY13" s="17"/>
      <c r="CZ13" s="17"/>
      <c r="DA13" s="17"/>
      <c r="DB13" s="20"/>
      <c r="DC13" s="92"/>
      <c r="DD13" s="93"/>
      <c r="DE13" s="92"/>
      <c r="DF13" s="94"/>
      <c r="DG13" s="95"/>
      <c r="DH13" s="17"/>
      <c r="DI13" s="17"/>
      <c r="DJ13" s="17"/>
      <c r="DK13" s="20"/>
      <c r="DL13" s="92"/>
      <c r="DM13" s="93"/>
      <c r="DN13" s="92"/>
      <c r="DO13" s="94"/>
      <c r="DP13" s="95"/>
      <c r="DQ13" s="17"/>
      <c r="DR13" s="17"/>
      <c r="DS13" s="17"/>
      <c r="DT13" s="20"/>
      <c r="DU13" s="92"/>
      <c r="DV13" s="93"/>
      <c r="DW13" s="92"/>
      <c r="DX13" s="94"/>
      <c r="DY13" s="95"/>
      <c r="DZ13" s="17"/>
      <c r="EA13" s="17"/>
      <c r="EB13" s="17"/>
      <c r="EC13" s="20"/>
      <c r="ED13" s="92"/>
      <c r="EE13" s="93"/>
      <c r="EF13" s="92"/>
      <c r="EG13" s="94"/>
      <c r="EH13" s="95"/>
      <c r="EI13" s="17"/>
      <c r="EJ13" s="17"/>
      <c r="EK13" s="17"/>
      <c r="EL13" s="20"/>
      <c r="EM13" s="92"/>
      <c r="EN13" s="93"/>
      <c r="EO13" s="92"/>
      <c r="EP13" s="94"/>
      <c r="EQ13" s="95"/>
      <c r="ER13" s="17"/>
      <c r="ES13" s="17"/>
      <c r="ET13" s="17"/>
      <c r="EU13" s="20"/>
      <c r="EV13" s="92"/>
      <c r="EW13" s="93"/>
      <c r="EX13" s="92"/>
      <c r="EY13" s="94"/>
      <c r="EZ13" s="95"/>
      <c r="FA13" s="17"/>
      <c r="FB13" s="17"/>
      <c r="FC13" s="17"/>
      <c r="FD13" s="20"/>
      <c r="FE13" s="92"/>
      <c r="FF13" s="93"/>
      <c r="FG13" s="92"/>
      <c r="FH13" s="94"/>
      <c r="FI13" s="95"/>
      <c r="FJ13" s="17"/>
      <c r="FK13" s="17"/>
      <c r="FL13" s="17"/>
      <c r="FM13" s="20"/>
      <c r="FN13" s="92"/>
      <c r="FO13" s="93"/>
      <c r="FP13" s="92"/>
      <c r="FQ13" s="94"/>
      <c r="FR13" s="95"/>
      <c r="FS13" s="17"/>
      <c r="FT13" s="17"/>
      <c r="FU13" s="17"/>
      <c r="FV13" s="20"/>
      <c r="FW13" s="92"/>
      <c r="FX13" s="93"/>
      <c r="FY13" s="92"/>
      <c r="FZ13" s="94"/>
      <c r="GA13" s="95"/>
      <c r="GB13" s="17"/>
      <c r="GC13" s="17"/>
      <c r="GD13" s="17"/>
      <c r="GE13" s="20"/>
      <c r="GF13" s="92"/>
      <c r="GG13" s="93"/>
      <c r="GH13" s="92"/>
      <c r="GI13" s="94"/>
      <c r="GJ13" s="95"/>
      <c r="GK13" s="17"/>
      <c r="GL13" s="17"/>
      <c r="GM13" s="17"/>
      <c r="GN13" s="20"/>
      <c r="GO13" s="92"/>
      <c r="GP13" s="93"/>
      <c r="GQ13" s="92"/>
      <c r="GR13" s="94"/>
      <c r="GS13" s="95"/>
      <c r="GT13" s="97">
        <v>43038</v>
      </c>
      <c r="GU13" s="624">
        <v>19800</v>
      </c>
      <c r="GV13" s="65" t="s">
        <v>993</v>
      </c>
      <c r="GW13" s="74"/>
      <c r="GX13" s="74"/>
      <c r="GY13" s="403" t="s">
        <v>1165</v>
      </c>
      <c r="GZ13" s="404">
        <v>3712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819</v>
      </c>
      <c r="K14" s="449" t="s">
        <v>745</v>
      </c>
      <c r="L14" s="101">
        <v>24160</v>
      </c>
      <c r="M14" s="102">
        <v>43017</v>
      </c>
      <c r="N14" s="103" t="s">
        <v>919</v>
      </c>
      <c r="O14" s="104">
        <v>28455</v>
      </c>
      <c r="P14" s="60">
        <f t="shared" si="0"/>
        <v>4295</v>
      </c>
      <c r="Q14" s="29">
        <v>25.5</v>
      </c>
      <c r="R14" s="105"/>
      <c r="S14" s="106"/>
      <c r="T14" s="39">
        <f t="shared" si="1"/>
        <v>725602.5</v>
      </c>
      <c r="U14" s="107" t="s">
        <v>885</v>
      </c>
      <c r="V14" s="108">
        <v>43039</v>
      </c>
      <c r="W14" s="109">
        <v>18096</v>
      </c>
      <c r="X14" s="17"/>
      <c r="Y14" s="20"/>
      <c r="Z14" s="92"/>
      <c r="AA14" s="93"/>
      <c r="AB14" s="92"/>
      <c r="AC14" s="94"/>
      <c r="AD14" s="95"/>
      <c r="AE14" s="17"/>
      <c r="AF14" s="17"/>
      <c r="AG14" s="17"/>
      <c r="AH14" s="20"/>
      <c r="AI14" s="92"/>
      <c r="AJ14" s="93"/>
      <c r="AK14" s="92"/>
      <c r="AL14" s="94"/>
      <c r="AM14" s="95"/>
      <c r="AN14" s="17"/>
      <c r="AO14" s="17"/>
      <c r="AP14" s="17"/>
      <c r="AQ14" s="20"/>
      <c r="AR14" s="92"/>
      <c r="AS14" s="93"/>
      <c r="AT14" s="92"/>
      <c r="AU14" s="94"/>
      <c r="AV14" s="95"/>
      <c r="AW14" s="17"/>
      <c r="AX14" s="17"/>
      <c r="AY14" s="17"/>
      <c r="AZ14" s="20"/>
      <c r="BA14" s="92"/>
      <c r="BB14" s="93"/>
      <c r="BC14" s="92"/>
      <c r="BD14" s="94"/>
      <c r="BE14" s="95"/>
      <c r="BF14" s="17"/>
      <c r="BG14" s="17"/>
      <c r="BH14" s="17"/>
      <c r="BI14" s="20"/>
      <c r="BJ14" s="92"/>
      <c r="BK14" s="93"/>
      <c r="BL14" s="92"/>
      <c r="BM14" s="94"/>
      <c r="BN14" s="95"/>
      <c r="BO14" s="17"/>
      <c r="BP14" s="17"/>
      <c r="BQ14" s="17"/>
      <c r="BR14" s="20"/>
      <c r="BS14" s="92"/>
      <c r="BT14" s="93"/>
      <c r="BU14" s="92"/>
      <c r="BV14" s="94"/>
      <c r="BW14" s="95"/>
      <c r="BX14" s="17"/>
      <c r="BY14" s="17"/>
      <c r="BZ14" s="17"/>
      <c r="CA14" s="20"/>
      <c r="CB14" s="92"/>
      <c r="CC14" s="93"/>
      <c r="CD14" s="92"/>
      <c r="CE14" s="94"/>
      <c r="CF14" s="95"/>
      <c r="CG14" s="17"/>
      <c r="CH14" s="17"/>
      <c r="CI14" s="17"/>
      <c r="CJ14" s="20"/>
      <c r="CK14" s="92"/>
      <c r="CL14" s="93"/>
      <c r="CM14" s="92"/>
      <c r="CN14" s="94"/>
      <c r="CO14" s="95"/>
      <c r="CP14" s="17"/>
      <c r="CQ14" s="17"/>
      <c r="CR14" s="17"/>
      <c r="CS14" s="20"/>
      <c r="CT14" s="92"/>
      <c r="CU14" s="93"/>
      <c r="CV14" s="96"/>
      <c r="CW14" s="94"/>
      <c r="CX14" s="95"/>
      <c r="CY14" s="17"/>
      <c r="CZ14" s="17"/>
      <c r="DA14" s="17"/>
      <c r="DB14" s="20"/>
      <c r="DC14" s="92"/>
      <c r="DD14" s="93"/>
      <c r="DE14" s="92"/>
      <c r="DF14" s="94"/>
      <c r="DG14" s="95"/>
      <c r="DH14" s="17"/>
      <c r="DI14" s="17"/>
      <c r="DJ14" s="17"/>
      <c r="DK14" s="20"/>
      <c r="DL14" s="92"/>
      <c r="DM14" s="93"/>
      <c r="DN14" s="92"/>
      <c r="DO14" s="94"/>
      <c r="DP14" s="95"/>
      <c r="DQ14" s="17"/>
      <c r="DR14" s="17"/>
      <c r="DS14" s="17"/>
      <c r="DT14" s="20"/>
      <c r="DU14" s="92"/>
      <c r="DV14" s="93"/>
      <c r="DW14" s="92"/>
      <c r="DX14" s="94"/>
      <c r="DY14" s="95"/>
      <c r="DZ14" s="17"/>
      <c r="EA14" s="17"/>
      <c r="EB14" s="17"/>
      <c r="EC14" s="20"/>
      <c r="ED14" s="92"/>
      <c r="EE14" s="93"/>
      <c r="EF14" s="92"/>
      <c r="EG14" s="94"/>
      <c r="EH14" s="95"/>
      <c r="EI14" s="17"/>
      <c r="EJ14" s="17"/>
      <c r="EK14" s="17"/>
      <c r="EL14" s="20"/>
      <c r="EM14" s="92"/>
      <c r="EN14" s="93"/>
      <c r="EO14" s="92"/>
      <c r="EP14" s="94"/>
      <c r="EQ14" s="95"/>
      <c r="ER14" s="17"/>
      <c r="ES14" s="17"/>
      <c r="ET14" s="17"/>
      <c r="EU14" s="20"/>
      <c r="EV14" s="92"/>
      <c r="EW14" s="93"/>
      <c r="EX14" s="92"/>
      <c r="EY14" s="94"/>
      <c r="EZ14" s="95"/>
      <c r="FA14" s="17"/>
      <c r="FB14" s="17"/>
      <c r="FC14" s="17"/>
      <c r="FD14" s="20"/>
      <c r="FE14" s="92"/>
      <c r="FF14" s="93"/>
      <c r="FG14" s="92"/>
      <c r="FH14" s="94"/>
      <c r="FI14" s="95"/>
      <c r="FJ14" s="17"/>
      <c r="FK14" s="17"/>
      <c r="FL14" s="17"/>
      <c r="FM14" s="20"/>
      <c r="FN14" s="92"/>
      <c r="FO14" s="93"/>
      <c r="FP14" s="92"/>
      <c r="FQ14" s="94"/>
      <c r="FR14" s="95"/>
      <c r="FS14" s="17"/>
      <c r="FT14" s="17"/>
      <c r="FU14" s="17"/>
      <c r="FV14" s="20"/>
      <c r="FW14" s="92"/>
      <c r="FX14" s="93"/>
      <c r="FY14" s="92"/>
      <c r="FZ14" s="94"/>
      <c r="GA14" s="95"/>
      <c r="GB14" s="17"/>
      <c r="GC14" s="17"/>
      <c r="GD14" s="17"/>
      <c r="GE14" s="20"/>
      <c r="GF14" s="92"/>
      <c r="GG14" s="93"/>
      <c r="GH14" s="92"/>
      <c r="GI14" s="94"/>
      <c r="GJ14" s="95"/>
      <c r="GK14" s="17"/>
      <c r="GL14" s="17"/>
      <c r="GM14" s="17"/>
      <c r="GN14" s="20"/>
      <c r="GO14" s="92"/>
      <c r="GP14" s="93"/>
      <c r="GQ14" s="92"/>
      <c r="GR14" s="94"/>
      <c r="GS14" s="95"/>
      <c r="GT14" s="97">
        <v>43039</v>
      </c>
      <c r="GU14" s="98">
        <v>22176</v>
      </c>
      <c r="GV14" s="65" t="s">
        <v>872</v>
      </c>
      <c r="GW14" s="74"/>
      <c r="GX14" s="74"/>
      <c r="GY14" s="403" t="s">
        <v>1165</v>
      </c>
      <c r="GZ14" s="404">
        <v>3712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68" t="s">
        <v>38</v>
      </c>
      <c r="K15" s="407" t="s">
        <v>184</v>
      </c>
      <c r="L15" s="110"/>
      <c r="M15" s="71">
        <v>43017</v>
      </c>
      <c r="N15" s="56" t="s">
        <v>920</v>
      </c>
      <c r="O15" s="72">
        <v>2215</v>
      </c>
      <c r="P15" s="60">
        <f t="shared" si="0"/>
        <v>2215</v>
      </c>
      <c r="Q15" s="64">
        <v>25.5</v>
      </c>
      <c r="R15" s="64"/>
      <c r="S15" s="111"/>
      <c r="T15" s="39">
        <f t="shared" si="1"/>
        <v>56482.5</v>
      </c>
      <c r="U15" s="90" t="s">
        <v>885</v>
      </c>
      <c r="V15" s="112">
        <v>43039</v>
      </c>
      <c r="W15" s="109">
        <v>1508</v>
      </c>
      <c r="X15" s="17"/>
      <c r="Y15" s="20"/>
      <c r="Z15" s="92"/>
      <c r="AA15" s="93"/>
      <c r="AB15" s="92"/>
      <c r="AC15" s="94"/>
      <c r="AD15" s="95"/>
      <c r="AE15" s="17"/>
      <c r="AF15" s="17"/>
      <c r="AG15" s="17"/>
      <c r="AH15" s="20"/>
      <c r="AI15" s="92"/>
      <c r="AJ15" s="93"/>
      <c r="AK15" s="92"/>
      <c r="AL15" s="94"/>
      <c r="AM15" s="95"/>
      <c r="AN15" s="17"/>
      <c r="AO15" s="17"/>
      <c r="AP15" s="17"/>
      <c r="AQ15" s="20"/>
      <c r="AR15" s="92"/>
      <c r="AS15" s="93"/>
      <c r="AT15" s="92"/>
      <c r="AU15" s="94"/>
      <c r="AV15" s="95"/>
      <c r="AW15" s="17"/>
      <c r="AX15" s="17"/>
      <c r="AY15" s="17"/>
      <c r="AZ15" s="20"/>
      <c r="BA15" s="92"/>
      <c r="BB15" s="93"/>
      <c r="BC15" s="92"/>
      <c r="BD15" s="94"/>
      <c r="BE15" s="95"/>
      <c r="BF15" s="17"/>
      <c r="BG15" s="17"/>
      <c r="BH15" s="17"/>
      <c r="BI15" s="20"/>
      <c r="BJ15" s="92"/>
      <c r="BK15" s="93"/>
      <c r="BL15" s="92"/>
      <c r="BM15" s="94"/>
      <c r="BN15" s="95"/>
      <c r="BO15" s="17"/>
      <c r="BP15" s="17"/>
      <c r="BQ15" s="17"/>
      <c r="BR15" s="20"/>
      <c r="BS15" s="92"/>
      <c r="BT15" s="93"/>
      <c r="BU15" s="92"/>
      <c r="BV15" s="94"/>
      <c r="BW15" s="95"/>
      <c r="BX15" s="17"/>
      <c r="BY15" s="17"/>
      <c r="BZ15" s="17"/>
      <c r="CA15" s="20"/>
      <c r="CB15" s="92"/>
      <c r="CC15" s="93"/>
      <c r="CD15" s="92"/>
      <c r="CE15" s="94"/>
      <c r="CF15" s="95"/>
      <c r="CG15" s="17"/>
      <c r="CH15" s="17"/>
      <c r="CI15" s="17"/>
      <c r="CJ15" s="20"/>
      <c r="CK15" s="92"/>
      <c r="CL15" s="93"/>
      <c r="CM15" s="92"/>
      <c r="CN15" s="94"/>
      <c r="CO15" s="95"/>
      <c r="CP15" s="17"/>
      <c r="CQ15" s="17"/>
      <c r="CR15" s="17"/>
      <c r="CS15" s="20"/>
      <c r="CT15" s="92"/>
      <c r="CU15" s="93"/>
      <c r="CV15" s="96"/>
      <c r="CW15" s="94"/>
      <c r="CX15" s="95"/>
      <c r="CY15" s="17"/>
      <c r="CZ15" s="17"/>
      <c r="DA15" s="17"/>
      <c r="DB15" s="20"/>
      <c r="DC15" s="92"/>
      <c r="DD15" s="93"/>
      <c r="DE15" s="92"/>
      <c r="DF15" s="94"/>
      <c r="DG15" s="95"/>
      <c r="DH15" s="17"/>
      <c r="DI15" s="17"/>
      <c r="DJ15" s="17"/>
      <c r="DK15" s="20"/>
      <c r="DL15" s="92"/>
      <c r="DM15" s="93"/>
      <c r="DN15" s="92"/>
      <c r="DO15" s="94"/>
      <c r="DP15" s="95"/>
      <c r="DQ15" s="17"/>
      <c r="DR15" s="17"/>
      <c r="DS15" s="17"/>
      <c r="DT15" s="20"/>
      <c r="DU15" s="92"/>
      <c r="DV15" s="93"/>
      <c r="DW15" s="92"/>
      <c r="DX15" s="94"/>
      <c r="DY15" s="95"/>
      <c r="DZ15" s="17"/>
      <c r="EA15" s="17"/>
      <c r="EB15" s="17"/>
      <c r="EC15" s="20"/>
      <c r="ED15" s="92"/>
      <c r="EE15" s="93"/>
      <c r="EF15" s="92"/>
      <c r="EG15" s="94"/>
      <c r="EH15" s="95"/>
      <c r="EI15" s="17"/>
      <c r="EJ15" s="17"/>
      <c r="EK15" s="17"/>
      <c r="EL15" s="20"/>
      <c r="EM15" s="92"/>
      <c r="EN15" s="93"/>
      <c r="EO15" s="92"/>
      <c r="EP15" s="94"/>
      <c r="EQ15" s="95"/>
      <c r="ER15" s="17"/>
      <c r="ES15" s="17"/>
      <c r="ET15" s="17"/>
      <c r="EU15" s="20"/>
      <c r="EV15" s="92"/>
      <c r="EW15" s="93"/>
      <c r="EX15" s="92"/>
      <c r="EY15" s="94"/>
      <c r="EZ15" s="95"/>
      <c r="FA15" s="17"/>
      <c r="FB15" s="17"/>
      <c r="FC15" s="17"/>
      <c r="FD15" s="20"/>
      <c r="FE15" s="92"/>
      <c r="FF15" s="93"/>
      <c r="FG15" s="92"/>
      <c r="FH15" s="94"/>
      <c r="FI15" s="95"/>
      <c r="FJ15" s="17"/>
      <c r="FK15" s="17"/>
      <c r="FL15" s="17"/>
      <c r="FM15" s="20"/>
      <c r="FN15" s="92"/>
      <c r="FO15" s="93"/>
      <c r="FP15" s="92"/>
      <c r="FQ15" s="94"/>
      <c r="FR15" s="95"/>
      <c r="FS15" s="17"/>
      <c r="FT15" s="17"/>
      <c r="FU15" s="17"/>
      <c r="FV15" s="20"/>
      <c r="FW15" s="92"/>
      <c r="FX15" s="93"/>
      <c r="FY15" s="92"/>
      <c r="FZ15" s="94"/>
      <c r="GA15" s="95"/>
      <c r="GB15" s="17"/>
      <c r="GC15" s="17"/>
      <c r="GD15" s="17"/>
      <c r="GE15" s="20"/>
      <c r="GF15" s="92"/>
      <c r="GG15" s="93"/>
      <c r="GH15" s="92"/>
      <c r="GI15" s="94"/>
      <c r="GJ15" s="95"/>
      <c r="GK15" s="17"/>
      <c r="GL15" s="17"/>
      <c r="GM15" s="17"/>
      <c r="GN15" s="20"/>
      <c r="GO15" s="92"/>
      <c r="GP15" s="93"/>
      <c r="GQ15" s="92"/>
      <c r="GR15" s="94"/>
      <c r="GS15" s="95"/>
      <c r="GT15" s="97">
        <v>43039</v>
      </c>
      <c r="GU15" s="98"/>
      <c r="GV15" s="65"/>
      <c r="GW15" s="74"/>
      <c r="GX15" s="74"/>
      <c r="GY15" s="405" t="s">
        <v>1165</v>
      </c>
      <c r="GZ15" s="404">
        <v>0</v>
      </c>
    </row>
    <row r="16" spans="1:208" x14ac:dyDescent="0.25">
      <c r="C16" s="87"/>
      <c r="D16" s="35"/>
      <c r="E16" s="36"/>
      <c r="F16" s="37"/>
      <c r="G16" s="38"/>
      <c r="H16" s="39"/>
      <c r="I16" s="40"/>
      <c r="J16" s="68" t="s">
        <v>820</v>
      </c>
      <c r="K16" s="407" t="s">
        <v>252</v>
      </c>
      <c r="L16" s="110">
        <v>22660</v>
      </c>
      <c r="M16" s="71">
        <v>43018</v>
      </c>
      <c r="N16" s="56" t="s">
        <v>921</v>
      </c>
      <c r="O16" s="72">
        <v>28430</v>
      </c>
      <c r="P16" s="60">
        <f t="shared" si="0"/>
        <v>5770</v>
      </c>
      <c r="Q16" s="64">
        <v>25.5</v>
      </c>
      <c r="R16" s="905"/>
      <c r="S16" s="906"/>
      <c r="T16" s="39">
        <f t="shared" si="1"/>
        <v>724965</v>
      </c>
      <c r="U16" s="90" t="s">
        <v>885</v>
      </c>
      <c r="V16" s="112">
        <v>43039</v>
      </c>
      <c r="W16" s="109">
        <v>19604</v>
      </c>
      <c r="X16" s="17"/>
      <c r="Y16" s="20"/>
      <c r="Z16" s="92"/>
      <c r="AA16" s="93"/>
      <c r="AB16" s="92"/>
      <c r="AC16" s="94"/>
      <c r="AD16" s="95"/>
      <c r="AE16" s="17"/>
      <c r="AF16" s="17"/>
      <c r="AG16" s="17"/>
      <c r="AH16" s="20"/>
      <c r="AI16" s="92"/>
      <c r="AJ16" s="93"/>
      <c r="AK16" s="92"/>
      <c r="AL16" s="94"/>
      <c r="AM16" s="95"/>
      <c r="AN16" s="17"/>
      <c r="AO16" s="17"/>
      <c r="AP16" s="17"/>
      <c r="AQ16" s="20"/>
      <c r="AR16" s="92"/>
      <c r="AS16" s="93"/>
      <c r="AT16" s="92"/>
      <c r="AU16" s="94"/>
      <c r="AV16" s="95"/>
      <c r="AW16" s="17"/>
      <c r="AX16" s="17"/>
      <c r="AY16" s="17"/>
      <c r="AZ16" s="20"/>
      <c r="BA16" s="92"/>
      <c r="BB16" s="93"/>
      <c r="BC16" s="92"/>
      <c r="BD16" s="94"/>
      <c r="BE16" s="95"/>
      <c r="BF16" s="17"/>
      <c r="BG16" s="17"/>
      <c r="BH16" s="17"/>
      <c r="BI16" s="20"/>
      <c r="BJ16" s="92"/>
      <c r="BK16" s="93"/>
      <c r="BL16" s="92"/>
      <c r="BM16" s="94"/>
      <c r="BN16" s="95"/>
      <c r="BO16" s="17"/>
      <c r="BP16" s="17"/>
      <c r="BQ16" s="17"/>
      <c r="BR16" s="20"/>
      <c r="BS16" s="92"/>
      <c r="BT16" s="93"/>
      <c r="BU16" s="92"/>
      <c r="BV16" s="94"/>
      <c r="BW16" s="95"/>
      <c r="BX16" s="17"/>
      <c r="BY16" s="17"/>
      <c r="BZ16" s="17"/>
      <c r="CA16" s="20"/>
      <c r="CB16" s="92"/>
      <c r="CC16" s="93"/>
      <c r="CD16" s="92"/>
      <c r="CE16" s="94"/>
      <c r="CF16" s="95"/>
      <c r="CG16" s="17"/>
      <c r="CH16" s="17"/>
      <c r="CI16" s="17"/>
      <c r="CJ16" s="20"/>
      <c r="CK16" s="92"/>
      <c r="CL16" s="93"/>
      <c r="CM16" s="92"/>
      <c r="CN16" s="94"/>
      <c r="CO16" s="95"/>
      <c r="CP16" s="17"/>
      <c r="CQ16" s="17"/>
      <c r="CR16" s="17"/>
      <c r="CS16" s="20"/>
      <c r="CT16" s="92"/>
      <c r="CU16" s="93"/>
      <c r="CV16" s="96"/>
      <c r="CW16" s="94"/>
      <c r="CX16" s="95"/>
      <c r="CY16" s="17"/>
      <c r="CZ16" s="17"/>
      <c r="DA16" s="17"/>
      <c r="DB16" s="20"/>
      <c r="DC16" s="92"/>
      <c r="DD16" s="93"/>
      <c r="DE16" s="92"/>
      <c r="DF16" s="94"/>
      <c r="DG16" s="95"/>
      <c r="DH16" s="17"/>
      <c r="DI16" s="17"/>
      <c r="DJ16" s="17"/>
      <c r="DK16" s="20"/>
      <c r="DL16" s="92"/>
      <c r="DM16" s="93"/>
      <c r="DN16" s="92"/>
      <c r="DO16" s="94"/>
      <c r="DP16" s="95"/>
      <c r="DQ16" s="17"/>
      <c r="DR16" s="17"/>
      <c r="DS16" s="17"/>
      <c r="DT16" s="20"/>
      <c r="DU16" s="92"/>
      <c r="DV16" s="93"/>
      <c r="DW16" s="92"/>
      <c r="DX16" s="94"/>
      <c r="DY16" s="95"/>
      <c r="DZ16" s="17"/>
      <c r="EA16" s="17"/>
      <c r="EB16" s="17"/>
      <c r="EC16" s="20"/>
      <c r="ED16" s="92"/>
      <c r="EE16" s="93"/>
      <c r="EF16" s="92"/>
      <c r="EG16" s="94"/>
      <c r="EH16" s="95"/>
      <c r="EI16" s="17"/>
      <c r="EJ16" s="17"/>
      <c r="EK16" s="17"/>
      <c r="EL16" s="20"/>
      <c r="EM16" s="92"/>
      <c r="EN16" s="93"/>
      <c r="EO16" s="92"/>
      <c r="EP16" s="94"/>
      <c r="EQ16" s="95"/>
      <c r="ER16" s="17"/>
      <c r="ES16" s="17"/>
      <c r="ET16" s="17"/>
      <c r="EU16" s="20"/>
      <c r="EV16" s="92"/>
      <c r="EW16" s="93"/>
      <c r="EX16" s="92"/>
      <c r="EY16" s="94"/>
      <c r="EZ16" s="95"/>
      <c r="FA16" s="17"/>
      <c r="FB16" s="17"/>
      <c r="FC16" s="17"/>
      <c r="FD16" s="20"/>
      <c r="FE16" s="92"/>
      <c r="FF16" s="93"/>
      <c r="FG16" s="92"/>
      <c r="FH16" s="94"/>
      <c r="FI16" s="95"/>
      <c r="FJ16" s="17"/>
      <c r="FK16" s="17"/>
      <c r="FL16" s="17"/>
      <c r="FM16" s="20"/>
      <c r="FN16" s="92"/>
      <c r="FO16" s="93"/>
      <c r="FP16" s="92"/>
      <c r="FQ16" s="94"/>
      <c r="FR16" s="95"/>
      <c r="FS16" s="17"/>
      <c r="FT16" s="17"/>
      <c r="FU16" s="17"/>
      <c r="FV16" s="20"/>
      <c r="FW16" s="92"/>
      <c r="FX16" s="93"/>
      <c r="FY16" s="92"/>
      <c r="FZ16" s="94"/>
      <c r="GA16" s="95"/>
      <c r="GB16" s="17"/>
      <c r="GC16" s="17"/>
      <c r="GD16" s="17"/>
      <c r="GE16" s="20"/>
      <c r="GF16" s="92"/>
      <c r="GG16" s="93"/>
      <c r="GH16" s="92"/>
      <c r="GI16" s="94"/>
      <c r="GJ16" s="95"/>
      <c r="GK16" s="17"/>
      <c r="GL16" s="17"/>
      <c r="GM16" s="17"/>
      <c r="GN16" s="20"/>
      <c r="GO16" s="92"/>
      <c r="GP16" s="93"/>
      <c r="GQ16" s="92"/>
      <c r="GR16" s="94"/>
      <c r="GS16" s="95"/>
      <c r="GT16" s="97">
        <v>43039</v>
      </c>
      <c r="GU16" s="625">
        <v>19800</v>
      </c>
      <c r="GV16" s="65" t="s">
        <v>993</v>
      </c>
      <c r="GW16" s="74"/>
      <c r="GX16" s="74"/>
      <c r="GY16" s="403" t="s">
        <v>1165</v>
      </c>
      <c r="GZ16" s="404">
        <v>3712</v>
      </c>
    </row>
    <row r="17" spans="1:208" ht="30" x14ac:dyDescent="0.25">
      <c r="C17" s="87"/>
      <c r="D17" s="35"/>
      <c r="E17" s="36"/>
      <c r="F17" s="37"/>
      <c r="G17" s="38"/>
      <c r="H17" s="39"/>
      <c r="I17" s="40"/>
      <c r="J17" s="68" t="s">
        <v>153</v>
      </c>
      <c r="K17" s="407" t="s">
        <v>485</v>
      </c>
      <c r="L17" s="110">
        <v>22010</v>
      </c>
      <c r="M17" s="71">
        <v>43019</v>
      </c>
      <c r="N17" s="380" t="s">
        <v>934</v>
      </c>
      <c r="O17" s="72">
        <v>28290</v>
      </c>
      <c r="P17" s="113">
        <f t="shared" si="0"/>
        <v>6280</v>
      </c>
      <c r="Q17" s="64">
        <v>25</v>
      </c>
      <c r="R17" s="64"/>
      <c r="S17" s="64"/>
      <c r="T17" s="39">
        <f t="shared" si="1"/>
        <v>707250</v>
      </c>
      <c r="U17" s="352" t="s">
        <v>885</v>
      </c>
      <c r="V17" s="353">
        <v>43040</v>
      </c>
      <c r="W17" s="354">
        <v>19453.2</v>
      </c>
      <c r="X17" s="355"/>
      <c r="Y17" s="356"/>
      <c r="Z17" s="357"/>
      <c r="AA17" s="358"/>
      <c r="AB17" s="357"/>
      <c r="AC17" s="359"/>
      <c r="AD17" s="360"/>
      <c r="AE17" s="355"/>
      <c r="AF17" s="355"/>
      <c r="AG17" s="355"/>
      <c r="AH17" s="356"/>
      <c r="AI17" s="357"/>
      <c r="AJ17" s="358"/>
      <c r="AK17" s="357"/>
      <c r="AL17" s="359"/>
      <c r="AM17" s="360"/>
      <c r="AN17" s="355"/>
      <c r="AO17" s="355"/>
      <c r="AP17" s="355"/>
      <c r="AQ17" s="356"/>
      <c r="AR17" s="357"/>
      <c r="AS17" s="358"/>
      <c r="AT17" s="357"/>
      <c r="AU17" s="359"/>
      <c r="AV17" s="360"/>
      <c r="AW17" s="355"/>
      <c r="AX17" s="355"/>
      <c r="AY17" s="355"/>
      <c r="AZ17" s="356"/>
      <c r="BA17" s="357"/>
      <c r="BB17" s="358"/>
      <c r="BC17" s="357"/>
      <c r="BD17" s="359"/>
      <c r="BE17" s="360"/>
      <c r="BF17" s="355"/>
      <c r="BG17" s="355"/>
      <c r="BH17" s="355"/>
      <c r="BI17" s="356"/>
      <c r="BJ17" s="357"/>
      <c r="BK17" s="358"/>
      <c r="BL17" s="357"/>
      <c r="BM17" s="359"/>
      <c r="BN17" s="360"/>
      <c r="BO17" s="355"/>
      <c r="BP17" s="355"/>
      <c r="BQ17" s="355"/>
      <c r="BR17" s="356"/>
      <c r="BS17" s="357"/>
      <c r="BT17" s="358"/>
      <c r="BU17" s="357"/>
      <c r="BV17" s="359"/>
      <c r="BW17" s="360"/>
      <c r="BX17" s="355"/>
      <c r="BY17" s="355"/>
      <c r="BZ17" s="355"/>
      <c r="CA17" s="356"/>
      <c r="CB17" s="357"/>
      <c r="CC17" s="358"/>
      <c r="CD17" s="357"/>
      <c r="CE17" s="359"/>
      <c r="CF17" s="360"/>
      <c r="CG17" s="355"/>
      <c r="CH17" s="355"/>
      <c r="CI17" s="355"/>
      <c r="CJ17" s="356"/>
      <c r="CK17" s="357"/>
      <c r="CL17" s="358"/>
      <c r="CM17" s="357"/>
      <c r="CN17" s="359"/>
      <c r="CO17" s="360"/>
      <c r="CP17" s="355"/>
      <c r="CQ17" s="355"/>
      <c r="CR17" s="355"/>
      <c r="CS17" s="356"/>
      <c r="CT17" s="357"/>
      <c r="CU17" s="358"/>
      <c r="CV17" s="361"/>
      <c r="CW17" s="359"/>
      <c r="CX17" s="360"/>
      <c r="CY17" s="355"/>
      <c r="CZ17" s="355"/>
      <c r="DA17" s="355"/>
      <c r="DB17" s="356"/>
      <c r="DC17" s="357"/>
      <c r="DD17" s="358"/>
      <c r="DE17" s="357"/>
      <c r="DF17" s="359"/>
      <c r="DG17" s="360"/>
      <c r="DH17" s="355"/>
      <c r="DI17" s="355"/>
      <c r="DJ17" s="355"/>
      <c r="DK17" s="356"/>
      <c r="DL17" s="357"/>
      <c r="DM17" s="358"/>
      <c r="DN17" s="357"/>
      <c r="DO17" s="359"/>
      <c r="DP17" s="360"/>
      <c r="DQ17" s="355"/>
      <c r="DR17" s="355"/>
      <c r="DS17" s="355"/>
      <c r="DT17" s="356"/>
      <c r="DU17" s="357"/>
      <c r="DV17" s="358"/>
      <c r="DW17" s="357"/>
      <c r="DX17" s="359"/>
      <c r="DY17" s="360"/>
      <c r="DZ17" s="355"/>
      <c r="EA17" s="355"/>
      <c r="EB17" s="355"/>
      <c r="EC17" s="356"/>
      <c r="ED17" s="357"/>
      <c r="EE17" s="358"/>
      <c r="EF17" s="357"/>
      <c r="EG17" s="359"/>
      <c r="EH17" s="360"/>
      <c r="EI17" s="355"/>
      <c r="EJ17" s="355"/>
      <c r="EK17" s="355"/>
      <c r="EL17" s="356"/>
      <c r="EM17" s="357"/>
      <c r="EN17" s="358"/>
      <c r="EO17" s="357"/>
      <c r="EP17" s="359"/>
      <c r="EQ17" s="360"/>
      <c r="ER17" s="355"/>
      <c r="ES17" s="355"/>
      <c r="ET17" s="355"/>
      <c r="EU17" s="356"/>
      <c r="EV17" s="357"/>
      <c r="EW17" s="358"/>
      <c r="EX17" s="357"/>
      <c r="EY17" s="359"/>
      <c r="EZ17" s="360"/>
      <c r="FA17" s="355"/>
      <c r="FB17" s="355"/>
      <c r="FC17" s="355"/>
      <c r="FD17" s="356"/>
      <c r="FE17" s="357"/>
      <c r="FF17" s="358"/>
      <c r="FG17" s="357"/>
      <c r="FH17" s="359"/>
      <c r="FI17" s="360"/>
      <c r="FJ17" s="355"/>
      <c r="FK17" s="355"/>
      <c r="FL17" s="355"/>
      <c r="FM17" s="356"/>
      <c r="FN17" s="357"/>
      <c r="FO17" s="358"/>
      <c r="FP17" s="357"/>
      <c r="FQ17" s="359"/>
      <c r="FR17" s="360"/>
      <c r="FS17" s="355"/>
      <c r="FT17" s="355"/>
      <c r="FU17" s="355"/>
      <c r="FV17" s="356"/>
      <c r="FW17" s="357"/>
      <c r="FX17" s="358"/>
      <c r="FY17" s="357"/>
      <c r="FZ17" s="359"/>
      <c r="GA17" s="360"/>
      <c r="GB17" s="355"/>
      <c r="GC17" s="355"/>
      <c r="GD17" s="355"/>
      <c r="GE17" s="356"/>
      <c r="GF17" s="357"/>
      <c r="GG17" s="358"/>
      <c r="GH17" s="357"/>
      <c r="GI17" s="359"/>
      <c r="GJ17" s="360"/>
      <c r="GK17" s="355"/>
      <c r="GL17" s="355"/>
      <c r="GM17" s="355"/>
      <c r="GN17" s="356"/>
      <c r="GO17" s="357"/>
      <c r="GP17" s="358"/>
      <c r="GQ17" s="357"/>
      <c r="GR17" s="359"/>
      <c r="GS17" s="360"/>
      <c r="GT17" s="362">
        <v>43040</v>
      </c>
      <c r="GU17" s="98">
        <v>22176</v>
      </c>
      <c r="GV17" s="65" t="s">
        <v>874</v>
      </c>
      <c r="GW17" s="74"/>
      <c r="GX17" s="74"/>
      <c r="GY17" s="403" t="s">
        <v>1165</v>
      </c>
      <c r="GZ17" s="404">
        <v>3712</v>
      </c>
    </row>
    <row r="18" spans="1:208" x14ac:dyDescent="0.25">
      <c r="C18" s="87"/>
      <c r="D18" s="35"/>
      <c r="E18" s="36"/>
      <c r="F18" s="37"/>
      <c r="G18" s="38"/>
      <c r="H18" s="39"/>
      <c r="I18" s="40"/>
      <c r="J18" s="455" t="s">
        <v>937</v>
      </c>
      <c r="K18" s="407" t="s">
        <v>65</v>
      </c>
      <c r="L18" s="110">
        <v>11270</v>
      </c>
      <c r="M18" s="71">
        <v>43020</v>
      </c>
      <c r="N18" s="380" t="s">
        <v>936</v>
      </c>
      <c r="O18" s="72">
        <v>14080</v>
      </c>
      <c r="P18" s="113">
        <f t="shared" si="0"/>
        <v>2810</v>
      </c>
      <c r="Q18" s="64">
        <v>25</v>
      </c>
      <c r="R18" s="64"/>
      <c r="S18" s="64"/>
      <c r="T18" s="39">
        <f t="shared" si="1"/>
        <v>352000</v>
      </c>
      <c r="U18" s="352" t="s">
        <v>885</v>
      </c>
      <c r="V18" s="353">
        <v>43042</v>
      </c>
      <c r="W18" s="354">
        <v>9726.6</v>
      </c>
      <c r="X18" s="355"/>
      <c r="Y18" s="356"/>
      <c r="Z18" s="357"/>
      <c r="AA18" s="358"/>
      <c r="AB18" s="357"/>
      <c r="AC18" s="359"/>
      <c r="AD18" s="360"/>
      <c r="AE18" s="355"/>
      <c r="AF18" s="355"/>
      <c r="AG18" s="355"/>
      <c r="AH18" s="356"/>
      <c r="AI18" s="357"/>
      <c r="AJ18" s="358"/>
      <c r="AK18" s="357"/>
      <c r="AL18" s="359"/>
      <c r="AM18" s="360"/>
      <c r="AN18" s="355"/>
      <c r="AO18" s="355"/>
      <c r="AP18" s="355"/>
      <c r="AQ18" s="356"/>
      <c r="AR18" s="357"/>
      <c r="AS18" s="358"/>
      <c r="AT18" s="357"/>
      <c r="AU18" s="359"/>
      <c r="AV18" s="360"/>
      <c r="AW18" s="355"/>
      <c r="AX18" s="355"/>
      <c r="AY18" s="355"/>
      <c r="AZ18" s="356"/>
      <c r="BA18" s="357"/>
      <c r="BB18" s="358"/>
      <c r="BC18" s="357"/>
      <c r="BD18" s="359"/>
      <c r="BE18" s="360"/>
      <c r="BF18" s="355"/>
      <c r="BG18" s="355"/>
      <c r="BH18" s="355"/>
      <c r="BI18" s="356"/>
      <c r="BJ18" s="357"/>
      <c r="BK18" s="358"/>
      <c r="BL18" s="357"/>
      <c r="BM18" s="359"/>
      <c r="BN18" s="360"/>
      <c r="BO18" s="355"/>
      <c r="BP18" s="355"/>
      <c r="BQ18" s="355"/>
      <c r="BR18" s="356"/>
      <c r="BS18" s="357"/>
      <c r="BT18" s="358"/>
      <c r="BU18" s="357"/>
      <c r="BV18" s="359"/>
      <c r="BW18" s="360"/>
      <c r="BX18" s="355"/>
      <c r="BY18" s="355"/>
      <c r="BZ18" s="355"/>
      <c r="CA18" s="356"/>
      <c r="CB18" s="357"/>
      <c r="CC18" s="358"/>
      <c r="CD18" s="357"/>
      <c r="CE18" s="359"/>
      <c r="CF18" s="360"/>
      <c r="CG18" s="355"/>
      <c r="CH18" s="355"/>
      <c r="CI18" s="355"/>
      <c r="CJ18" s="356"/>
      <c r="CK18" s="357"/>
      <c r="CL18" s="358"/>
      <c r="CM18" s="357"/>
      <c r="CN18" s="359"/>
      <c r="CO18" s="360"/>
      <c r="CP18" s="355"/>
      <c r="CQ18" s="355"/>
      <c r="CR18" s="355"/>
      <c r="CS18" s="356"/>
      <c r="CT18" s="357"/>
      <c r="CU18" s="358"/>
      <c r="CV18" s="361"/>
      <c r="CW18" s="359"/>
      <c r="CX18" s="360"/>
      <c r="CY18" s="355"/>
      <c r="CZ18" s="355"/>
      <c r="DA18" s="355"/>
      <c r="DB18" s="356"/>
      <c r="DC18" s="357"/>
      <c r="DD18" s="358"/>
      <c r="DE18" s="357"/>
      <c r="DF18" s="359"/>
      <c r="DG18" s="360"/>
      <c r="DH18" s="355"/>
      <c r="DI18" s="355"/>
      <c r="DJ18" s="355"/>
      <c r="DK18" s="356"/>
      <c r="DL18" s="357"/>
      <c r="DM18" s="358"/>
      <c r="DN18" s="357"/>
      <c r="DO18" s="359"/>
      <c r="DP18" s="360"/>
      <c r="DQ18" s="355"/>
      <c r="DR18" s="355"/>
      <c r="DS18" s="355"/>
      <c r="DT18" s="356"/>
      <c r="DU18" s="357"/>
      <c r="DV18" s="358"/>
      <c r="DW18" s="357"/>
      <c r="DX18" s="359"/>
      <c r="DY18" s="360"/>
      <c r="DZ18" s="355"/>
      <c r="EA18" s="355"/>
      <c r="EB18" s="355"/>
      <c r="EC18" s="356"/>
      <c r="ED18" s="357"/>
      <c r="EE18" s="358"/>
      <c r="EF18" s="357"/>
      <c r="EG18" s="359"/>
      <c r="EH18" s="360"/>
      <c r="EI18" s="355"/>
      <c r="EJ18" s="355"/>
      <c r="EK18" s="355"/>
      <c r="EL18" s="356"/>
      <c r="EM18" s="357"/>
      <c r="EN18" s="358"/>
      <c r="EO18" s="357"/>
      <c r="EP18" s="359"/>
      <c r="EQ18" s="360"/>
      <c r="ER18" s="355"/>
      <c r="ES18" s="355"/>
      <c r="ET18" s="355"/>
      <c r="EU18" s="356"/>
      <c r="EV18" s="357"/>
      <c r="EW18" s="358"/>
      <c r="EX18" s="357"/>
      <c r="EY18" s="359"/>
      <c r="EZ18" s="360"/>
      <c r="FA18" s="355"/>
      <c r="FB18" s="355"/>
      <c r="FC18" s="355"/>
      <c r="FD18" s="356"/>
      <c r="FE18" s="357"/>
      <c r="FF18" s="358"/>
      <c r="FG18" s="357"/>
      <c r="FH18" s="359"/>
      <c r="FI18" s="360"/>
      <c r="FJ18" s="355"/>
      <c r="FK18" s="355"/>
      <c r="FL18" s="355"/>
      <c r="FM18" s="356"/>
      <c r="FN18" s="357"/>
      <c r="FO18" s="358"/>
      <c r="FP18" s="357"/>
      <c r="FQ18" s="359"/>
      <c r="FR18" s="360"/>
      <c r="FS18" s="355"/>
      <c r="FT18" s="355"/>
      <c r="FU18" s="355"/>
      <c r="FV18" s="356"/>
      <c r="FW18" s="357"/>
      <c r="FX18" s="358"/>
      <c r="FY18" s="357"/>
      <c r="FZ18" s="359"/>
      <c r="GA18" s="360"/>
      <c r="GB18" s="355"/>
      <c r="GC18" s="355"/>
      <c r="GD18" s="355"/>
      <c r="GE18" s="356"/>
      <c r="GF18" s="357"/>
      <c r="GG18" s="358"/>
      <c r="GH18" s="357"/>
      <c r="GI18" s="359"/>
      <c r="GJ18" s="360"/>
      <c r="GK18" s="355"/>
      <c r="GL18" s="355"/>
      <c r="GM18" s="355"/>
      <c r="GN18" s="356"/>
      <c r="GO18" s="357"/>
      <c r="GP18" s="358"/>
      <c r="GQ18" s="357"/>
      <c r="GR18" s="359"/>
      <c r="GS18" s="360"/>
      <c r="GT18" s="362">
        <v>43042</v>
      </c>
      <c r="GU18" s="98">
        <v>17584</v>
      </c>
      <c r="GV18" s="65" t="s">
        <v>873</v>
      </c>
      <c r="GW18" s="74"/>
      <c r="GX18" s="74"/>
      <c r="GY18" s="403" t="s">
        <v>1165</v>
      </c>
      <c r="GZ18" s="404">
        <v>2088</v>
      </c>
    </row>
    <row r="19" spans="1:208" x14ac:dyDescent="0.25">
      <c r="C19" s="87"/>
      <c r="D19" s="35"/>
      <c r="E19" s="36"/>
      <c r="F19" s="37"/>
      <c r="G19" s="38"/>
      <c r="H19" s="39"/>
      <c r="I19" s="40"/>
      <c r="J19" s="455" t="s">
        <v>45</v>
      </c>
      <c r="K19" s="407" t="s">
        <v>179</v>
      </c>
      <c r="L19" s="110">
        <v>17790</v>
      </c>
      <c r="M19" s="71">
        <v>43020</v>
      </c>
      <c r="N19" s="380" t="s">
        <v>938</v>
      </c>
      <c r="O19" s="72">
        <v>23155</v>
      </c>
      <c r="P19" s="113">
        <f t="shared" si="0"/>
        <v>5365</v>
      </c>
      <c r="Q19" s="64">
        <v>25</v>
      </c>
      <c r="R19" s="566"/>
      <c r="S19" s="79"/>
      <c r="T19" s="39">
        <f t="shared" si="1"/>
        <v>578875</v>
      </c>
      <c r="U19" s="352" t="s">
        <v>885</v>
      </c>
      <c r="V19" s="353">
        <v>43042</v>
      </c>
      <c r="W19" s="354">
        <v>15004.6</v>
      </c>
      <c r="X19" s="355"/>
      <c r="Y19" s="356"/>
      <c r="Z19" s="357"/>
      <c r="AA19" s="358"/>
      <c r="AB19" s="357"/>
      <c r="AC19" s="359"/>
      <c r="AD19" s="360"/>
      <c r="AE19" s="355"/>
      <c r="AF19" s="355"/>
      <c r="AG19" s="355"/>
      <c r="AH19" s="356"/>
      <c r="AI19" s="357"/>
      <c r="AJ19" s="358"/>
      <c r="AK19" s="357"/>
      <c r="AL19" s="359"/>
      <c r="AM19" s="360"/>
      <c r="AN19" s="355"/>
      <c r="AO19" s="355"/>
      <c r="AP19" s="355"/>
      <c r="AQ19" s="356"/>
      <c r="AR19" s="357"/>
      <c r="AS19" s="358"/>
      <c r="AT19" s="357"/>
      <c r="AU19" s="359"/>
      <c r="AV19" s="360"/>
      <c r="AW19" s="355"/>
      <c r="AX19" s="355"/>
      <c r="AY19" s="355"/>
      <c r="AZ19" s="356"/>
      <c r="BA19" s="357"/>
      <c r="BB19" s="358"/>
      <c r="BC19" s="357"/>
      <c r="BD19" s="359"/>
      <c r="BE19" s="360"/>
      <c r="BF19" s="355"/>
      <c r="BG19" s="355"/>
      <c r="BH19" s="355"/>
      <c r="BI19" s="356"/>
      <c r="BJ19" s="357"/>
      <c r="BK19" s="358"/>
      <c r="BL19" s="357"/>
      <c r="BM19" s="359"/>
      <c r="BN19" s="360"/>
      <c r="BO19" s="355"/>
      <c r="BP19" s="355"/>
      <c r="BQ19" s="355"/>
      <c r="BR19" s="356"/>
      <c r="BS19" s="357"/>
      <c r="BT19" s="358"/>
      <c r="BU19" s="357"/>
      <c r="BV19" s="359"/>
      <c r="BW19" s="360"/>
      <c r="BX19" s="355"/>
      <c r="BY19" s="355"/>
      <c r="BZ19" s="355"/>
      <c r="CA19" s="356"/>
      <c r="CB19" s="357"/>
      <c r="CC19" s="358"/>
      <c r="CD19" s="357"/>
      <c r="CE19" s="359"/>
      <c r="CF19" s="360"/>
      <c r="CG19" s="355"/>
      <c r="CH19" s="355"/>
      <c r="CI19" s="355"/>
      <c r="CJ19" s="356"/>
      <c r="CK19" s="357"/>
      <c r="CL19" s="358"/>
      <c r="CM19" s="357"/>
      <c r="CN19" s="359"/>
      <c r="CO19" s="360"/>
      <c r="CP19" s="355"/>
      <c r="CQ19" s="355"/>
      <c r="CR19" s="355"/>
      <c r="CS19" s="356"/>
      <c r="CT19" s="357"/>
      <c r="CU19" s="358"/>
      <c r="CV19" s="361"/>
      <c r="CW19" s="359"/>
      <c r="CX19" s="360"/>
      <c r="CY19" s="355"/>
      <c r="CZ19" s="355"/>
      <c r="DA19" s="355"/>
      <c r="DB19" s="356"/>
      <c r="DC19" s="357"/>
      <c r="DD19" s="358"/>
      <c r="DE19" s="357"/>
      <c r="DF19" s="359"/>
      <c r="DG19" s="360"/>
      <c r="DH19" s="355"/>
      <c r="DI19" s="355"/>
      <c r="DJ19" s="355"/>
      <c r="DK19" s="356"/>
      <c r="DL19" s="357"/>
      <c r="DM19" s="358"/>
      <c r="DN19" s="357"/>
      <c r="DO19" s="359"/>
      <c r="DP19" s="360"/>
      <c r="DQ19" s="355"/>
      <c r="DR19" s="355"/>
      <c r="DS19" s="355"/>
      <c r="DT19" s="356"/>
      <c r="DU19" s="357"/>
      <c r="DV19" s="358"/>
      <c r="DW19" s="357"/>
      <c r="DX19" s="359"/>
      <c r="DY19" s="360"/>
      <c r="DZ19" s="355"/>
      <c r="EA19" s="355"/>
      <c r="EB19" s="355"/>
      <c r="EC19" s="356"/>
      <c r="ED19" s="357"/>
      <c r="EE19" s="358"/>
      <c r="EF19" s="357"/>
      <c r="EG19" s="359"/>
      <c r="EH19" s="360"/>
      <c r="EI19" s="355"/>
      <c r="EJ19" s="355"/>
      <c r="EK19" s="355"/>
      <c r="EL19" s="356"/>
      <c r="EM19" s="357"/>
      <c r="EN19" s="358"/>
      <c r="EO19" s="357"/>
      <c r="EP19" s="359"/>
      <c r="EQ19" s="360"/>
      <c r="ER19" s="355"/>
      <c r="ES19" s="355"/>
      <c r="ET19" s="355"/>
      <c r="EU19" s="356"/>
      <c r="EV19" s="357"/>
      <c r="EW19" s="358"/>
      <c r="EX19" s="357"/>
      <c r="EY19" s="359"/>
      <c r="EZ19" s="360"/>
      <c r="FA19" s="355"/>
      <c r="FB19" s="355"/>
      <c r="FC19" s="355"/>
      <c r="FD19" s="356"/>
      <c r="FE19" s="357"/>
      <c r="FF19" s="358"/>
      <c r="FG19" s="357"/>
      <c r="FH19" s="359"/>
      <c r="FI19" s="360"/>
      <c r="FJ19" s="355"/>
      <c r="FK19" s="355"/>
      <c r="FL19" s="355"/>
      <c r="FM19" s="356"/>
      <c r="FN19" s="357"/>
      <c r="FO19" s="358"/>
      <c r="FP19" s="357"/>
      <c r="FQ19" s="359"/>
      <c r="FR19" s="360"/>
      <c r="FS19" s="355"/>
      <c r="FT19" s="355"/>
      <c r="FU19" s="355"/>
      <c r="FV19" s="356"/>
      <c r="FW19" s="357"/>
      <c r="FX19" s="358"/>
      <c r="FY19" s="357"/>
      <c r="FZ19" s="359"/>
      <c r="GA19" s="360"/>
      <c r="GB19" s="355"/>
      <c r="GC19" s="355"/>
      <c r="GD19" s="355"/>
      <c r="GE19" s="356"/>
      <c r="GF19" s="357"/>
      <c r="GG19" s="358"/>
      <c r="GH19" s="357"/>
      <c r="GI19" s="359"/>
      <c r="GJ19" s="360"/>
      <c r="GK19" s="355"/>
      <c r="GL19" s="355"/>
      <c r="GM19" s="355"/>
      <c r="GN19" s="356"/>
      <c r="GO19" s="357"/>
      <c r="GP19" s="358"/>
      <c r="GQ19" s="357"/>
      <c r="GR19" s="359"/>
      <c r="GS19" s="360"/>
      <c r="GT19" s="362">
        <v>43042</v>
      </c>
      <c r="GU19" s="624">
        <v>19800</v>
      </c>
      <c r="GV19" s="65" t="s">
        <v>993</v>
      </c>
      <c r="GW19" s="74"/>
      <c r="GX19" s="74"/>
      <c r="GY19" s="403" t="s">
        <v>1165</v>
      </c>
      <c r="GZ19" s="404">
        <v>3712</v>
      </c>
    </row>
    <row r="20" spans="1:208" x14ac:dyDescent="0.25">
      <c r="C20" s="87"/>
      <c r="D20" s="35"/>
      <c r="E20" s="36"/>
      <c r="F20" s="37"/>
      <c r="G20" s="38"/>
      <c r="H20" s="39"/>
      <c r="I20" s="40"/>
      <c r="J20" s="455" t="s">
        <v>821</v>
      </c>
      <c r="K20" s="407" t="s">
        <v>37</v>
      </c>
      <c r="L20" s="110">
        <v>18220</v>
      </c>
      <c r="M20" s="71">
        <v>43021</v>
      </c>
      <c r="N20" s="380" t="s">
        <v>935</v>
      </c>
      <c r="O20" s="72">
        <v>22550</v>
      </c>
      <c r="P20" s="113">
        <f t="shared" si="0"/>
        <v>4330</v>
      </c>
      <c r="Q20" s="64">
        <v>25</v>
      </c>
      <c r="R20" s="905"/>
      <c r="S20" s="906"/>
      <c r="T20" s="39">
        <f t="shared" si="1"/>
        <v>563750</v>
      </c>
      <c r="U20" s="352" t="s">
        <v>885</v>
      </c>
      <c r="V20" s="353">
        <v>43042</v>
      </c>
      <c r="W20" s="354">
        <v>15080</v>
      </c>
      <c r="X20" s="355"/>
      <c r="Y20" s="356"/>
      <c r="Z20" s="357"/>
      <c r="AA20" s="358"/>
      <c r="AB20" s="357"/>
      <c r="AC20" s="359"/>
      <c r="AD20" s="360"/>
      <c r="AE20" s="355"/>
      <c r="AF20" s="355"/>
      <c r="AG20" s="355"/>
      <c r="AH20" s="356"/>
      <c r="AI20" s="357"/>
      <c r="AJ20" s="358"/>
      <c r="AK20" s="357"/>
      <c r="AL20" s="359"/>
      <c r="AM20" s="360"/>
      <c r="AN20" s="355"/>
      <c r="AO20" s="355"/>
      <c r="AP20" s="355"/>
      <c r="AQ20" s="356"/>
      <c r="AR20" s="357"/>
      <c r="AS20" s="358"/>
      <c r="AT20" s="357"/>
      <c r="AU20" s="359"/>
      <c r="AV20" s="360"/>
      <c r="AW20" s="355"/>
      <c r="AX20" s="355"/>
      <c r="AY20" s="355"/>
      <c r="AZ20" s="356"/>
      <c r="BA20" s="357"/>
      <c r="BB20" s="358"/>
      <c r="BC20" s="357"/>
      <c r="BD20" s="359"/>
      <c r="BE20" s="360"/>
      <c r="BF20" s="355"/>
      <c r="BG20" s="355"/>
      <c r="BH20" s="355"/>
      <c r="BI20" s="356"/>
      <c r="BJ20" s="357"/>
      <c r="BK20" s="358"/>
      <c r="BL20" s="357"/>
      <c r="BM20" s="359"/>
      <c r="BN20" s="360"/>
      <c r="BO20" s="355"/>
      <c r="BP20" s="355"/>
      <c r="BQ20" s="355"/>
      <c r="BR20" s="356"/>
      <c r="BS20" s="357"/>
      <c r="BT20" s="358"/>
      <c r="BU20" s="357"/>
      <c r="BV20" s="359"/>
      <c r="BW20" s="360"/>
      <c r="BX20" s="355"/>
      <c r="BY20" s="355"/>
      <c r="BZ20" s="355"/>
      <c r="CA20" s="356"/>
      <c r="CB20" s="357"/>
      <c r="CC20" s="358"/>
      <c r="CD20" s="357"/>
      <c r="CE20" s="359"/>
      <c r="CF20" s="360"/>
      <c r="CG20" s="355"/>
      <c r="CH20" s="355"/>
      <c r="CI20" s="355"/>
      <c r="CJ20" s="356"/>
      <c r="CK20" s="357"/>
      <c r="CL20" s="358"/>
      <c r="CM20" s="357"/>
      <c r="CN20" s="359"/>
      <c r="CO20" s="360"/>
      <c r="CP20" s="355"/>
      <c r="CQ20" s="355"/>
      <c r="CR20" s="355"/>
      <c r="CS20" s="356"/>
      <c r="CT20" s="357"/>
      <c r="CU20" s="358"/>
      <c r="CV20" s="361"/>
      <c r="CW20" s="359"/>
      <c r="CX20" s="360"/>
      <c r="CY20" s="355"/>
      <c r="CZ20" s="355"/>
      <c r="DA20" s="355"/>
      <c r="DB20" s="356"/>
      <c r="DC20" s="357"/>
      <c r="DD20" s="358"/>
      <c r="DE20" s="357"/>
      <c r="DF20" s="359"/>
      <c r="DG20" s="360"/>
      <c r="DH20" s="355"/>
      <c r="DI20" s="355"/>
      <c r="DJ20" s="355"/>
      <c r="DK20" s="356"/>
      <c r="DL20" s="357"/>
      <c r="DM20" s="358"/>
      <c r="DN20" s="357"/>
      <c r="DO20" s="359"/>
      <c r="DP20" s="360"/>
      <c r="DQ20" s="355"/>
      <c r="DR20" s="355"/>
      <c r="DS20" s="355"/>
      <c r="DT20" s="356"/>
      <c r="DU20" s="357"/>
      <c r="DV20" s="358"/>
      <c r="DW20" s="357"/>
      <c r="DX20" s="359"/>
      <c r="DY20" s="360"/>
      <c r="DZ20" s="355"/>
      <c r="EA20" s="355"/>
      <c r="EB20" s="355"/>
      <c r="EC20" s="356"/>
      <c r="ED20" s="357"/>
      <c r="EE20" s="358"/>
      <c r="EF20" s="357"/>
      <c r="EG20" s="359"/>
      <c r="EH20" s="360"/>
      <c r="EI20" s="355"/>
      <c r="EJ20" s="355"/>
      <c r="EK20" s="355"/>
      <c r="EL20" s="356"/>
      <c r="EM20" s="357"/>
      <c r="EN20" s="358"/>
      <c r="EO20" s="357"/>
      <c r="EP20" s="359"/>
      <c r="EQ20" s="360"/>
      <c r="ER20" s="355"/>
      <c r="ES20" s="355"/>
      <c r="ET20" s="355"/>
      <c r="EU20" s="356"/>
      <c r="EV20" s="357"/>
      <c r="EW20" s="358"/>
      <c r="EX20" s="357"/>
      <c r="EY20" s="359"/>
      <c r="EZ20" s="360"/>
      <c r="FA20" s="355"/>
      <c r="FB20" s="355"/>
      <c r="FC20" s="355"/>
      <c r="FD20" s="356"/>
      <c r="FE20" s="357"/>
      <c r="FF20" s="358"/>
      <c r="FG20" s="357"/>
      <c r="FH20" s="359"/>
      <c r="FI20" s="360"/>
      <c r="FJ20" s="355"/>
      <c r="FK20" s="355"/>
      <c r="FL20" s="355"/>
      <c r="FM20" s="356"/>
      <c r="FN20" s="357"/>
      <c r="FO20" s="358"/>
      <c r="FP20" s="357"/>
      <c r="FQ20" s="359"/>
      <c r="FR20" s="360"/>
      <c r="FS20" s="355"/>
      <c r="FT20" s="355"/>
      <c r="FU20" s="355"/>
      <c r="FV20" s="356"/>
      <c r="FW20" s="357"/>
      <c r="FX20" s="358"/>
      <c r="FY20" s="357"/>
      <c r="FZ20" s="359"/>
      <c r="GA20" s="360"/>
      <c r="GB20" s="355"/>
      <c r="GC20" s="355"/>
      <c r="GD20" s="355"/>
      <c r="GE20" s="356"/>
      <c r="GF20" s="357"/>
      <c r="GG20" s="358"/>
      <c r="GH20" s="357"/>
      <c r="GI20" s="359"/>
      <c r="GJ20" s="360"/>
      <c r="GK20" s="355"/>
      <c r="GL20" s="355"/>
      <c r="GM20" s="355"/>
      <c r="GN20" s="356"/>
      <c r="GO20" s="357"/>
      <c r="GP20" s="358"/>
      <c r="GQ20" s="357"/>
      <c r="GR20" s="359"/>
      <c r="GS20" s="360"/>
      <c r="GT20" s="362">
        <v>43042</v>
      </c>
      <c r="GU20" s="98">
        <v>22176</v>
      </c>
      <c r="GV20" s="65" t="s">
        <v>889</v>
      </c>
      <c r="GW20" s="74"/>
      <c r="GX20" s="74"/>
      <c r="GY20" s="403" t="s">
        <v>1165</v>
      </c>
      <c r="GZ20" s="404">
        <v>3712</v>
      </c>
    </row>
    <row r="21" spans="1:208" x14ac:dyDescent="0.25">
      <c r="C21" s="87"/>
      <c r="D21" s="35"/>
      <c r="E21" s="36"/>
      <c r="F21" s="37"/>
      <c r="G21" s="38"/>
      <c r="H21" s="39"/>
      <c r="I21" s="40"/>
      <c r="J21" s="68" t="s">
        <v>860</v>
      </c>
      <c r="K21" s="407" t="s">
        <v>35</v>
      </c>
      <c r="L21" s="70">
        <v>11700</v>
      </c>
      <c r="M21" s="71">
        <v>43021</v>
      </c>
      <c r="N21" s="380" t="s">
        <v>942</v>
      </c>
      <c r="O21" s="72">
        <v>15085</v>
      </c>
      <c r="P21" s="113">
        <f t="shared" si="0"/>
        <v>3385</v>
      </c>
      <c r="Q21" s="64">
        <v>25</v>
      </c>
      <c r="R21" s="64"/>
      <c r="S21" s="64"/>
      <c r="T21" s="39">
        <f t="shared" si="1"/>
        <v>377125</v>
      </c>
      <c r="U21" s="363" t="s">
        <v>885</v>
      </c>
      <c r="V21" s="353">
        <v>43045</v>
      </c>
      <c r="W21" s="364">
        <v>9802</v>
      </c>
      <c r="X21" s="355"/>
      <c r="Y21" s="356"/>
      <c r="Z21" s="357"/>
      <c r="AA21" s="358"/>
      <c r="AB21" s="357"/>
      <c r="AC21" s="359"/>
      <c r="AD21" s="360"/>
      <c r="AE21" s="355"/>
      <c r="AF21" s="355"/>
      <c r="AG21" s="355"/>
      <c r="AH21" s="356"/>
      <c r="AI21" s="357"/>
      <c r="AJ21" s="358"/>
      <c r="AK21" s="357"/>
      <c r="AL21" s="359"/>
      <c r="AM21" s="360"/>
      <c r="AN21" s="355"/>
      <c r="AO21" s="355"/>
      <c r="AP21" s="355"/>
      <c r="AQ21" s="356"/>
      <c r="AR21" s="357"/>
      <c r="AS21" s="358"/>
      <c r="AT21" s="357"/>
      <c r="AU21" s="359"/>
      <c r="AV21" s="360"/>
      <c r="AW21" s="355"/>
      <c r="AX21" s="355"/>
      <c r="AY21" s="355"/>
      <c r="AZ21" s="356"/>
      <c r="BA21" s="357"/>
      <c r="BB21" s="358"/>
      <c r="BC21" s="357"/>
      <c r="BD21" s="359"/>
      <c r="BE21" s="360"/>
      <c r="BF21" s="355"/>
      <c r="BG21" s="355"/>
      <c r="BH21" s="355"/>
      <c r="BI21" s="356"/>
      <c r="BJ21" s="357"/>
      <c r="BK21" s="358"/>
      <c r="BL21" s="357"/>
      <c r="BM21" s="359"/>
      <c r="BN21" s="360"/>
      <c r="BO21" s="355"/>
      <c r="BP21" s="355"/>
      <c r="BQ21" s="355"/>
      <c r="BR21" s="356"/>
      <c r="BS21" s="357"/>
      <c r="BT21" s="358"/>
      <c r="BU21" s="357"/>
      <c r="BV21" s="359"/>
      <c r="BW21" s="360"/>
      <c r="BX21" s="355"/>
      <c r="BY21" s="355"/>
      <c r="BZ21" s="355"/>
      <c r="CA21" s="356"/>
      <c r="CB21" s="357"/>
      <c r="CC21" s="358"/>
      <c r="CD21" s="357"/>
      <c r="CE21" s="359"/>
      <c r="CF21" s="360"/>
      <c r="CG21" s="355"/>
      <c r="CH21" s="355"/>
      <c r="CI21" s="355"/>
      <c r="CJ21" s="356"/>
      <c r="CK21" s="357"/>
      <c r="CL21" s="358"/>
      <c r="CM21" s="357"/>
      <c r="CN21" s="359"/>
      <c r="CO21" s="360"/>
      <c r="CP21" s="355"/>
      <c r="CQ21" s="355"/>
      <c r="CR21" s="355"/>
      <c r="CS21" s="356"/>
      <c r="CT21" s="357"/>
      <c r="CU21" s="358"/>
      <c r="CV21" s="361"/>
      <c r="CW21" s="359"/>
      <c r="CX21" s="360"/>
      <c r="CY21" s="355"/>
      <c r="CZ21" s="355"/>
      <c r="DA21" s="355"/>
      <c r="DB21" s="356"/>
      <c r="DC21" s="357"/>
      <c r="DD21" s="358"/>
      <c r="DE21" s="357"/>
      <c r="DF21" s="359"/>
      <c r="DG21" s="360"/>
      <c r="DH21" s="355"/>
      <c r="DI21" s="355"/>
      <c r="DJ21" s="355"/>
      <c r="DK21" s="356"/>
      <c r="DL21" s="357"/>
      <c r="DM21" s="358"/>
      <c r="DN21" s="357"/>
      <c r="DO21" s="359"/>
      <c r="DP21" s="360"/>
      <c r="DQ21" s="355"/>
      <c r="DR21" s="355"/>
      <c r="DS21" s="355"/>
      <c r="DT21" s="356"/>
      <c r="DU21" s="357"/>
      <c r="DV21" s="358"/>
      <c r="DW21" s="357"/>
      <c r="DX21" s="359"/>
      <c r="DY21" s="360"/>
      <c r="DZ21" s="355"/>
      <c r="EA21" s="355"/>
      <c r="EB21" s="355"/>
      <c r="EC21" s="356"/>
      <c r="ED21" s="357"/>
      <c r="EE21" s="358"/>
      <c r="EF21" s="357"/>
      <c r="EG21" s="359"/>
      <c r="EH21" s="360"/>
      <c r="EI21" s="355"/>
      <c r="EJ21" s="355"/>
      <c r="EK21" s="355"/>
      <c r="EL21" s="356"/>
      <c r="EM21" s="357"/>
      <c r="EN21" s="358"/>
      <c r="EO21" s="357"/>
      <c r="EP21" s="359"/>
      <c r="EQ21" s="360"/>
      <c r="ER21" s="355"/>
      <c r="ES21" s="355"/>
      <c r="ET21" s="355"/>
      <c r="EU21" s="356"/>
      <c r="EV21" s="357"/>
      <c r="EW21" s="358"/>
      <c r="EX21" s="357"/>
      <c r="EY21" s="359"/>
      <c r="EZ21" s="360"/>
      <c r="FA21" s="355"/>
      <c r="FB21" s="355"/>
      <c r="FC21" s="355"/>
      <c r="FD21" s="356"/>
      <c r="FE21" s="357"/>
      <c r="FF21" s="358"/>
      <c r="FG21" s="357"/>
      <c r="FH21" s="359"/>
      <c r="FI21" s="360"/>
      <c r="FJ21" s="355"/>
      <c r="FK21" s="355"/>
      <c r="FL21" s="355"/>
      <c r="FM21" s="356"/>
      <c r="FN21" s="357"/>
      <c r="FO21" s="358"/>
      <c r="FP21" s="357"/>
      <c r="FQ21" s="359"/>
      <c r="FR21" s="360"/>
      <c r="FS21" s="355"/>
      <c r="FT21" s="355"/>
      <c r="FU21" s="355"/>
      <c r="FV21" s="356"/>
      <c r="FW21" s="357"/>
      <c r="FX21" s="358"/>
      <c r="FY21" s="357"/>
      <c r="FZ21" s="359"/>
      <c r="GA21" s="360"/>
      <c r="GB21" s="355"/>
      <c r="GC21" s="355"/>
      <c r="GD21" s="355"/>
      <c r="GE21" s="356"/>
      <c r="GF21" s="357"/>
      <c r="GG21" s="358"/>
      <c r="GH21" s="357"/>
      <c r="GI21" s="359"/>
      <c r="GJ21" s="360"/>
      <c r="GK21" s="355"/>
      <c r="GL21" s="355"/>
      <c r="GM21" s="355"/>
      <c r="GN21" s="356"/>
      <c r="GO21" s="357"/>
      <c r="GP21" s="358"/>
      <c r="GQ21" s="357"/>
      <c r="GR21" s="359"/>
      <c r="GS21" s="360"/>
      <c r="GT21" s="362">
        <v>43045</v>
      </c>
      <c r="GU21" s="98">
        <v>17584</v>
      </c>
      <c r="GV21" s="617" t="s">
        <v>888</v>
      </c>
      <c r="GW21" s="74"/>
      <c r="GX21" s="74"/>
      <c r="GY21" s="403" t="s">
        <v>1165</v>
      </c>
      <c r="GZ21" s="404">
        <v>2088</v>
      </c>
    </row>
    <row r="22" spans="1:208" x14ac:dyDescent="0.25">
      <c r="C22" s="87"/>
      <c r="D22" s="35"/>
      <c r="E22" s="36"/>
      <c r="F22" s="37"/>
      <c r="G22" s="38"/>
      <c r="H22" s="39"/>
      <c r="I22" s="40"/>
      <c r="J22" s="68" t="s">
        <v>38</v>
      </c>
      <c r="K22" s="407" t="s">
        <v>35</v>
      </c>
      <c r="L22" s="70">
        <v>11120</v>
      </c>
      <c r="M22" s="71">
        <v>43023</v>
      </c>
      <c r="N22" s="380" t="s">
        <v>940</v>
      </c>
      <c r="O22" s="72">
        <v>14330</v>
      </c>
      <c r="P22" s="113">
        <f t="shared" si="0"/>
        <v>3210</v>
      </c>
      <c r="Q22" s="64">
        <v>25</v>
      </c>
      <c r="R22" s="64"/>
      <c r="S22" s="64"/>
      <c r="T22" s="39">
        <f t="shared" si="1"/>
        <v>358250</v>
      </c>
      <c r="U22" s="363" t="s">
        <v>885</v>
      </c>
      <c r="V22" s="353">
        <v>43045</v>
      </c>
      <c r="W22" s="364">
        <v>9802</v>
      </c>
      <c r="X22" s="355"/>
      <c r="Y22" s="356"/>
      <c r="Z22" s="357"/>
      <c r="AA22" s="358"/>
      <c r="AB22" s="357"/>
      <c r="AC22" s="359"/>
      <c r="AD22" s="360"/>
      <c r="AE22" s="355"/>
      <c r="AF22" s="355"/>
      <c r="AG22" s="355"/>
      <c r="AH22" s="356"/>
      <c r="AI22" s="357"/>
      <c r="AJ22" s="358"/>
      <c r="AK22" s="357"/>
      <c r="AL22" s="359"/>
      <c r="AM22" s="360"/>
      <c r="AN22" s="355"/>
      <c r="AO22" s="355"/>
      <c r="AP22" s="355"/>
      <c r="AQ22" s="356"/>
      <c r="AR22" s="357"/>
      <c r="AS22" s="358"/>
      <c r="AT22" s="357"/>
      <c r="AU22" s="359"/>
      <c r="AV22" s="360"/>
      <c r="AW22" s="355"/>
      <c r="AX22" s="355"/>
      <c r="AY22" s="355"/>
      <c r="AZ22" s="356"/>
      <c r="BA22" s="357"/>
      <c r="BB22" s="358"/>
      <c r="BC22" s="357"/>
      <c r="BD22" s="359"/>
      <c r="BE22" s="360"/>
      <c r="BF22" s="355"/>
      <c r="BG22" s="355"/>
      <c r="BH22" s="355"/>
      <c r="BI22" s="356"/>
      <c r="BJ22" s="357"/>
      <c r="BK22" s="358"/>
      <c r="BL22" s="357"/>
      <c r="BM22" s="359"/>
      <c r="BN22" s="360"/>
      <c r="BO22" s="355"/>
      <c r="BP22" s="355"/>
      <c r="BQ22" s="355"/>
      <c r="BR22" s="356"/>
      <c r="BS22" s="357"/>
      <c r="BT22" s="358"/>
      <c r="BU22" s="357"/>
      <c r="BV22" s="359"/>
      <c r="BW22" s="360"/>
      <c r="BX22" s="355"/>
      <c r="BY22" s="355"/>
      <c r="BZ22" s="355"/>
      <c r="CA22" s="356"/>
      <c r="CB22" s="357"/>
      <c r="CC22" s="358"/>
      <c r="CD22" s="357"/>
      <c r="CE22" s="359"/>
      <c r="CF22" s="360"/>
      <c r="CG22" s="355"/>
      <c r="CH22" s="355"/>
      <c r="CI22" s="355"/>
      <c r="CJ22" s="356"/>
      <c r="CK22" s="357"/>
      <c r="CL22" s="358"/>
      <c r="CM22" s="357"/>
      <c r="CN22" s="359"/>
      <c r="CO22" s="360"/>
      <c r="CP22" s="355"/>
      <c r="CQ22" s="355"/>
      <c r="CR22" s="355"/>
      <c r="CS22" s="356"/>
      <c r="CT22" s="357"/>
      <c r="CU22" s="358"/>
      <c r="CV22" s="361"/>
      <c r="CW22" s="359"/>
      <c r="CX22" s="360"/>
      <c r="CY22" s="355"/>
      <c r="CZ22" s="355"/>
      <c r="DA22" s="355"/>
      <c r="DB22" s="356"/>
      <c r="DC22" s="357"/>
      <c r="DD22" s="358"/>
      <c r="DE22" s="357"/>
      <c r="DF22" s="359"/>
      <c r="DG22" s="360"/>
      <c r="DH22" s="355"/>
      <c r="DI22" s="355"/>
      <c r="DJ22" s="355"/>
      <c r="DK22" s="356"/>
      <c r="DL22" s="357"/>
      <c r="DM22" s="358"/>
      <c r="DN22" s="357"/>
      <c r="DO22" s="359"/>
      <c r="DP22" s="360"/>
      <c r="DQ22" s="355"/>
      <c r="DR22" s="355"/>
      <c r="DS22" s="355"/>
      <c r="DT22" s="356"/>
      <c r="DU22" s="357"/>
      <c r="DV22" s="358"/>
      <c r="DW22" s="357"/>
      <c r="DX22" s="359"/>
      <c r="DY22" s="360"/>
      <c r="DZ22" s="355"/>
      <c r="EA22" s="355"/>
      <c r="EB22" s="355"/>
      <c r="EC22" s="356"/>
      <c r="ED22" s="357"/>
      <c r="EE22" s="358"/>
      <c r="EF22" s="357"/>
      <c r="EG22" s="359"/>
      <c r="EH22" s="360"/>
      <c r="EI22" s="355"/>
      <c r="EJ22" s="355"/>
      <c r="EK22" s="355"/>
      <c r="EL22" s="356"/>
      <c r="EM22" s="357"/>
      <c r="EN22" s="358"/>
      <c r="EO22" s="357"/>
      <c r="EP22" s="359"/>
      <c r="EQ22" s="360"/>
      <c r="ER22" s="355"/>
      <c r="ES22" s="355"/>
      <c r="ET22" s="355"/>
      <c r="EU22" s="356"/>
      <c r="EV22" s="357"/>
      <c r="EW22" s="358"/>
      <c r="EX22" s="357"/>
      <c r="EY22" s="359"/>
      <c r="EZ22" s="360"/>
      <c r="FA22" s="355"/>
      <c r="FB22" s="355"/>
      <c r="FC22" s="355"/>
      <c r="FD22" s="356"/>
      <c r="FE22" s="357"/>
      <c r="FF22" s="358"/>
      <c r="FG22" s="357"/>
      <c r="FH22" s="359"/>
      <c r="FI22" s="360"/>
      <c r="FJ22" s="355"/>
      <c r="FK22" s="355"/>
      <c r="FL22" s="355"/>
      <c r="FM22" s="356"/>
      <c r="FN22" s="357"/>
      <c r="FO22" s="358"/>
      <c r="FP22" s="357"/>
      <c r="FQ22" s="359"/>
      <c r="FR22" s="360"/>
      <c r="FS22" s="355"/>
      <c r="FT22" s="355"/>
      <c r="FU22" s="355"/>
      <c r="FV22" s="356"/>
      <c r="FW22" s="357"/>
      <c r="FX22" s="358"/>
      <c r="FY22" s="357"/>
      <c r="FZ22" s="359"/>
      <c r="GA22" s="360"/>
      <c r="GB22" s="355"/>
      <c r="GC22" s="355"/>
      <c r="GD22" s="355"/>
      <c r="GE22" s="356"/>
      <c r="GF22" s="357"/>
      <c r="GG22" s="358"/>
      <c r="GH22" s="357"/>
      <c r="GI22" s="359"/>
      <c r="GJ22" s="360"/>
      <c r="GK22" s="355"/>
      <c r="GL22" s="355"/>
      <c r="GM22" s="355"/>
      <c r="GN22" s="356"/>
      <c r="GO22" s="357"/>
      <c r="GP22" s="358"/>
      <c r="GQ22" s="357"/>
      <c r="GR22" s="359"/>
      <c r="GS22" s="360"/>
      <c r="GT22" s="362">
        <v>43045</v>
      </c>
      <c r="GU22" s="98">
        <v>17584</v>
      </c>
      <c r="GV22" s="84" t="s">
        <v>892</v>
      </c>
      <c r="GW22" s="74"/>
      <c r="GX22" s="74"/>
      <c r="GY22" s="405" t="s">
        <v>1165</v>
      </c>
      <c r="GZ22" s="404">
        <v>2088</v>
      </c>
    </row>
    <row r="23" spans="1:208" x14ac:dyDescent="0.25">
      <c r="C23" s="87"/>
      <c r="D23" s="35"/>
      <c r="E23" s="36"/>
      <c r="F23" s="37"/>
      <c r="G23" s="38"/>
      <c r="H23" s="39"/>
      <c r="I23" s="40"/>
      <c r="J23" s="76" t="s">
        <v>42</v>
      </c>
      <c r="K23" s="407" t="s">
        <v>428</v>
      </c>
      <c r="L23" s="70">
        <v>19370</v>
      </c>
      <c r="M23" s="71">
        <v>43023</v>
      </c>
      <c r="N23" s="380" t="s">
        <v>941</v>
      </c>
      <c r="O23" s="72">
        <v>23895</v>
      </c>
      <c r="P23" s="113">
        <f t="shared" si="0"/>
        <v>4525</v>
      </c>
      <c r="Q23" s="64">
        <v>25</v>
      </c>
      <c r="R23" s="64"/>
      <c r="S23" s="64"/>
      <c r="T23" s="39">
        <f t="shared" si="1"/>
        <v>597375</v>
      </c>
      <c r="U23" s="363" t="s">
        <v>885</v>
      </c>
      <c r="V23" s="353">
        <v>43045</v>
      </c>
      <c r="W23" s="364">
        <v>14929.2</v>
      </c>
      <c r="X23" s="355"/>
      <c r="Y23" s="356"/>
      <c r="Z23" s="357"/>
      <c r="AA23" s="358"/>
      <c r="AB23" s="357"/>
      <c r="AC23" s="359"/>
      <c r="AD23" s="360"/>
      <c r="AE23" s="355"/>
      <c r="AF23" s="355"/>
      <c r="AG23" s="355"/>
      <c r="AH23" s="356"/>
      <c r="AI23" s="357"/>
      <c r="AJ23" s="358"/>
      <c r="AK23" s="357"/>
      <c r="AL23" s="359"/>
      <c r="AM23" s="360"/>
      <c r="AN23" s="355"/>
      <c r="AO23" s="355"/>
      <c r="AP23" s="355"/>
      <c r="AQ23" s="356"/>
      <c r="AR23" s="357"/>
      <c r="AS23" s="358"/>
      <c r="AT23" s="357"/>
      <c r="AU23" s="359"/>
      <c r="AV23" s="360"/>
      <c r="AW23" s="355"/>
      <c r="AX23" s="355"/>
      <c r="AY23" s="355"/>
      <c r="AZ23" s="356"/>
      <c r="BA23" s="357"/>
      <c r="BB23" s="358"/>
      <c r="BC23" s="357"/>
      <c r="BD23" s="359"/>
      <c r="BE23" s="360"/>
      <c r="BF23" s="355"/>
      <c r="BG23" s="355"/>
      <c r="BH23" s="355"/>
      <c r="BI23" s="356"/>
      <c r="BJ23" s="357"/>
      <c r="BK23" s="358"/>
      <c r="BL23" s="357"/>
      <c r="BM23" s="359"/>
      <c r="BN23" s="360"/>
      <c r="BO23" s="355"/>
      <c r="BP23" s="355"/>
      <c r="BQ23" s="355"/>
      <c r="BR23" s="356"/>
      <c r="BS23" s="357"/>
      <c r="BT23" s="358"/>
      <c r="BU23" s="357"/>
      <c r="BV23" s="359"/>
      <c r="BW23" s="360"/>
      <c r="BX23" s="355"/>
      <c r="BY23" s="355"/>
      <c r="BZ23" s="355"/>
      <c r="CA23" s="356"/>
      <c r="CB23" s="357"/>
      <c r="CC23" s="358"/>
      <c r="CD23" s="357"/>
      <c r="CE23" s="359"/>
      <c r="CF23" s="360"/>
      <c r="CG23" s="355"/>
      <c r="CH23" s="355"/>
      <c r="CI23" s="355"/>
      <c r="CJ23" s="356"/>
      <c r="CK23" s="357"/>
      <c r="CL23" s="358"/>
      <c r="CM23" s="357"/>
      <c r="CN23" s="359"/>
      <c r="CO23" s="360"/>
      <c r="CP23" s="355"/>
      <c r="CQ23" s="355"/>
      <c r="CR23" s="355"/>
      <c r="CS23" s="356"/>
      <c r="CT23" s="357"/>
      <c r="CU23" s="358"/>
      <c r="CV23" s="361"/>
      <c r="CW23" s="359"/>
      <c r="CX23" s="360"/>
      <c r="CY23" s="355"/>
      <c r="CZ23" s="355"/>
      <c r="DA23" s="355"/>
      <c r="DB23" s="356"/>
      <c r="DC23" s="357"/>
      <c r="DD23" s="358"/>
      <c r="DE23" s="357"/>
      <c r="DF23" s="359"/>
      <c r="DG23" s="360"/>
      <c r="DH23" s="355"/>
      <c r="DI23" s="355"/>
      <c r="DJ23" s="355"/>
      <c r="DK23" s="356"/>
      <c r="DL23" s="357"/>
      <c r="DM23" s="358"/>
      <c r="DN23" s="357"/>
      <c r="DO23" s="359"/>
      <c r="DP23" s="360"/>
      <c r="DQ23" s="355"/>
      <c r="DR23" s="355"/>
      <c r="DS23" s="355"/>
      <c r="DT23" s="356"/>
      <c r="DU23" s="357"/>
      <c r="DV23" s="358"/>
      <c r="DW23" s="357"/>
      <c r="DX23" s="359"/>
      <c r="DY23" s="360"/>
      <c r="DZ23" s="355"/>
      <c r="EA23" s="355"/>
      <c r="EB23" s="355"/>
      <c r="EC23" s="356"/>
      <c r="ED23" s="357"/>
      <c r="EE23" s="358"/>
      <c r="EF23" s="357"/>
      <c r="EG23" s="359"/>
      <c r="EH23" s="360"/>
      <c r="EI23" s="355"/>
      <c r="EJ23" s="355"/>
      <c r="EK23" s="355"/>
      <c r="EL23" s="356"/>
      <c r="EM23" s="357"/>
      <c r="EN23" s="358"/>
      <c r="EO23" s="357"/>
      <c r="EP23" s="359"/>
      <c r="EQ23" s="360"/>
      <c r="ER23" s="355"/>
      <c r="ES23" s="355"/>
      <c r="ET23" s="355"/>
      <c r="EU23" s="356"/>
      <c r="EV23" s="357"/>
      <c r="EW23" s="358"/>
      <c r="EX23" s="357"/>
      <c r="EY23" s="359"/>
      <c r="EZ23" s="360"/>
      <c r="FA23" s="355"/>
      <c r="FB23" s="355"/>
      <c r="FC23" s="355"/>
      <c r="FD23" s="356"/>
      <c r="FE23" s="357"/>
      <c r="FF23" s="358"/>
      <c r="FG23" s="357"/>
      <c r="FH23" s="359"/>
      <c r="FI23" s="360"/>
      <c r="FJ23" s="355"/>
      <c r="FK23" s="355"/>
      <c r="FL23" s="355"/>
      <c r="FM23" s="356"/>
      <c r="FN23" s="357"/>
      <c r="FO23" s="358"/>
      <c r="FP23" s="357"/>
      <c r="FQ23" s="359"/>
      <c r="FR23" s="360"/>
      <c r="FS23" s="355"/>
      <c r="FT23" s="355"/>
      <c r="FU23" s="355"/>
      <c r="FV23" s="356"/>
      <c r="FW23" s="357"/>
      <c r="FX23" s="358"/>
      <c r="FY23" s="357"/>
      <c r="FZ23" s="359"/>
      <c r="GA23" s="360"/>
      <c r="GB23" s="355"/>
      <c r="GC23" s="355"/>
      <c r="GD23" s="355"/>
      <c r="GE23" s="356"/>
      <c r="GF23" s="357"/>
      <c r="GG23" s="358"/>
      <c r="GH23" s="357"/>
      <c r="GI23" s="359"/>
      <c r="GJ23" s="360"/>
      <c r="GK23" s="355"/>
      <c r="GL23" s="355"/>
      <c r="GM23" s="355"/>
      <c r="GN23" s="356"/>
      <c r="GO23" s="357"/>
      <c r="GP23" s="358"/>
      <c r="GQ23" s="357"/>
      <c r="GR23" s="359"/>
      <c r="GS23" s="360"/>
      <c r="GT23" s="362">
        <v>43045</v>
      </c>
      <c r="GU23" s="624">
        <v>19800</v>
      </c>
      <c r="GV23" s="84" t="s">
        <v>993</v>
      </c>
      <c r="GW23" s="74"/>
      <c r="GX23" s="74"/>
      <c r="GY23" s="405" t="s">
        <v>1165</v>
      </c>
      <c r="GZ23" s="404">
        <v>3712</v>
      </c>
    </row>
    <row r="24" spans="1:208" x14ac:dyDescent="0.25">
      <c r="C24" s="87"/>
      <c r="D24" s="35"/>
      <c r="E24" s="36"/>
      <c r="F24" s="37"/>
      <c r="G24" s="38"/>
      <c r="H24" s="39"/>
      <c r="I24" s="40"/>
      <c r="J24" s="76" t="s">
        <v>861</v>
      </c>
      <c r="K24" s="407" t="s">
        <v>210</v>
      </c>
      <c r="L24" s="70">
        <v>22260</v>
      </c>
      <c r="M24" s="71">
        <v>43024</v>
      </c>
      <c r="N24" s="380" t="s">
        <v>939</v>
      </c>
      <c r="O24" s="72">
        <v>28480</v>
      </c>
      <c r="P24" s="113">
        <f t="shared" si="0"/>
        <v>6220</v>
      </c>
      <c r="Q24" s="64">
        <v>25</v>
      </c>
      <c r="R24" s="64"/>
      <c r="S24" s="64"/>
      <c r="T24" s="39">
        <f t="shared" si="1"/>
        <v>712000</v>
      </c>
      <c r="U24" s="363" t="s">
        <v>885</v>
      </c>
      <c r="V24" s="353">
        <v>43045</v>
      </c>
      <c r="W24" s="364">
        <v>19604</v>
      </c>
      <c r="X24" s="355"/>
      <c r="Y24" s="356"/>
      <c r="Z24" s="357"/>
      <c r="AA24" s="358"/>
      <c r="AB24" s="357"/>
      <c r="AC24" s="359"/>
      <c r="AD24" s="360"/>
      <c r="AE24" s="355"/>
      <c r="AF24" s="355"/>
      <c r="AG24" s="355"/>
      <c r="AH24" s="356"/>
      <c r="AI24" s="357"/>
      <c r="AJ24" s="358"/>
      <c r="AK24" s="357"/>
      <c r="AL24" s="359"/>
      <c r="AM24" s="360"/>
      <c r="AN24" s="355"/>
      <c r="AO24" s="355"/>
      <c r="AP24" s="355"/>
      <c r="AQ24" s="356"/>
      <c r="AR24" s="357"/>
      <c r="AS24" s="358"/>
      <c r="AT24" s="357"/>
      <c r="AU24" s="359"/>
      <c r="AV24" s="360"/>
      <c r="AW24" s="355"/>
      <c r="AX24" s="355"/>
      <c r="AY24" s="355"/>
      <c r="AZ24" s="356"/>
      <c r="BA24" s="357"/>
      <c r="BB24" s="358"/>
      <c r="BC24" s="357"/>
      <c r="BD24" s="359"/>
      <c r="BE24" s="360"/>
      <c r="BF24" s="355"/>
      <c r="BG24" s="355"/>
      <c r="BH24" s="355"/>
      <c r="BI24" s="356"/>
      <c r="BJ24" s="357"/>
      <c r="BK24" s="358"/>
      <c r="BL24" s="357"/>
      <c r="BM24" s="359"/>
      <c r="BN24" s="360"/>
      <c r="BO24" s="355"/>
      <c r="BP24" s="355"/>
      <c r="BQ24" s="355"/>
      <c r="BR24" s="356"/>
      <c r="BS24" s="357"/>
      <c r="BT24" s="358"/>
      <c r="BU24" s="357"/>
      <c r="BV24" s="359"/>
      <c r="BW24" s="360"/>
      <c r="BX24" s="355"/>
      <c r="BY24" s="355"/>
      <c r="BZ24" s="355"/>
      <c r="CA24" s="356"/>
      <c r="CB24" s="357"/>
      <c r="CC24" s="358"/>
      <c r="CD24" s="357"/>
      <c r="CE24" s="359"/>
      <c r="CF24" s="360"/>
      <c r="CG24" s="355"/>
      <c r="CH24" s="355"/>
      <c r="CI24" s="355"/>
      <c r="CJ24" s="356"/>
      <c r="CK24" s="357"/>
      <c r="CL24" s="358"/>
      <c r="CM24" s="357"/>
      <c r="CN24" s="359"/>
      <c r="CO24" s="360"/>
      <c r="CP24" s="355"/>
      <c r="CQ24" s="355"/>
      <c r="CR24" s="355"/>
      <c r="CS24" s="356"/>
      <c r="CT24" s="357"/>
      <c r="CU24" s="358"/>
      <c r="CV24" s="361"/>
      <c r="CW24" s="359"/>
      <c r="CX24" s="360"/>
      <c r="CY24" s="355"/>
      <c r="CZ24" s="355"/>
      <c r="DA24" s="355"/>
      <c r="DB24" s="356"/>
      <c r="DC24" s="357"/>
      <c r="DD24" s="358"/>
      <c r="DE24" s="357"/>
      <c r="DF24" s="359"/>
      <c r="DG24" s="360"/>
      <c r="DH24" s="355"/>
      <c r="DI24" s="355"/>
      <c r="DJ24" s="355"/>
      <c r="DK24" s="356"/>
      <c r="DL24" s="357"/>
      <c r="DM24" s="358"/>
      <c r="DN24" s="357"/>
      <c r="DO24" s="359"/>
      <c r="DP24" s="360"/>
      <c r="DQ24" s="355"/>
      <c r="DR24" s="355"/>
      <c r="DS24" s="355"/>
      <c r="DT24" s="356"/>
      <c r="DU24" s="357"/>
      <c r="DV24" s="358"/>
      <c r="DW24" s="357"/>
      <c r="DX24" s="359"/>
      <c r="DY24" s="360"/>
      <c r="DZ24" s="355"/>
      <c r="EA24" s="355"/>
      <c r="EB24" s="355"/>
      <c r="EC24" s="356"/>
      <c r="ED24" s="357"/>
      <c r="EE24" s="358"/>
      <c r="EF24" s="357"/>
      <c r="EG24" s="359"/>
      <c r="EH24" s="360"/>
      <c r="EI24" s="355"/>
      <c r="EJ24" s="355"/>
      <c r="EK24" s="355"/>
      <c r="EL24" s="356"/>
      <c r="EM24" s="357"/>
      <c r="EN24" s="358"/>
      <c r="EO24" s="357"/>
      <c r="EP24" s="359"/>
      <c r="EQ24" s="360"/>
      <c r="ER24" s="355"/>
      <c r="ES24" s="355"/>
      <c r="ET24" s="355"/>
      <c r="EU24" s="356"/>
      <c r="EV24" s="357"/>
      <c r="EW24" s="358"/>
      <c r="EX24" s="357"/>
      <c r="EY24" s="359"/>
      <c r="EZ24" s="360"/>
      <c r="FA24" s="355"/>
      <c r="FB24" s="355"/>
      <c r="FC24" s="355"/>
      <c r="FD24" s="356"/>
      <c r="FE24" s="357"/>
      <c r="FF24" s="358"/>
      <c r="FG24" s="357"/>
      <c r="FH24" s="359"/>
      <c r="FI24" s="360"/>
      <c r="FJ24" s="355"/>
      <c r="FK24" s="355"/>
      <c r="FL24" s="355"/>
      <c r="FM24" s="356"/>
      <c r="FN24" s="357"/>
      <c r="FO24" s="358"/>
      <c r="FP24" s="357"/>
      <c r="FQ24" s="359"/>
      <c r="FR24" s="360"/>
      <c r="FS24" s="355"/>
      <c r="FT24" s="355"/>
      <c r="FU24" s="355"/>
      <c r="FV24" s="356"/>
      <c r="FW24" s="357"/>
      <c r="FX24" s="358"/>
      <c r="FY24" s="357"/>
      <c r="FZ24" s="359"/>
      <c r="GA24" s="360"/>
      <c r="GB24" s="355"/>
      <c r="GC24" s="355"/>
      <c r="GD24" s="355"/>
      <c r="GE24" s="356"/>
      <c r="GF24" s="357"/>
      <c r="GG24" s="358"/>
      <c r="GH24" s="357"/>
      <c r="GI24" s="359"/>
      <c r="GJ24" s="360"/>
      <c r="GK24" s="355"/>
      <c r="GL24" s="355"/>
      <c r="GM24" s="355"/>
      <c r="GN24" s="356"/>
      <c r="GO24" s="357"/>
      <c r="GP24" s="358"/>
      <c r="GQ24" s="357"/>
      <c r="GR24" s="359"/>
      <c r="GS24" s="360"/>
      <c r="GT24" s="362">
        <v>43045</v>
      </c>
      <c r="GU24" s="98">
        <v>22176</v>
      </c>
      <c r="GV24" s="65" t="s">
        <v>893</v>
      </c>
      <c r="GW24" s="74"/>
      <c r="GX24" s="74"/>
      <c r="GY24" s="390" t="s">
        <v>1003</v>
      </c>
      <c r="GZ24" s="86">
        <v>3712</v>
      </c>
    </row>
    <row r="25" spans="1:208" ht="18.75" x14ac:dyDescent="0.3">
      <c r="C25" s="87"/>
      <c r="D25" s="35"/>
      <c r="E25" s="36"/>
      <c r="F25" s="37"/>
      <c r="G25" s="38"/>
      <c r="H25" s="39"/>
      <c r="I25" s="40"/>
      <c r="J25" s="76" t="s">
        <v>863</v>
      </c>
      <c r="K25" s="662" t="s">
        <v>862</v>
      </c>
      <c r="L25" s="663"/>
      <c r="M25" s="664">
        <v>43024</v>
      </c>
      <c r="N25" s="665" t="s">
        <v>865</v>
      </c>
      <c r="O25" s="666">
        <v>720.33</v>
      </c>
      <c r="P25" s="113">
        <f t="shared" si="0"/>
        <v>720.33</v>
      </c>
      <c r="Q25" s="668">
        <v>31</v>
      </c>
      <c r="R25" s="907" t="s">
        <v>349</v>
      </c>
      <c r="S25" s="908"/>
      <c r="T25" s="669">
        <f t="shared" si="1"/>
        <v>22330.23</v>
      </c>
      <c r="U25" s="658" t="s">
        <v>885</v>
      </c>
      <c r="V25" s="657">
        <v>43032</v>
      </c>
      <c r="W25" s="364"/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61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362"/>
      <c r="GU25" s="98"/>
      <c r="GV25" s="65" t="s">
        <v>994</v>
      </c>
      <c r="GW25" s="74"/>
      <c r="GX25" s="74"/>
      <c r="GY25" s="390"/>
      <c r="GZ25" s="86">
        <v>0</v>
      </c>
    </row>
    <row r="26" spans="1:208" ht="18.75" x14ac:dyDescent="0.3">
      <c r="C26" s="87"/>
      <c r="D26" s="35"/>
      <c r="E26" s="36"/>
      <c r="F26" s="37"/>
      <c r="G26" s="38"/>
      <c r="H26" s="39"/>
      <c r="I26" s="40"/>
      <c r="J26" s="76" t="s">
        <v>864</v>
      </c>
      <c r="K26" s="667" t="s">
        <v>143</v>
      </c>
      <c r="L26" s="663"/>
      <c r="M26" s="664">
        <v>43024</v>
      </c>
      <c r="N26" s="665" t="s">
        <v>865</v>
      </c>
      <c r="O26" s="666">
        <v>102</v>
      </c>
      <c r="P26" s="113">
        <f t="shared" si="0"/>
        <v>102</v>
      </c>
      <c r="Q26" s="668">
        <v>170</v>
      </c>
      <c r="R26" s="907" t="s">
        <v>349</v>
      </c>
      <c r="S26" s="908"/>
      <c r="T26" s="669">
        <f t="shared" si="1"/>
        <v>17340</v>
      </c>
      <c r="U26" s="658" t="s">
        <v>885</v>
      </c>
      <c r="V26" s="657">
        <v>43032</v>
      </c>
      <c r="W26" s="364"/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61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365"/>
      <c r="GU26" s="98"/>
      <c r="GV26" s="65" t="s">
        <v>994</v>
      </c>
      <c r="GW26" s="74"/>
      <c r="GX26" s="74"/>
      <c r="GY26" s="390"/>
      <c r="GZ26" s="86">
        <v>0</v>
      </c>
    </row>
    <row r="27" spans="1:208" x14ac:dyDescent="0.25">
      <c r="C27" s="87"/>
      <c r="D27" s="35"/>
      <c r="E27" s="36"/>
      <c r="F27" s="37"/>
      <c r="G27" s="38"/>
      <c r="H27" s="39"/>
      <c r="I27" s="40"/>
      <c r="J27" s="68" t="s">
        <v>96</v>
      </c>
      <c r="K27" s="407" t="s">
        <v>210</v>
      </c>
      <c r="L27" s="70">
        <v>23280</v>
      </c>
      <c r="M27" s="71">
        <v>43025</v>
      </c>
      <c r="N27" s="380" t="s">
        <v>948</v>
      </c>
      <c r="O27" s="72">
        <v>29110</v>
      </c>
      <c r="P27" s="113">
        <f t="shared" si="0"/>
        <v>5830</v>
      </c>
      <c r="Q27" s="64">
        <v>25</v>
      </c>
      <c r="R27" s="64"/>
      <c r="S27" s="64"/>
      <c r="T27" s="39">
        <f t="shared" si="1"/>
        <v>727750</v>
      </c>
      <c r="U27" s="363" t="s">
        <v>885</v>
      </c>
      <c r="V27" s="353">
        <v>43046</v>
      </c>
      <c r="W27" s="364">
        <v>19604</v>
      </c>
      <c r="X27" s="355"/>
      <c r="Y27" s="356"/>
      <c r="Z27" s="357"/>
      <c r="AA27" s="358"/>
      <c r="AB27" s="357"/>
      <c r="AC27" s="359"/>
      <c r="AD27" s="360"/>
      <c r="AE27" s="355"/>
      <c r="AF27" s="355"/>
      <c r="AG27" s="355"/>
      <c r="AH27" s="356"/>
      <c r="AI27" s="357"/>
      <c r="AJ27" s="358"/>
      <c r="AK27" s="357"/>
      <c r="AL27" s="359"/>
      <c r="AM27" s="360"/>
      <c r="AN27" s="355"/>
      <c r="AO27" s="355"/>
      <c r="AP27" s="355"/>
      <c r="AQ27" s="356"/>
      <c r="AR27" s="357"/>
      <c r="AS27" s="358"/>
      <c r="AT27" s="357"/>
      <c r="AU27" s="359"/>
      <c r="AV27" s="360"/>
      <c r="AW27" s="355"/>
      <c r="AX27" s="355"/>
      <c r="AY27" s="355"/>
      <c r="AZ27" s="356"/>
      <c r="BA27" s="357"/>
      <c r="BB27" s="358"/>
      <c r="BC27" s="357"/>
      <c r="BD27" s="359"/>
      <c r="BE27" s="360"/>
      <c r="BF27" s="355"/>
      <c r="BG27" s="355"/>
      <c r="BH27" s="355"/>
      <c r="BI27" s="356"/>
      <c r="BJ27" s="357"/>
      <c r="BK27" s="358"/>
      <c r="BL27" s="357"/>
      <c r="BM27" s="359"/>
      <c r="BN27" s="360"/>
      <c r="BO27" s="355"/>
      <c r="BP27" s="355"/>
      <c r="BQ27" s="355"/>
      <c r="BR27" s="356"/>
      <c r="BS27" s="357"/>
      <c r="BT27" s="358"/>
      <c r="BU27" s="357"/>
      <c r="BV27" s="359"/>
      <c r="BW27" s="360"/>
      <c r="BX27" s="355"/>
      <c r="BY27" s="355"/>
      <c r="BZ27" s="355"/>
      <c r="CA27" s="356"/>
      <c r="CB27" s="357"/>
      <c r="CC27" s="358"/>
      <c r="CD27" s="357"/>
      <c r="CE27" s="359"/>
      <c r="CF27" s="360"/>
      <c r="CG27" s="355"/>
      <c r="CH27" s="355"/>
      <c r="CI27" s="355"/>
      <c r="CJ27" s="356"/>
      <c r="CK27" s="357"/>
      <c r="CL27" s="358"/>
      <c r="CM27" s="357"/>
      <c r="CN27" s="359"/>
      <c r="CO27" s="360"/>
      <c r="CP27" s="355"/>
      <c r="CQ27" s="355"/>
      <c r="CR27" s="355"/>
      <c r="CS27" s="356"/>
      <c r="CT27" s="357"/>
      <c r="CU27" s="358"/>
      <c r="CV27" s="361"/>
      <c r="CW27" s="359"/>
      <c r="CX27" s="360"/>
      <c r="CY27" s="355"/>
      <c r="CZ27" s="355"/>
      <c r="DA27" s="355"/>
      <c r="DB27" s="356"/>
      <c r="DC27" s="357"/>
      <c r="DD27" s="358"/>
      <c r="DE27" s="357"/>
      <c r="DF27" s="359"/>
      <c r="DG27" s="360"/>
      <c r="DH27" s="355"/>
      <c r="DI27" s="355"/>
      <c r="DJ27" s="355"/>
      <c r="DK27" s="356"/>
      <c r="DL27" s="357"/>
      <c r="DM27" s="358"/>
      <c r="DN27" s="357"/>
      <c r="DO27" s="359"/>
      <c r="DP27" s="360"/>
      <c r="DQ27" s="355"/>
      <c r="DR27" s="355"/>
      <c r="DS27" s="355"/>
      <c r="DT27" s="356"/>
      <c r="DU27" s="357"/>
      <c r="DV27" s="358"/>
      <c r="DW27" s="357"/>
      <c r="DX27" s="359"/>
      <c r="DY27" s="360"/>
      <c r="DZ27" s="355"/>
      <c r="EA27" s="355"/>
      <c r="EB27" s="355"/>
      <c r="EC27" s="356"/>
      <c r="ED27" s="357"/>
      <c r="EE27" s="358"/>
      <c r="EF27" s="357"/>
      <c r="EG27" s="359"/>
      <c r="EH27" s="360"/>
      <c r="EI27" s="355"/>
      <c r="EJ27" s="355"/>
      <c r="EK27" s="355"/>
      <c r="EL27" s="356"/>
      <c r="EM27" s="357"/>
      <c r="EN27" s="358"/>
      <c r="EO27" s="357"/>
      <c r="EP27" s="359"/>
      <c r="EQ27" s="360"/>
      <c r="ER27" s="355"/>
      <c r="ES27" s="355"/>
      <c r="ET27" s="355"/>
      <c r="EU27" s="356"/>
      <c r="EV27" s="357"/>
      <c r="EW27" s="358"/>
      <c r="EX27" s="357"/>
      <c r="EY27" s="359"/>
      <c r="EZ27" s="360"/>
      <c r="FA27" s="355"/>
      <c r="FB27" s="355"/>
      <c r="FC27" s="355"/>
      <c r="FD27" s="356"/>
      <c r="FE27" s="357"/>
      <c r="FF27" s="358"/>
      <c r="FG27" s="357"/>
      <c r="FH27" s="359"/>
      <c r="FI27" s="360"/>
      <c r="FJ27" s="355"/>
      <c r="FK27" s="355"/>
      <c r="FL27" s="355"/>
      <c r="FM27" s="356"/>
      <c r="FN27" s="357"/>
      <c r="FO27" s="358"/>
      <c r="FP27" s="357"/>
      <c r="FQ27" s="359"/>
      <c r="FR27" s="360"/>
      <c r="FS27" s="355"/>
      <c r="FT27" s="355"/>
      <c r="FU27" s="355"/>
      <c r="FV27" s="356"/>
      <c r="FW27" s="357"/>
      <c r="FX27" s="358"/>
      <c r="FY27" s="357"/>
      <c r="FZ27" s="359"/>
      <c r="GA27" s="360"/>
      <c r="GB27" s="355"/>
      <c r="GC27" s="355"/>
      <c r="GD27" s="355"/>
      <c r="GE27" s="356"/>
      <c r="GF27" s="357"/>
      <c r="GG27" s="358"/>
      <c r="GH27" s="357"/>
      <c r="GI27" s="359"/>
      <c r="GJ27" s="360"/>
      <c r="GK27" s="355"/>
      <c r="GL27" s="355"/>
      <c r="GM27" s="355"/>
      <c r="GN27" s="356"/>
      <c r="GO27" s="357"/>
      <c r="GP27" s="358"/>
      <c r="GQ27" s="357"/>
      <c r="GR27" s="359"/>
      <c r="GS27" s="360"/>
      <c r="GT27" s="362">
        <v>43046</v>
      </c>
      <c r="GU27" s="624">
        <v>19800</v>
      </c>
      <c r="GV27" s="65" t="s">
        <v>993</v>
      </c>
      <c r="GW27" s="74"/>
      <c r="GX27" s="74"/>
      <c r="GY27" s="390" t="s">
        <v>1003</v>
      </c>
      <c r="GZ27" s="86">
        <v>3712</v>
      </c>
    </row>
    <row r="28" spans="1:208" x14ac:dyDescent="0.25">
      <c r="A28" s="1">
        <v>23</v>
      </c>
      <c r="B28" t="e">
        <f>#REF!</f>
        <v>#REF!</v>
      </c>
      <c r="C28" t="e">
        <f>#REF!</f>
        <v>#REF!</v>
      </c>
      <c r="D28" s="35" t="e">
        <f>#REF!</f>
        <v>#REF!</v>
      </c>
      <c r="E28" s="36" t="e">
        <f>#REF!</f>
        <v>#REF!</v>
      </c>
      <c r="F28" s="37" t="e">
        <f>#REF!</f>
        <v>#REF!</v>
      </c>
      <c r="G28" s="38" t="e">
        <f>#REF!</f>
        <v>#REF!</v>
      </c>
      <c r="H28" s="39" t="e">
        <f>#REF!</f>
        <v>#REF!</v>
      </c>
      <c r="I28" s="40" t="e">
        <f>#REF!</f>
        <v>#REF!</v>
      </c>
      <c r="J28" s="68" t="s">
        <v>867</v>
      </c>
      <c r="K28" s="407" t="s">
        <v>46</v>
      </c>
      <c r="L28" s="70">
        <v>11770</v>
      </c>
      <c r="M28" s="71">
        <v>43026</v>
      </c>
      <c r="N28" s="380" t="s">
        <v>950</v>
      </c>
      <c r="O28" s="72">
        <v>12230</v>
      </c>
      <c r="P28" s="113">
        <f t="shared" si="0"/>
        <v>460</v>
      </c>
      <c r="Q28" s="64">
        <v>25</v>
      </c>
      <c r="R28" s="64"/>
      <c r="S28" s="64"/>
      <c r="T28" s="39">
        <f t="shared" si="1"/>
        <v>305750</v>
      </c>
      <c r="U28" s="363" t="s">
        <v>885</v>
      </c>
      <c r="V28" s="366">
        <v>43047</v>
      </c>
      <c r="W28" s="367">
        <v>7540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362">
        <v>43047</v>
      </c>
      <c r="GU28" s="98">
        <v>17584</v>
      </c>
      <c r="GV28" s="84" t="s">
        <v>894</v>
      </c>
      <c r="GW28" s="74"/>
      <c r="GX28" s="74"/>
      <c r="GY28" s="167" t="s">
        <v>1003</v>
      </c>
      <c r="GZ28" s="86">
        <v>2088</v>
      </c>
    </row>
    <row r="29" spans="1:208" x14ac:dyDescent="0.25">
      <c r="D29" s="35"/>
      <c r="E29" s="36"/>
      <c r="F29" s="37"/>
      <c r="G29" s="38"/>
      <c r="H29" s="39"/>
      <c r="I29" s="40"/>
      <c r="J29" s="68" t="s">
        <v>866</v>
      </c>
      <c r="K29" s="407" t="s">
        <v>59</v>
      </c>
      <c r="L29" s="70">
        <v>18720</v>
      </c>
      <c r="M29" s="71">
        <v>43026</v>
      </c>
      <c r="N29" s="380" t="s">
        <v>951</v>
      </c>
      <c r="O29" s="72">
        <v>26025</v>
      </c>
      <c r="P29" s="113">
        <f t="shared" si="0"/>
        <v>7305</v>
      </c>
      <c r="Q29" s="117">
        <v>25</v>
      </c>
      <c r="R29" s="117"/>
      <c r="S29" s="117"/>
      <c r="T29" s="39">
        <f t="shared" si="1"/>
        <v>650625</v>
      </c>
      <c r="U29" s="363" t="s">
        <v>885</v>
      </c>
      <c r="V29" s="353">
        <v>43047</v>
      </c>
      <c r="W29" s="368">
        <v>17342</v>
      </c>
      <c r="X29" s="355"/>
      <c r="Y29" s="356"/>
      <c r="Z29" s="357"/>
      <c r="AA29" s="358"/>
      <c r="AB29" s="357"/>
      <c r="AC29" s="359"/>
      <c r="AD29" s="360"/>
      <c r="AE29" s="355"/>
      <c r="AF29" s="355"/>
      <c r="AG29" s="355"/>
      <c r="AH29" s="356"/>
      <c r="AI29" s="357"/>
      <c r="AJ29" s="358"/>
      <c r="AK29" s="357"/>
      <c r="AL29" s="359"/>
      <c r="AM29" s="360"/>
      <c r="AN29" s="355"/>
      <c r="AO29" s="355"/>
      <c r="AP29" s="355"/>
      <c r="AQ29" s="356"/>
      <c r="AR29" s="357"/>
      <c r="AS29" s="358"/>
      <c r="AT29" s="357"/>
      <c r="AU29" s="359"/>
      <c r="AV29" s="360"/>
      <c r="AW29" s="355"/>
      <c r="AX29" s="355"/>
      <c r="AY29" s="355"/>
      <c r="AZ29" s="356"/>
      <c r="BA29" s="357"/>
      <c r="BB29" s="358"/>
      <c r="BC29" s="357"/>
      <c r="BD29" s="359"/>
      <c r="BE29" s="360"/>
      <c r="BF29" s="355"/>
      <c r="BG29" s="355"/>
      <c r="BH29" s="355"/>
      <c r="BI29" s="356"/>
      <c r="BJ29" s="357"/>
      <c r="BK29" s="358"/>
      <c r="BL29" s="357"/>
      <c r="BM29" s="359"/>
      <c r="BN29" s="360"/>
      <c r="BO29" s="355"/>
      <c r="BP29" s="355"/>
      <c r="BQ29" s="355"/>
      <c r="BR29" s="356"/>
      <c r="BS29" s="357"/>
      <c r="BT29" s="358"/>
      <c r="BU29" s="357"/>
      <c r="BV29" s="359"/>
      <c r="BW29" s="360"/>
      <c r="BX29" s="355"/>
      <c r="BY29" s="355"/>
      <c r="BZ29" s="355"/>
      <c r="CA29" s="356"/>
      <c r="CB29" s="357"/>
      <c r="CC29" s="358"/>
      <c r="CD29" s="357"/>
      <c r="CE29" s="359"/>
      <c r="CF29" s="360"/>
      <c r="CG29" s="355"/>
      <c r="CH29" s="355"/>
      <c r="CI29" s="355"/>
      <c r="CJ29" s="356"/>
      <c r="CK29" s="357"/>
      <c r="CL29" s="358"/>
      <c r="CM29" s="357"/>
      <c r="CN29" s="359"/>
      <c r="CO29" s="360"/>
      <c r="CP29" s="355"/>
      <c r="CQ29" s="355"/>
      <c r="CR29" s="355"/>
      <c r="CS29" s="356"/>
      <c r="CT29" s="357"/>
      <c r="CU29" s="358"/>
      <c r="CV29" s="357"/>
      <c r="CW29" s="359"/>
      <c r="CX29" s="360"/>
      <c r="CY29" s="355"/>
      <c r="CZ29" s="355"/>
      <c r="DA29" s="355"/>
      <c r="DB29" s="356"/>
      <c r="DC29" s="357"/>
      <c r="DD29" s="358"/>
      <c r="DE29" s="357"/>
      <c r="DF29" s="359"/>
      <c r="DG29" s="360"/>
      <c r="DH29" s="355"/>
      <c r="DI29" s="355"/>
      <c r="DJ29" s="355"/>
      <c r="DK29" s="356"/>
      <c r="DL29" s="357"/>
      <c r="DM29" s="358"/>
      <c r="DN29" s="357"/>
      <c r="DO29" s="359"/>
      <c r="DP29" s="360"/>
      <c r="DQ29" s="355"/>
      <c r="DR29" s="355"/>
      <c r="DS29" s="355"/>
      <c r="DT29" s="356"/>
      <c r="DU29" s="357"/>
      <c r="DV29" s="358"/>
      <c r="DW29" s="357"/>
      <c r="DX29" s="359"/>
      <c r="DY29" s="360"/>
      <c r="DZ29" s="355"/>
      <c r="EA29" s="355"/>
      <c r="EB29" s="355"/>
      <c r="EC29" s="356"/>
      <c r="ED29" s="357"/>
      <c r="EE29" s="358"/>
      <c r="EF29" s="357"/>
      <c r="EG29" s="359"/>
      <c r="EH29" s="360"/>
      <c r="EI29" s="355"/>
      <c r="EJ29" s="355"/>
      <c r="EK29" s="355"/>
      <c r="EL29" s="356"/>
      <c r="EM29" s="357"/>
      <c r="EN29" s="358"/>
      <c r="EO29" s="357"/>
      <c r="EP29" s="359"/>
      <c r="EQ29" s="360"/>
      <c r="ER29" s="355"/>
      <c r="ES29" s="355"/>
      <c r="ET29" s="355"/>
      <c r="EU29" s="356"/>
      <c r="EV29" s="357"/>
      <c r="EW29" s="358"/>
      <c r="EX29" s="357"/>
      <c r="EY29" s="359"/>
      <c r="EZ29" s="360"/>
      <c r="FA29" s="355"/>
      <c r="FB29" s="355"/>
      <c r="FC29" s="355"/>
      <c r="FD29" s="356"/>
      <c r="FE29" s="357"/>
      <c r="FF29" s="358"/>
      <c r="FG29" s="357"/>
      <c r="FH29" s="359"/>
      <c r="FI29" s="360"/>
      <c r="FJ29" s="355"/>
      <c r="FK29" s="355"/>
      <c r="FL29" s="355"/>
      <c r="FM29" s="356"/>
      <c r="FN29" s="357"/>
      <c r="FO29" s="358"/>
      <c r="FP29" s="357"/>
      <c r="FQ29" s="359"/>
      <c r="FR29" s="360"/>
      <c r="FS29" s="355"/>
      <c r="FT29" s="355"/>
      <c r="FU29" s="355"/>
      <c r="FV29" s="356"/>
      <c r="FW29" s="357"/>
      <c r="FX29" s="358"/>
      <c r="FY29" s="357"/>
      <c r="FZ29" s="359"/>
      <c r="GA29" s="360"/>
      <c r="GB29" s="355"/>
      <c r="GC29" s="355"/>
      <c r="GD29" s="355"/>
      <c r="GE29" s="356"/>
      <c r="GF29" s="357"/>
      <c r="GG29" s="358"/>
      <c r="GH29" s="357"/>
      <c r="GI29" s="359"/>
      <c r="GJ29" s="360"/>
      <c r="GK29" s="355"/>
      <c r="GL29" s="355"/>
      <c r="GM29" s="355"/>
      <c r="GN29" s="356"/>
      <c r="GO29" s="357"/>
      <c r="GP29" s="358"/>
      <c r="GQ29" s="357"/>
      <c r="GR29" s="359"/>
      <c r="GS29" s="360"/>
      <c r="GT29" s="362">
        <v>43047</v>
      </c>
      <c r="GU29" s="98">
        <v>22176</v>
      </c>
      <c r="GV29" s="65" t="s">
        <v>895</v>
      </c>
      <c r="GW29" s="74"/>
      <c r="GX29" s="74"/>
      <c r="GY29" s="390" t="s">
        <v>1003</v>
      </c>
      <c r="GZ29" s="86">
        <v>3712</v>
      </c>
    </row>
    <row r="30" spans="1:208" x14ac:dyDescent="0.25">
      <c r="D30" s="35"/>
      <c r="E30" s="36"/>
      <c r="F30" s="37"/>
      <c r="G30" s="38"/>
      <c r="H30" s="39"/>
      <c r="I30" s="40"/>
      <c r="J30" s="68" t="s">
        <v>44</v>
      </c>
      <c r="K30" s="407" t="s">
        <v>37</v>
      </c>
      <c r="L30" s="70">
        <v>17370</v>
      </c>
      <c r="M30" s="71">
        <v>43027</v>
      </c>
      <c r="N30" s="380" t="s">
        <v>952</v>
      </c>
      <c r="O30" s="72">
        <v>22145</v>
      </c>
      <c r="P30" s="113">
        <f t="shared" si="0"/>
        <v>4775</v>
      </c>
      <c r="Q30" s="117">
        <v>25</v>
      </c>
      <c r="R30" s="905"/>
      <c r="S30" s="906"/>
      <c r="T30" s="39">
        <f t="shared" si="1"/>
        <v>553625</v>
      </c>
      <c r="U30" s="363" t="s">
        <v>885</v>
      </c>
      <c r="V30" s="353">
        <v>43048</v>
      </c>
      <c r="W30" s="368">
        <v>15080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362">
        <v>43048</v>
      </c>
      <c r="GU30" s="624">
        <v>19800</v>
      </c>
      <c r="GV30" s="65" t="s">
        <v>993</v>
      </c>
      <c r="GW30" s="74"/>
      <c r="GX30" s="74"/>
      <c r="GY30" s="390" t="s">
        <v>1003</v>
      </c>
      <c r="GZ30" s="86">
        <v>3712</v>
      </c>
    </row>
    <row r="31" spans="1:208" x14ac:dyDescent="0.25">
      <c r="D31" s="35"/>
      <c r="E31" s="36"/>
      <c r="F31" s="37"/>
      <c r="G31" s="38"/>
      <c r="H31" s="39"/>
      <c r="I31" s="40"/>
      <c r="J31" s="68" t="s">
        <v>33</v>
      </c>
      <c r="K31" s="407" t="s">
        <v>35</v>
      </c>
      <c r="L31" s="70">
        <v>11080</v>
      </c>
      <c r="M31" s="71">
        <v>43027</v>
      </c>
      <c r="N31" s="380" t="s">
        <v>953</v>
      </c>
      <c r="O31" s="72">
        <v>14220</v>
      </c>
      <c r="P31" s="113">
        <f t="shared" si="0"/>
        <v>3140</v>
      </c>
      <c r="Q31" s="568">
        <v>25</v>
      </c>
      <c r="R31" s="64"/>
      <c r="S31" s="64"/>
      <c r="T31" s="39">
        <f t="shared" si="1"/>
        <v>355500</v>
      </c>
      <c r="U31" s="363" t="s">
        <v>885</v>
      </c>
      <c r="V31" s="353">
        <v>43048</v>
      </c>
      <c r="W31" s="368">
        <v>9802</v>
      </c>
      <c r="X31" s="355"/>
      <c r="Y31" s="356"/>
      <c r="Z31" s="357"/>
      <c r="AA31" s="358"/>
      <c r="AB31" s="357"/>
      <c r="AC31" s="359"/>
      <c r="AD31" s="360"/>
      <c r="AE31" s="355"/>
      <c r="AF31" s="355"/>
      <c r="AG31" s="355"/>
      <c r="AH31" s="356"/>
      <c r="AI31" s="357"/>
      <c r="AJ31" s="358"/>
      <c r="AK31" s="357"/>
      <c r="AL31" s="359"/>
      <c r="AM31" s="360"/>
      <c r="AN31" s="355"/>
      <c r="AO31" s="355"/>
      <c r="AP31" s="355"/>
      <c r="AQ31" s="356"/>
      <c r="AR31" s="357"/>
      <c r="AS31" s="358"/>
      <c r="AT31" s="357"/>
      <c r="AU31" s="359"/>
      <c r="AV31" s="360"/>
      <c r="AW31" s="355"/>
      <c r="AX31" s="355"/>
      <c r="AY31" s="355"/>
      <c r="AZ31" s="356"/>
      <c r="BA31" s="357"/>
      <c r="BB31" s="358"/>
      <c r="BC31" s="357"/>
      <c r="BD31" s="359"/>
      <c r="BE31" s="360"/>
      <c r="BF31" s="355"/>
      <c r="BG31" s="355"/>
      <c r="BH31" s="355"/>
      <c r="BI31" s="356"/>
      <c r="BJ31" s="357"/>
      <c r="BK31" s="358"/>
      <c r="BL31" s="357"/>
      <c r="BM31" s="359"/>
      <c r="BN31" s="360"/>
      <c r="BO31" s="355"/>
      <c r="BP31" s="355"/>
      <c r="BQ31" s="355"/>
      <c r="BR31" s="356"/>
      <c r="BS31" s="357"/>
      <c r="BT31" s="358"/>
      <c r="BU31" s="357"/>
      <c r="BV31" s="359"/>
      <c r="BW31" s="360"/>
      <c r="BX31" s="355"/>
      <c r="BY31" s="355"/>
      <c r="BZ31" s="355"/>
      <c r="CA31" s="356"/>
      <c r="CB31" s="357"/>
      <c r="CC31" s="358"/>
      <c r="CD31" s="357"/>
      <c r="CE31" s="359"/>
      <c r="CF31" s="360"/>
      <c r="CG31" s="355"/>
      <c r="CH31" s="355"/>
      <c r="CI31" s="355"/>
      <c r="CJ31" s="356"/>
      <c r="CK31" s="357"/>
      <c r="CL31" s="358"/>
      <c r="CM31" s="357"/>
      <c r="CN31" s="359"/>
      <c r="CO31" s="360"/>
      <c r="CP31" s="355"/>
      <c r="CQ31" s="355"/>
      <c r="CR31" s="355"/>
      <c r="CS31" s="356"/>
      <c r="CT31" s="357"/>
      <c r="CU31" s="358"/>
      <c r="CV31" s="357"/>
      <c r="CW31" s="359"/>
      <c r="CX31" s="360"/>
      <c r="CY31" s="355"/>
      <c r="CZ31" s="355"/>
      <c r="DA31" s="355"/>
      <c r="DB31" s="356"/>
      <c r="DC31" s="357"/>
      <c r="DD31" s="358"/>
      <c r="DE31" s="357"/>
      <c r="DF31" s="359"/>
      <c r="DG31" s="360"/>
      <c r="DH31" s="355"/>
      <c r="DI31" s="355"/>
      <c r="DJ31" s="355"/>
      <c r="DK31" s="356"/>
      <c r="DL31" s="357"/>
      <c r="DM31" s="358"/>
      <c r="DN31" s="357"/>
      <c r="DO31" s="359"/>
      <c r="DP31" s="360"/>
      <c r="DQ31" s="355"/>
      <c r="DR31" s="355"/>
      <c r="DS31" s="355"/>
      <c r="DT31" s="356"/>
      <c r="DU31" s="357"/>
      <c r="DV31" s="358"/>
      <c r="DW31" s="357"/>
      <c r="DX31" s="359"/>
      <c r="DY31" s="360"/>
      <c r="DZ31" s="355"/>
      <c r="EA31" s="355"/>
      <c r="EB31" s="355"/>
      <c r="EC31" s="356"/>
      <c r="ED31" s="357"/>
      <c r="EE31" s="358"/>
      <c r="EF31" s="357"/>
      <c r="EG31" s="359"/>
      <c r="EH31" s="360"/>
      <c r="EI31" s="355"/>
      <c r="EJ31" s="355"/>
      <c r="EK31" s="355"/>
      <c r="EL31" s="356"/>
      <c r="EM31" s="357"/>
      <c r="EN31" s="358"/>
      <c r="EO31" s="357"/>
      <c r="EP31" s="359"/>
      <c r="EQ31" s="360"/>
      <c r="ER31" s="355"/>
      <c r="ES31" s="355"/>
      <c r="ET31" s="355"/>
      <c r="EU31" s="356"/>
      <c r="EV31" s="357"/>
      <c r="EW31" s="358"/>
      <c r="EX31" s="357"/>
      <c r="EY31" s="359"/>
      <c r="EZ31" s="360"/>
      <c r="FA31" s="355"/>
      <c r="FB31" s="355"/>
      <c r="FC31" s="355"/>
      <c r="FD31" s="356"/>
      <c r="FE31" s="357"/>
      <c r="FF31" s="358"/>
      <c r="FG31" s="357"/>
      <c r="FH31" s="359"/>
      <c r="FI31" s="360"/>
      <c r="FJ31" s="355"/>
      <c r="FK31" s="355"/>
      <c r="FL31" s="355"/>
      <c r="FM31" s="356"/>
      <c r="FN31" s="357"/>
      <c r="FO31" s="358"/>
      <c r="FP31" s="357"/>
      <c r="FQ31" s="359"/>
      <c r="FR31" s="360"/>
      <c r="FS31" s="355"/>
      <c r="FT31" s="355"/>
      <c r="FU31" s="355"/>
      <c r="FV31" s="356"/>
      <c r="FW31" s="357"/>
      <c r="FX31" s="358"/>
      <c r="FY31" s="357"/>
      <c r="FZ31" s="359"/>
      <c r="GA31" s="360"/>
      <c r="GB31" s="355"/>
      <c r="GC31" s="355"/>
      <c r="GD31" s="355"/>
      <c r="GE31" s="356"/>
      <c r="GF31" s="357"/>
      <c r="GG31" s="358"/>
      <c r="GH31" s="357"/>
      <c r="GI31" s="359"/>
      <c r="GJ31" s="360"/>
      <c r="GK31" s="355"/>
      <c r="GL31" s="355"/>
      <c r="GM31" s="355"/>
      <c r="GN31" s="356"/>
      <c r="GO31" s="357"/>
      <c r="GP31" s="358"/>
      <c r="GQ31" s="357"/>
      <c r="GR31" s="359"/>
      <c r="GS31" s="360"/>
      <c r="GT31" s="362">
        <v>43048</v>
      </c>
      <c r="GU31" s="98">
        <v>17584</v>
      </c>
      <c r="GV31" s="65" t="s">
        <v>896</v>
      </c>
      <c r="GW31" s="74"/>
      <c r="GX31" s="74"/>
      <c r="GY31" s="167" t="s">
        <v>1003</v>
      </c>
      <c r="GZ31" s="86">
        <v>2088</v>
      </c>
    </row>
    <row r="32" spans="1:208" x14ac:dyDescent="0.25">
      <c r="D32" s="35"/>
      <c r="E32" s="36"/>
      <c r="F32" s="37"/>
      <c r="G32" s="38"/>
      <c r="H32" s="39"/>
      <c r="I32" s="40"/>
      <c r="J32" s="68" t="s">
        <v>45</v>
      </c>
      <c r="K32" s="407" t="s">
        <v>179</v>
      </c>
      <c r="L32" s="70">
        <v>18390</v>
      </c>
      <c r="M32" s="71">
        <v>43028</v>
      </c>
      <c r="N32" s="381" t="s">
        <v>954</v>
      </c>
      <c r="O32" s="72">
        <v>23430</v>
      </c>
      <c r="P32" s="113">
        <f t="shared" si="0"/>
        <v>5040</v>
      </c>
      <c r="Q32" s="117">
        <v>25</v>
      </c>
      <c r="R32" s="64"/>
      <c r="S32" s="120"/>
      <c r="T32" s="39">
        <f t="shared" si="1"/>
        <v>585750</v>
      </c>
      <c r="U32" s="363" t="s">
        <v>885</v>
      </c>
      <c r="V32" s="353">
        <v>43049</v>
      </c>
      <c r="W32" s="369">
        <v>15080</v>
      </c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370">
        <v>43049</v>
      </c>
      <c r="GU32" s="98">
        <v>22176</v>
      </c>
      <c r="GV32" s="84" t="s">
        <v>898</v>
      </c>
      <c r="GW32" s="74"/>
      <c r="GX32" s="74"/>
      <c r="GY32" s="167" t="s">
        <v>1003</v>
      </c>
      <c r="GZ32" s="86">
        <v>3712</v>
      </c>
    </row>
    <row r="33" spans="1:208" x14ac:dyDescent="0.25">
      <c r="D33" s="35"/>
      <c r="E33" s="36"/>
      <c r="F33" s="37"/>
      <c r="G33" s="38"/>
      <c r="H33" s="39"/>
      <c r="I33" s="40"/>
      <c r="J33" s="68" t="s">
        <v>42</v>
      </c>
      <c r="K33" s="451" t="s">
        <v>155</v>
      </c>
      <c r="L33" s="70">
        <v>11500</v>
      </c>
      <c r="M33" s="71">
        <v>43029</v>
      </c>
      <c r="N33" s="380" t="s">
        <v>961</v>
      </c>
      <c r="O33" s="72">
        <v>15510</v>
      </c>
      <c r="P33" s="113">
        <f t="shared" si="0"/>
        <v>4010</v>
      </c>
      <c r="Q33" s="117">
        <v>25</v>
      </c>
      <c r="R33" s="117"/>
      <c r="S33" s="89"/>
      <c r="T33" s="39">
        <f t="shared" si="1"/>
        <v>387750</v>
      </c>
      <c r="U33" s="363" t="s">
        <v>885</v>
      </c>
      <c r="V33" s="353">
        <v>43052</v>
      </c>
      <c r="W33" s="368">
        <v>9802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362">
        <v>43052</v>
      </c>
      <c r="GU33" s="98">
        <v>17584</v>
      </c>
      <c r="GV33" s="65" t="s">
        <v>897</v>
      </c>
      <c r="GW33" s="74"/>
      <c r="GX33" s="74"/>
      <c r="GY33" s="167" t="s">
        <v>1003</v>
      </c>
      <c r="GZ33" s="86">
        <v>2088</v>
      </c>
    </row>
    <row r="34" spans="1:208" x14ac:dyDescent="0.25">
      <c r="D34" s="35"/>
      <c r="E34" s="36"/>
      <c r="F34" s="37"/>
      <c r="G34" s="38"/>
      <c r="H34" s="39"/>
      <c r="I34" s="40"/>
      <c r="J34" s="68" t="s">
        <v>963</v>
      </c>
      <c r="K34" s="451" t="s">
        <v>46</v>
      </c>
      <c r="L34" s="70">
        <v>12040</v>
      </c>
      <c r="M34" s="71">
        <v>43030</v>
      </c>
      <c r="N34" s="380" t="s">
        <v>962</v>
      </c>
      <c r="O34" s="72">
        <v>11450</v>
      </c>
      <c r="P34" s="113">
        <f t="shared" si="0"/>
        <v>-590</v>
      </c>
      <c r="Q34" s="117">
        <v>24.5</v>
      </c>
      <c r="R34" s="117"/>
      <c r="S34" s="89"/>
      <c r="T34" s="39">
        <f t="shared" si="1"/>
        <v>280525</v>
      </c>
      <c r="U34" s="363" t="s">
        <v>885</v>
      </c>
      <c r="V34" s="353">
        <v>43052</v>
      </c>
      <c r="W34" s="368">
        <v>7540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362">
        <v>43052</v>
      </c>
      <c r="GU34" s="98">
        <v>17584</v>
      </c>
      <c r="GV34" s="65" t="s">
        <v>910</v>
      </c>
      <c r="GW34" s="74"/>
      <c r="GX34" s="74"/>
      <c r="GY34" s="167" t="s">
        <v>1003</v>
      </c>
      <c r="GZ34" s="86">
        <v>2088</v>
      </c>
    </row>
    <row r="35" spans="1:208" x14ac:dyDescent="0.25">
      <c r="D35" s="35"/>
      <c r="E35" s="36"/>
      <c r="F35" s="37"/>
      <c r="G35" s="38"/>
      <c r="H35" s="39"/>
      <c r="I35" s="40"/>
      <c r="J35" s="68" t="s">
        <v>964</v>
      </c>
      <c r="K35" s="407" t="s">
        <v>59</v>
      </c>
      <c r="L35" s="70">
        <v>18080</v>
      </c>
      <c r="M35" s="71">
        <v>43030</v>
      </c>
      <c r="N35" s="380" t="s">
        <v>965</v>
      </c>
      <c r="O35" s="72">
        <v>26790</v>
      </c>
      <c r="P35" s="113">
        <f t="shared" si="0"/>
        <v>8710</v>
      </c>
      <c r="Q35" s="64">
        <v>24.5</v>
      </c>
      <c r="R35" s="124"/>
      <c r="S35" s="117"/>
      <c r="T35" s="39">
        <f t="shared" si="1"/>
        <v>656355</v>
      </c>
      <c r="U35" s="363" t="s">
        <v>885</v>
      </c>
      <c r="V35" s="353">
        <v>43052</v>
      </c>
      <c r="W35" s="371">
        <v>16342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370">
        <v>43052</v>
      </c>
      <c r="GU35" s="98">
        <v>22176</v>
      </c>
      <c r="GV35" s="65" t="s">
        <v>909</v>
      </c>
      <c r="GW35" s="74"/>
      <c r="GX35" s="74"/>
      <c r="GY35" s="167" t="s">
        <v>1003</v>
      </c>
      <c r="GZ35" s="86">
        <v>3712</v>
      </c>
    </row>
    <row r="36" spans="1:208" x14ac:dyDescent="0.25">
      <c r="D36" s="35"/>
      <c r="E36" s="36"/>
      <c r="F36" s="37"/>
      <c r="G36" s="38"/>
      <c r="H36" s="39"/>
      <c r="I36" s="40"/>
      <c r="J36" s="68" t="s">
        <v>38</v>
      </c>
      <c r="K36" s="407" t="s">
        <v>868</v>
      </c>
      <c r="L36" s="70">
        <v>24190</v>
      </c>
      <c r="M36" s="71">
        <v>43031</v>
      </c>
      <c r="N36" s="380" t="s">
        <v>966</v>
      </c>
      <c r="O36" s="72">
        <v>30100</v>
      </c>
      <c r="P36" s="113">
        <f t="shared" si="0"/>
        <v>5910</v>
      </c>
      <c r="Q36" s="64">
        <v>24.5</v>
      </c>
      <c r="R36" s="124"/>
      <c r="S36" s="125"/>
      <c r="T36" s="39">
        <f t="shared" si="1"/>
        <v>737450</v>
      </c>
      <c r="U36" s="363" t="s">
        <v>885</v>
      </c>
      <c r="V36" s="353">
        <v>43053</v>
      </c>
      <c r="W36" s="371">
        <v>19679.400000000001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370">
        <v>43053</v>
      </c>
      <c r="GU36" s="98">
        <v>22176</v>
      </c>
      <c r="GV36" s="65" t="s">
        <v>911</v>
      </c>
      <c r="GW36" s="74"/>
      <c r="GX36" s="74"/>
      <c r="GY36" s="167" t="s">
        <v>1003</v>
      </c>
      <c r="GZ36" s="86">
        <v>3712</v>
      </c>
    </row>
    <row r="37" spans="1:208" x14ac:dyDescent="0.25">
      <c r="A37"/>
      <c r="D37" s="35"/>
      <c r="E37" s="36"/>
      <c r="F37" s="37"/>
      <c r="G37" s="38"/>
      <c r="H37" s="39"/>
      <c r="I37" s="40"/>
      <c r="J37" s="68" t="s">
        <v>33</v>
      </c>
      <c r="K37" s="407" t="s">
        <v>497</v>
      </c>
      <c r="L37" s="70">
        <v>24400</v>
      </c>
      <c r="M37" s="71">
        <v>43032</v>
      </c>
      <c r="N37" s="380" t="s">
        <v>969</v>
      </c>
      <c r="O37" s="72">
        <v>30365</v>
      </c>
      <c r="P37" s="113">
        <f t="shared" si="0"/>
        <v>5965</v>
      </c>
      <c r="Q37" s="126">
        <v>24.5</v>
      </c>
      <c r="R37" s="127"/>
      <c r="S37" s="127"/>
      <c r="T37" s="39">
        <f t="shared" si="1"/>
        <v>743942.5</v>
      </c>
      <c r="U37" s="363" t="s">
        <v>885</v>
      </c>
      <c r="V37" s="353">
        <v>43054</v>
      </c>
      <c r="W37" s="368">
        <v>19528.599999999999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430">
        <v>43054</v>
      </c>
      <c r="GU37" s="624">
        <v>19800</v>
      </c>
      <c r="GV37" s="65" t="s">
        <v>993</v>
      </c>
      <c r="GW37" s="74"/>
      <c r="GX37" s="74"/>
      <c r="GY37" s="167" t="s">
        <v>1003</v>
      </c>
      <c r="GZ37" s="86">
        <v>3712</v>
      </c>
    </row>
    <row r="38" spans="1:208" x14ac:dyDescent="0.25">
      <c r="A38"/>
      <c r="D38" s="35"/>
      <c r="E38" s="36"/>
      <c r="F38" s="37"/>
      <c r="G38" s="38"/>
      <c r="H38" s="39"/>
      <c r="I38" s="40"/>
      <c r="J38" s="68" t="s">
        <v>42</v>
      </c>
      <c r="K38" s="407" t="s">
        <v>485</v>
      </c>
      <c r="L38" s="70">
        <v>23420</v>
      </c>
      <c r="M38" s="71">
        <v>43033</v>
      </c>
      <c r="N38" s="380" t="s">
        <v>967</v>
      </c>
      <c r="O38" s="72">
        <v>29440</v>
      </c>
      <c r="P38" s="113">
        <f t="shared" si="0"/>
        <v>6020</v>
      </c>
      <c r="Q38" s="117">
        <v>24.5</v>
      </c>
      <c r="R38" s="127"/>
      <c r="S38" s="127"/>
      <c r="T38" s="39">
        <f t="shared" si="1"/>
        <v>721280</v>
      </c>
      <c r="U38" s="363" t="s">
        <v>885</v>
      </c>
      <c r="V38" s="353">
        <v>43053</v>
      </c>
      <c r="W38" s="368">
        <v>19453.2</v>
      </c>
      <c r="X38" s="355"/>
      <c r="Y38" s="356"/>
      <c r="Z38" s="357"/>
      <c r="AA38" s="358"/>
      <c r="AB38" s="357"/>
      <c r="AC38" s="359"/>
      <c r="AD38" s="360"/>
      <c r="AE38" s="355"/>
      <c r="AF38" s="355"/>
      <c r="AG38" s="355"/>
      <c r="AH38" s="356"/>
      <c r="AI38" s="357"/>
      <c r="AJ38" s="358"/>
      <c r="AK38" s="357"/>
      <c r="AL38" s="359"/>
      <c r="AM38" s="360"/>
      <c r="AN38" s="355"/>
      <c r="AO38" s="355"/>
      <c r="AP38" s="355"/>
      <c r="AQ38" s="356"/>
      <c r="AR38" s="357"/>
      <c r="AS38" s="358"/>
      <c r="AT38" s="357"/>
      <c r="AU38" s="359"/>
      <c r="AV38" s="360"/>
      <c r="AW38" s="355"/>
      <c r="AX38" s="355"/>
      <c r="AY38" s="355"/>
      <c r="AZ38" s="356"/>
      <c r="BA38" s="357"/>
      <c r="BB38" s="358"/>
      <c r="BC38" s="357"/>
      <c r="BD38" s="359"/>
      <c r="BE38" s="360"/>
      <c r="BF38" s="355"/>
      <c r="BG38" s="355"/>
      <c r="BH38" s="355"/>
      <c r="BI38" s="356"/>
      <c r="BJ38" s="357"/>
      <c r="BK38" s="358"/>
      <c r="BL38" s="357"/>
      <c r="BM38" s="359"/>
      <c r="BN38" s="360"/>
      <c r="BO38" s="355"/>
      <c r="BP38" s="355"/>
      <c r="BQ38" s="355"/>
      <c r="BR38" s="356"/>
      <c r="BS38" s="357"/>
      <c r="BT38" s="358"/>
      <c r="BU38" s="357"/>
      <c r="BV38" s="359"/>
      <c r="BW38" s="360"/>
      <c r="BX38" s="355"/>
      <c r="BY38" s="355"/>
      <c r="BZ38" s="355"/>
      <c r="CA38" s="356"/>
      <c r="CB38" s="357"/>
      <c r="CC38" s="358"/>
      <c r="CD38" s="357"/>
      <c r="CE38" s="359"/>
      <c r="CF38" s="360"/>
      <c r="CG38" s="355"/>
      <c r="CH38" s="355"/>
      <c r="CI38" s="355"/>
      <c r="CJ38" s="356"/>
      <c r="CK38" s="357"/>
      <c r="CL38" s="358"/>
      <c r="CM38" s="357"/>
      <c r="CN38" s="359"/>
      <c r="CO38" s="360"/>
      <c r="CP38" s="355"/>
      <c r="CQ38" s="355"/>
      <c r="CR38" s="355"/>
      <c r="CS38" s="356"/>
      <c r="CT38" s="357"/>
      <c r="CU38" s="358"/>
      <c r="CV38" s="357"/>
      <c r="CW38" s="359"/>
      <c r="CX38" s="360"/>
      <c r="CY38" s="355"/>
      <c r="CZ38" s="355"/>
      <c r="DA38" s="355"/>
      <c r="DB38" s="356"/>
      <c r="DC38" s="357"/>
      <c r="DD38" s="358"/>
      <c r="DE38" s="357"/>
      <c r="DF38" s="359"/>
      <c r="DG38" s="360"/>
      <c r="DH38" s="355"/>
      <c r="DI38" s="355"/>
      <c r="DJ38" s="355"/>
      <c r="DK38" s="356"/>
      <c r="DL38" s="357"/>
      <c r="DM38" s="358"/>
      <c r="DN38" s="357"/>
      <c r="DO38" s="359"/>
      <c r="DP38" s="360"/>
      <c r="DQ38" s="355"/>
      <c r="DR38" s="355"/>
      <c r="DS38" s="355"/>
      <c r="DT38" s="356"/>
      <c r="DU38" s="357"/>
      <c r="DV38" s="358"/>
      <c r="DW38" s="357"/>
      <c r="DX38" s="359"/>
      <c r="DY38" s="360"/>
      <c r="DZ38" s="355"/>
      <c r="EA38" s="355"/>
      <c r="EB38" s="355"/>
      <c r="EC38" s="356"/>
      <c r="ED38" s="357"/>
      <c r="EE38" s="358"/>
      <c r="EF38" s="357"/>
      <c r="EG38" s="359"/>
      <c r="EH38" s="360"/>
      <c r="EI38" s="355"/>
      <c r="EJ38" s="355"/>
      <c r="EK38" s="355"/>
      <c r="EL38" s="356"/>
      <c r="EM38" s="357"/>
      <c r="EN38" s="358"/>
      <c r="EO38" s="357"/>
      <c r="EP38" s="359"/>
      <c r="EQ38" s="360"/>
      <c r="ER38" s="355"/>
      <c r="ES38" s="355"/>
      <c r="ET38" s="355"/>
      <c r="EU38" s="356"/>
      <c r="EV38" s="357"/>
      <c r="EW38" s="358"/>
      <c r="EX38" s="357"/>
      <c r="EY38" s="359"/>
      <c r="EZ38" s="360"/>
      <c r="FA38" s="355"/>
      <c r="FB38" s="355"/>
      <c r="FC38" s="355"/>
      <c r="FD38" s="356"/>
      <c r="FE38" s="357"/>
      <c r="FF38" s="358"/>
      <c r="FG38" s="357"/>
      <c r="FH38" s="359"/>
      <c r="FI38" s="360"/>
      <c r="FJ38" s="355"/>
      <c r="FK38" s="355"/>
      <c r="FL38" s="355"/>
      <c r="FM38" s="356"/>
      <c r="FN38" s="357"/>
      <c r="FO38" s="358"/>
      <c r="FP38" s="357"/>
      <c r="FQ38" s="359"/>
      <c r="FR38" s="360"/>
      <c r="FS38" s="355"/>
      <c r="FT38" s="355"/>
      <c r="FU38" s="355"/>
      <c r="FV38" s="356"/>
      <c r="FW38" s="357"/>
      <c r="FX38" s="358"/>
      <c r="FY38" s="357"/>
      <c r="FZ38" s="359"/>
      <c r="GA38" s="360"/>
      <c r="GB38" s="355"/>
      <c r="GC38" s="355"/>
      <c r="GD38" s="355"/>
      <c r="GE38" s="356"/>
      <c r="GF38" s="357"/>
      <c r="GG38" s="358"/>
      <c r="GH38" s="357"/>
      <c r="GI38" s="359"/>
      <c r="GJ38" s="360"/>
      <c r="GK38" s="355"/>
      <c r="GL38" s="355"/>
      <c r="GM38" s="355"/>
      <c r="GN38" s="356"/>
      <c r="GO38" s="357"/>
      <c r="GP38" s="358"/>
      <c r="GQ38" s="357"/>
      <c r="GR38" s="359"/>
      <c r="GS38" s="360"/>
      <c r="GT38" s="362">
        <v>43053</v>
      </c>
      <c r="GU38" s="98">
        <v>22176</v>
      </c>
      <c r="GV38" s="65" t="s">
        <v>912</v>
      </c>
      <c r="GW38" s="74"/>
      <c r="GX38" s="74"/>
      <c r="GY38" s="167" t="s">
        <v>1003</v>
      </c>
      <c r="GZ38" s="86">
        <v>3712</v>
      </c>
    </row>
    <row r="39" spans="1:208" x14ac:dyDescent="0.25">
      <c r="A39"/>
      <c r="D39" s="35"/>
      <c r="E39" s="36"/>
      <c r="F39" s="37"/>
      <c r="G39" s="38"/>
      <c r="H39" s="39"/>
      <c r="I39" s="40"/>
      <c r="J39" s="68" t="s">
        <v>907</v>
      </c>
      <c r="K39" s="407" t="s">
        <v>46</v>
      </c>
      <c r="L39" s="70">
        <v>10890</v>
      </c>
      <c r="M39" s="71">
        <v>43034</v>
      </c>
      <c r="N39" s="380" t="s">
        <v>980</v>
      </c>
      <c r="O39" s="72">
        <v>10920</v>
      </c>
      <c r="P39" s="113">
        <f t="shared" si="0"/>
        <v>30</v>
      </c>
      <c r="Q39" s="117">
        <v>24.5</v>
      </c>
      <c r="R39" s="117"/>
      <c r="S39" s="117"/>
      <c r="T39" s="39">
        <f>Q39*O39</f>
        <v>267540</v>
      </c>
      <c r="U39" s="363" t="s">
        <v>885</v>
      </c>
      <c r="V39" s="353">
        <v>43060</v>
      </c>
      <c r="W39" s="368">
        <v>7540</v>
      </c>
      <c r="X39" s="355"/>
      <c r="Y39" s="356"/>
      <c r="Z39" s="357"/>
      <c r="AA39" s="358"/>
      <c r="AB39" s="357"/>
      <c r="AC39" s="359"/>
      <c r="AD39" s="360"/>
      <c r="AE39" s="355"/>
      <c r="AF39" s="355"/>
      <c r="AG39" s="355"/>
      <c r="AH39" s="356"/>
      <c r="AI39" s="357"/>
      <c r="AJ39" s="358"/>
      <c r="AK39" s="357"/>
      <c r="AL39" s="359"/>
      <c r="AM39" s="360"/>
      <c r="AN39" s="355"/>
      <c r="AO39" s="355"/>
      <c r="AP39" s="355"/>
      <c r="AQ39" s="356"/>
      <c r="AR39" s="357"/>
      <c r="AS39" s="358"/>
      <c r="AT39" s="357"/>
      <c r="AU39" s="359"/>
      <c r="AV39" s="360"/>
      <c r="AW39" s="355"/>
      <c r="AX39" s="355"/>
      <c r="AY39" s="355"/>
      <c r="AZ39" s="356"/>
      <c r="BA39" s="357"/>
      <c r="BB39" s="358"/>
      <c r="BC39" s="357"/>
      <c r="BD39" s="359"/>
      <c r="BE39" s="360"/>
      <c r="BF39" s="355"/>
      <c r="BG39" s="355"/>
      <c r="BH39" s="355"/>
      <c r="BI39" s="356"/>
      <c r="BJ39" s="357"/>
      <c r="BK39" s="358"/>
      <c r="BL39" s="357"/>
      <c r="BM39" s="359"/>
      <c r="BN39" s="360"/>
      <c r="BO39" s="355"/>
      <c r="BP39" s="355"/>
      <c r="BQ39" s="355"/>
      <c r="BR39" s="356"/>
      <c r="BS39" s="357"/>
      <c r="BT39" s="358"/>
      <c r="BU39" s="357"/>
      <c r="BV39" s="359"/>
      <c r="BW39" s="360"/>
      <c r="BX39" s="355"/>
      <c r="BY39" s="355"/>
      <c r="BZ39" s="355"/>
      <c r="CA39" s="356"/>
      <c r="CB39" s="357"/>
      <c r="CC39" s="358"/>
      <c r="CD39" s="357"/>
      <c r="CE39" s="359"/>
      <c r="CF39" s="360"/>
      <c r="CG39" s="355"/>
      <c r="CH39" s="355"/>
      <c r="CI39" s="355"/>
      <c r="CJ39" s="356"/>
      <c r="CK39" s="357"/>
      <c r="CL39" s="358"/>
      <c r="CM39" s="357"/>
      <c r="CN39" s="359"/>
      <c r="CO39" s="360"/>
      <c r="CP39" s="355"/>
      <c r="CQ39" s="355"/>
      <c r="CR39" s="355"/>
      <c r="CS39" s="356"/>
      <c r="CT39" s="357"/>
      <c r="CU39" s="358"/>
      <c r="CV39" s="357"/>
      <c r="CW39" s="359"/>
      <c r="CX39" s="360"/>
      <c r="CY39" s="355"/>
      <c r="CZ39" s="355"/>
      <c r="DA39" s="355"/>
      <c r="DB39" s="356"/>
      <c r="DC39" s="357"/>
      <c r="DD39" s="358"/>
      <c r="DE39" s="357"/>
      <c r="DF39" s="359"/>
      <c r="DG39" s="360"/>
      <c r="DH39" s="355"/>
      <c r="DI39" s="355"/>
      <c r="DJ39" s="355"/>
      <c r="DK39" s="356"/>
      <c r="DL39" s="357"/>
      <c r="DM39" s="358"/>
      <c r="DN39" s="357"/>
      <c r="DO39" s="359"/>
      <c r="DP39" s="360"/>
      <c r="DQ39" s="355"/>
      <c r="DR39" s="355"/>
      <c r="DS39" s="355"/>
      <c r="DT39" s="356"/>
      <c r="DU39" s="357"/>
      <c r="DV39" s="358"/>
      <c r="DW39" s="357"/>
      <c r="DX39" s="359"/>
      <c r="DY39" s="360"/>
      <c r="DZ39" s="355"/>
      <c r="EA39" s="355"/>
      <c r="EB39" s="355"/>
      <c r="EC39" s="356"/>
      <c r="ED39" s="357"/>
      <c r="EE39" s="358"/>
      <c r="EF39" s="357"/>
      <c r="EG39" s="359"/>
      <c r="EH39" s="360"/>
      <c r="EI39" s="355"/>
      <c r="EJ39" s="355"/>
      <c r="EK39" s="355"/>
      <c r="EL39" s="356"/>
      <c r="EM39" s="357"/>
      <c r="EN39" s="358"/>
      <c r="EO39" s="357"/>
      <c r="EP39" s="359"/>
      <c r="EQ39" s="360"/>
      <c r="ER39" s="355"/>
      <c r="ES39" s="355"/>
      <c r="ET39" s="355"/>
      <c r="EU39" s="356"/>
      <c r="EV39" s="357"/>
      <c r="EW39" s="358"/>
      <c r="EX39" s="357"/>
      <c r="EY39" s="359"/>
      <c r="EZ39" s="360"/>
      <c r="FA39" s="355"/>
      <c r="FB39" s="355"/>
      <c r="FC39" s="355"/>
      <c r="FD39" s="356"/>
      <c r="FE39" s="357"/>
      <c r="FF39" s="358"/>
      <c r="FG39" s="357"/>
      <c r="FH39" s="359"/>
      <c r="FI39" s="360"/>
      <c r="FJ39" s="355"/>
      <c r="FK39" s="355"/>
      <c r="FL39" s="355"/>
      <c r="FM39" s="356"/>
      <c r="FN39" s="357"/>
      <c r="FO39" s="358"/>
      <c r="FP39" s="357"/>
      <c r="FQ39" s="359"/>
      <c r="FR39" s="360"/>
      <c r="FS39" s="355"/>
      <c r="FT39" s="355"/>
      <c r="FU39" s="355"/>
      <c r="FV39" s="356"/>
      <c r="FW39" s="357"/>
      <c r="FX39" s="358"/>
      <c r="FY39" s="357"/>
      <c r="FZ39" s="359"/>
      <c r="GA39" s="360"/>
      <c r="GB39" s="355"/>
      <c r="GC39" s="355"/>
      <c r="GD39" s="355"/>
      <c r="GE39" s="356"/>
      <c r="GF39" s="357"/>
      <c r="GG39" s="358"/>
      <c r="GH39" s="357"/>
      <c r="GI39" s="359"/>
      <c r="GJ39" s="360"/>
      <c r="GK39" s="355"/>
      <c r="GL39" s="355"/>
      <c r="GM39" s="355"/>
      <c r="GN39" s="356"/>
      <c r="GO39" s="357"/>
      <c r="GP39" s="358"/>
      <c r="GQ39" s="357"/>
      <c r="GR39" s="359"/>
      <c r="GS39" s="360"/>
      <c r="GT39" s="384">
        <v>43060</v>
      </c>
      <c r="GU39" s="98">
        <v>17584</v>
      </c>
      <c r="GV39" s="65" t="s">
        <v>913</v>
      </c>
      <c r="GW39" s="74"/>
      <c r="GX39" s="74"/>
      <c r="GY39" s="167" t="s">
        <v>1003</v>
      </c>
      <c r="GZ39" s="86">
        <v>2088</v>
      </c>
    </row>
    <row r="40" spans="1:208" x14ac:dyDescent="0.25">
      <c r="A40"/>
      <c r="D40" s="35"/>
      <c r="E40" s="36"/>
      <c r="F40" s="37"/>
      <c r="G40" s="38"/>
      <c r="H40" s="39"/>
      <c r="I40" s="40"/>
      <c r="J40" s="68" t="s">
        <v>908</v>
      </c>
      <c r="K40" s="407" t="s">
        <v>149</v>
      </c>
      <c r="L40" s="70">
        <v>18640</v>
      </c>
      <c r="M40" s="71">
        <v>43034</v>
      </c>
      <c r="N40" s="380" t="s">
        <v>968</v>
      </c>
      <c r="O40" s="72">
        <v>27085</v>
      </c>
      <c r="P40" s="113">
        <f t="shared" si="0"/>
        <v>8445</v>
      </c>
      <c r="Q40" s="117">
        <v>24.5</v>
      </c>
      <c r="R40" s="117"/>
      <c r="S40" s="117"/>
      <c r="T40" s="39">
        <f>Q40*O40</f>
        <v>663582.5</v>
      </c>
      <c r="U40" s="363" t="s">
        <v>885</v>
      </c>
      <c r="V40" s="353">
        <v>43055</v>
      </c>
      <c r="W40" s="368">
        <v>17342</v>
      </c>
      <c r="X40" s="355"/>
      <c r="Y40" s="356"/>
      <c r="Z40" s="357"/>
      <c r="AA40" s="358"/>
      <c r="AB40" s="357"/>
      <c r="AC40" s="359"/>
      <c r="AD40" s="360"/>
      <c r="AE40" s="355"/>
      <c r="AF40" s="355"/>
      <c r="AG40" s="355"/>
      <c r="AH40" s="356"/>
      <c r="AI40" s="357"/>
      <c r="AJ40" s="358"/>
      <c r="AK40" s="357"/>
      <c r="AL40" s="359"/>
      <c r="AM40" s="360"/>
      <c r="AN40" s="355"/>
      <c r="AO40" s="355"/>
      <c r="AP40" s="355"/>
      <c r="AQ40" s="356"/>
      <c r="AR40" s="357"/>
      <c r="AS40" s="358"/>
      <c r="AT40" s="357"/>
      <c r="AU40" s="359"/>
      <c r="AV40" s="360"/>
      <c r="AW40" s="355"/>
      <c r="AX40" s="355"/>
      <c r="AY40" s="355"/>
      <c r="AZ40" s="356"/>
      <c r="BA40" s="357"/>
      <c r="BB40" s="358"/>
      <c r="BC40" s="357"/>
      <c r="BD40" s="359"/>
      <c r="BE40" s="360"/>
      <c r="BF40" s="355"/>
      <c r="BG40" s="355"/>
      <c r="BH40" s="355"/>
      <c r="BI40" s="356"/>
      <c r="BJ40" s="357"/>
      <c r="BK40" s="358"/>
      <c r="BL40" s="357"/>
      <c r="BM40" s="359"/>
      <c r="BN40" s="360"/>
      <c r="BO40" s="355"/>
      <c r="BP40" s="355"/>
      <c r="BQ40" s="355"/>
      <c r="BR40" s="356"/>
      <c r="BS40" s="357"/>
      <c r="BT40" s="358"/>
      <c r="BU40" s="357"/>
      <c r="BV40" s="359"/>
      <c r="BW40" s="360"/>
      <c r="BX40" s="355"/>
      <c r="BY40" s="355"/>
      <c r="BZ40" s="355"/>
      <c r="CA40" s="356"/>
      <c r="CB40" s="357"/>
      <c r="CC40" s="358"/>
      <c r="CD40" s="357"/>
      <c r="CE40" s="359"/>
      <c r="CF40" s="360"/>
      <c r="CG40" s="355"/>
      <c r="CH40" s="355"/>
      <c r="CI40" s="355"/>
      <c r="CJ40" s="356"/>
      <c r="CK40" s="357"/>
      <c r="CL40" s="358"/>
      <c r="CM40" s="357"/>
      <c r="CN40" s="359"/>
      <c r="CO40" s="360"/>
      <c r="CP40" s="355"/>
      <c r="CQ40" s="355"/>
      <c r="CR40" s="355"/>
      <c r="CS40" s="356"/>
      <c r="CT40" s="357"/>
      <c r="CU40" s="358"/>
      <c r="CV40" s="357"/>
      <c r="CW40" s="359"/>
      <c r="CX40" s="360"/>
      <c r="CY40" s="355"/>
      <c r="CZ40" s="355"/>
      <c r="DA40" s="355"/>
      <c r="DB40" s="356"/>
      <c r="DC40" s="357"/>
      <c r="DD40" s="358"/>
      <c r="DE40" s="357"/>
      <c r="DF40" s="359"/>
      <c r="DG40" s="360"/>
      <c r="DH40" s="355"/>
      <c r="DI40" s="355"/>
      <c r="DJ40" s="355"/>
      <c r="DK40" s="356"/>
      <c r="DL40" s="357"/>
      <c r="DM40" s="358"/>
      <c r="DN40" s="357"/>
      <c r="DO40" s="359"/>
      <c r="DP40" s="360"/>
      <c r="DQ40" s="355"/>
      <c r="DR40" s="355"/>
      <c r="DS40" s="355"/>
      <c r="DT40" s="356"/>
      <c r="DU40" s="357"/>
      <c r="DV40" s="358"/>
      <c r="DW40" s="357"/>
      <c r="DX40" s="359"/>
      <c r="DY40" s="360"/>
      <c r="DZ40" s="355"/>
      <c r="EA40" s="355"/>
      <c r="EB40" s="355"/>
      <c r="EC40" s="356"/>
      <c r="ED40" s="357"/>
      <c r="EE40" s="358"/>
      <c r="EF40" s="357"/>
      <c r="EG40" s="359"/>
      <c r="EH40" s="360"/>
      <c r="EI40" s="355"/>
      <c r="EJ40" s="355"/>
      <c r="EK40" s="355"/>
      <c r="EL40" s="356"/>
      <c r="EM40" s="357"/>
      <c r="EN40" s="358"/>
      <c r="EO40" s="357"/>
      <c r="EP40" s="359"/>
      <c r="EQ40" s="360"/>
      <c r="ER40" s="355"/>
      <c r="ES40" s="355"/>
      <c r="ET40" s="355"/>
      <c r="EU40" s="356"/>
      <c r="EV40" s="357"/>
      <c r="EW40" s="358"/>
      <c r="EX40" s="357"/>
      <c r="EY40" s="359"/>
      <c r="EZ40" s="360"/>
      <c r="FA40" s="355"/>
      <c r="FB40" s="355"/>
      <c r="FC40" s="355"/>
      <c r="FD40" s="356"/>
      <c r="FE40" s="357"/>
      <c r="FF40" s="358"/>
      <c r="FG40" s="357"/>
      <c r="FH40" s="359"/>
      <c r="FI40" s="360"/>
      <c r="FJ40" s="355"/>
      <c r="FK40" s="355"/>
      <c r="FL40" s="355"/>
      <c r="FM40" s="356"/>
      <c r="FN40" s="357"/>
      <c r="FO40" s="358"/>
      <c r="FP40" s="357"/>
      <c r="FQ40" s="359"/>
      <c r="FR40" s="360"/>
      <c r="FS40" s="355"/>
      <c r="FT40" s="355"/>
      <c r="FU40" s="355"/>
      <c r="FV40" s="356"/>
      <c r="FW40" s="357"/>
      <c r="FX40" s="358"/>
      <c r="FY40" s="357"/>
      <c r="FZ40" s="359"/>
      <c r="GA40" s="360"/>
      <c r="GB40" s="355"/>
      <c r="GC40" s="355"/>
      <c r="GD40" s="355"/>
      <c r="GE40" s="356"/>
      <c r="GF40" s="357"/>
      <c r="GG40" s="358"/>
      <c r="GH40" s="357"/>
      <c r="GI40" s="359"/>
      <c r="GJ40" s="360"/>
      <c r="GK40" s="355"/>
      <c r="GL40" s="355"/>
      <c r="GM40" s="355"/>
      <c r="GN40" s="356"/>
      <c r="GO40" s="357"/>
      <c r="GP40" s="358"/>
      <c r="GQ40" s="357"/>
      <c r="GR40" s="359"/>
      <c r="GS40" s="360"/>
      <c r="GT40" s="362">
        <v>43055</v>
      </c>
      <c r="GU40" s="626"/>
      <c r="GV40" s="627"/>
      <c r="GW40" s="74"/>
      <c r="GX40" s="74"/>
      <c r="GY40" s="167" t="s">
        <v>1003</v>
      </c>
      <c r="GZ40" s="86">
        <v>3712</v>
      </c>
    </row>
    <row r="41" spans="1:208" x14ac:dyDescent="0.25">
      <c r="A41"/>
      <c r="D41" s="35"/>
      <c r="E41" s="36"/>
      <c r="F41" s="37"/>
      <c r="G41" s="38"/>
      <c r="H41" s="39"/>
      <c r="I41" s="40"/>
      <c r="J41" s="68" t="s">
        <v>43</v>
      </c>
      <c r="K41" s="451" t="s">
        <v>313</v>
      </c>
      <c r="L41" s="70">
        <v>16390</v>
      </c>
      <c r="M41" s="71">
        <v>43035</v>
      </c>
      <c r="N41" s="380" t="s">
        <v>971</v>
      </c>
      <c r="O41" s="72">
        <v>20880</v>
      </c>
      <c r="P41" s="113">
        <f t="shared" si="0"/>
        <v>4490</v>
      </c>
      <c r="Q41" s="64">
        <v>24.5</v>
      </c>
      <c r="R41" s="117"/>
      <c r="S41" s="117"/>
      <c r="T41" s="39">
        <f>Q41*O41</f>
        <v>511560</v>
      </c>
      <c r="U41" s="363" t="s">
        <v>885</v>
      </c>
      <c r="V41" s="353">
        <v>43056</v>
      </c>
      <c r="W41" s="368">
        <v>15080</v>
      </c>
      <c r="X41" s="355"/>
      <c r="Y41" s="356"/>
      <c r="Z41" s="357"/>
      <c r="AA41" s="358"/>
      <c r="AB41" s="357"/>
      <c r="AC41" s="359"/>
      <c r="AD41" s="360"/>
      <c r="AE41" s="355"/>
      <c r="AF41" s="355"/>
      <c r="AG41" s="355"/>
      <c r="AH41" s="356"/>
      <c r="AI41" s="357"/>
      <c r="AJ41" s="358"/>
      <c r="AK41" s="357"/>
      <c r="AL41" s="359"/>
      <c r="AM41" s="360"/>
      <c r="AN41" s="355"/>
      <c r="AO41" s="355"/>
      <c r="AP41" s="355"/>
      <c r="AQ41" s="356"/>
      <c r="AR41" s="357"/>
      <c r="AS41" s="358"/>
      <c r="AT41" s="357"/>
      <c r="AU41" s="359"/>
      <c r="AV41" s="360"/>
      <c r="AW41" s="355"/>
      <c r="AX41" s="355"/>
      <c r="AY41" s="355"/>
      <c r="AZ41" s="356"/>
      <c r="BA41" s="357"/>
      <c r="BB41" s="358"/>
      <c r="BC41" s="357"/>
      <c r="BD41" s="359"/>
      <c r="BE41" s="360"/>
      <c r="BF41" s="355"/>
      <c r="BG41" s="355"/>
      <c r="BH41" s="355"/>
      <c r="BI41" s="356"/>
      <c r="BJ41" s="357"/>
      <c r="BK41" s="358"/>
      <c r="BL41" s="357"/>
      <c r="BM41" s="359"/>
      <c r="BN41" s="360"/>
      <c r="BO41" s="355"/>
      <c r="BP41" s="355"/>
      <c r="BQ41" s="355"/>
      <c r="BR41" s="356"/>
      <c r="BS41" s="357"/>
      <c r="BT41" s="358"/>
      <c r="BU41" s="357"/>
      <c r="BV41" s="359"/>
      <c r="BW41" s="360"/>
      <c r="BX41" s="355"/>
      <c r="BY41" s="355"/>
      <c r="BZ41" s="355"/>
      <c r="CA41" s="356"/>
      <c r="CB41" s="357"/>
      <c r="CC41" s="358"/>
      <c r="CD41" s="357"/>
      <c r="CE41" s="359"/>
      <c r="CF41" s="360"/>
      <c r="CG41" s="355"/>
      <c r="CH41" s="355"/>
      <c r="CI41" s="355"/>
      <c r="CJ41" s="356"/>
      <c r="CK41" s="357"/>
      <c r="CL41" s="358"/>
      <c r="CM41" s="357"/>
      <c r="CN41" s="359"/>
      <c r="CO41" s="360"/>
      <c r="CP41" s="355"/>
      <c r="CQ41" s="355"/>
      <c r="CR41" s="355"/>
      <c r="CS41" s="356"/>
      <c r="CT41" s="357"/>
      <c r="CU41" s="358"/>
      <c r="CV41" s="357"/>
      <c r="CW41" s="359"/>
      <c r="CX41" s="360"/>
      <c r="CY41" s="355"/>
      <c r="CZ41" s="355"/>
      <c r="DA41" s="355"/>
      <c r="DB41" s="356"/>
      <c r="DC41" s="357"/>
      <c r="DD41" s="358"/>
      <c r="DE41" s="357"/>
      <c r="DF41" s="359"/>
      <c r="DG41" s="360"/>
      <c r="DH41" s="355"/>
      <c r="DI41" s="355"/>
      <c r="DJ41" s="355"/>
      <c r="DK41" s="356"/>
      <c r="DL41" s="357"/>
      <c r="DM41" s="358"/>
      <c r="DN41" s="357"/>
      <c r="DO41" s="359"/>
      <c r="DP41" s="360"/>
      <c r="DQ41" s="355"/>
      <c r="DR41" s="355"/>
      <c r="DS41" s="355"/>
      <c r="DT41" s="356"/>
      <c r="DU41" s="357"/>
      <c r="DV41" s="358"/>
      <c r="DW41" s="357"/>
      <c r="DX41" s="359"/>
      <c r="DY41" s="360"/>
      <c r="DZ41" s="355"/>
      <c r="EA41" s="355"/>
      <c r="EB41" s="355"/>
      <c r="EC41" s="356"/>
      <c r="ED41" s="357"/>
      <c r="EE41" s="358"/>
      <c r="EF41" s="357"/>
      <c r="EG41" s="359"/>
      <c r="EH41" s="360"/>
      <c r="EI41" s="355"/>
      <c r="EJ41" s="355"/>
      <c r="EK41" s="355"/>
      <c r="EL41" s="356"/>
      <c r="EM41" s="357"/>
      <c r="EN41" s="358"/>
      <c r="EO41" s="357"/>
      <c r="EP41" s="359"/>
      <c r="EQ41" s="360"/>
      <c r="ER41" s="355"/>
      <c r="ES41" s="355"/>
      <c r="ET41" s="355"/>
      <c r="EU41" s="356"/>
      <c r="EV41" s="357"/>
      <c r="EW41" s="358"/>
      <c r="EX41" s="357"/>
      <c r="EY41" s="359"/>
      <c r="EZ41" s="360"/>
      <c r="FA41" s="355"/>
      <c r="FB41" s="355"/>
      <c r="FC41" s="355"/>
      <c r="FD41" s="356"/>
      <c r="FE41" s="357"/>
      <c r="FF41" s="358"/>
      <c r="FG41" s="357"/>
      <c r="FH41" s="359"/>
      <c r="FI41" s="360"/>
      <c r="FJ41" s="355"/>
      <c r="FK41" s="355"/>
      <c r="FL41" s="355"/>
      <c r="FM41" s="356"/>
      <c r="FN41" s="357"/>
      <c r="FO41" s="358"/>
      <c r="FP41" s="357"/>
      <c r="FQ41" s="359"/>
      <c r="FR41" s="360"/>
      <c r="FS41" s="355"/>
      <c r="FT41" s="355"/>
      <c r="FU41" s="355"/>
      <c r="FV41" s="356"/>
      <c r="FW41" s="357"/>
      <c r="FX41" s="358"/>
      <c r="FY41" s="357"/>
      <c r="FZ41" s="359"/>
      <c r="GA41" s="360"/>
      <c r="GB41" s="355"/>
      <c r="GC41" s="355"/>
      <c r="GD41" s="355"/>
      <c r="GE41" s="356"/>
      <c r="GF41" s="357"/>
      <c r="GG41" s="358"/>
      <c r="GH41" s="357"/>
      <c r="GI41" s="359"/>
      <c r="GJ41" s="360"/>
      <c r="GK41" s="355"/>
      <c r="GL41" s="355"/>
      <c r="GM41" s="355"/>
      <c r="GN41" s="356"/>
      <c r="GO41" s="357"/>
      <c r="GP41" s="358"/>
      <c r="GQ41" s="357"/>
      <c r="GR41" s="359"/>
      <c r="GS41" s="360"/>
      <c r="GT41" s="384">
        <v>43056</v>
      </c>
      <c r="GU41" s="98">
        <v>22176</v>
      </c>
      <c r="GV41" s="129" t="s">
        <v>915</v>
      </c>
      <c r="GW41" s="74"/>
      <c r="GX41" s="74"/>
      <c r="GY41" s="167" t="s">
        <v>1003</v>
      </c>
      <c r="GZ41" s="86">
        <v>3712</v>
      </c>
    </row>
    <row r="42" spans="1:208" x14ac:dyDescent="0.25">
      <c r="A42"/>
      <c r="D42" s="35"/>
      <c r="E42" s="36"/>
      <c r="F42" s="37"/>
      <c r="G42" s="38"/>
      <c r="H42" s="39"/>
      <c r="I42" s="40"/>
      <c r="J42" s="68" t="s">
        <v>33</v>
      </c>
      <c r="K42" s="407" t="s">
        <v>155</v>
      </c>
      <c r="L42" s="70">
        <v>12400</v>
      </c>
      <c r="M42" s="71">
        <v>43035</v>
      </c>
      <c r="N42" s="380" t="s">
        <v>972</v>
      </c>
      <c r="O42" s="72">
        <v>15520</v>
      </c>
      <c r="P42" s="113">
        <f>O42-L42</f>
        <v>3120</v>
      </c>
      <c r="Q42" s="117">
        <v>24.5</v>
      </c>
      <c r="R42" s="117"/>
      <c r="S42" s="111"/>
      <c r="T42" s="39">
        <f>Q42*O42+S42+0</f>
        <v>380240</v>
      </c>
      <c r="U42" s="363" t="s">
        <v>885</v>
      </c>
      <c r="V42" s="353">
        <v>43056</v>
      </c>
      <c r="W42" s="368">
        <v>9802</v>
      </c>
      <c r="X42" s="355"/>
      <c r="Y42" s="356"/>
      <c r="Z42" s="357"/>
      <c r="AA42" s="358"/>
      <c r="AB42" s="357"/>
      <c r="AC42" s="359"/>
      <c r="AD42" s="360"/>
      <c r="AE42" s="355"/>
      <c r="AF42" s="355"/>
      <c r="AG42" s="355"/>
      <c r="AH42" s="356"/>
      <c r="AI42" s="357"/>
      <c r="AJ42" s="358"/>
      <c r="AK42" s="357"/>
      <c r="AL42" s="359"/>
      <c r="AM42" s="360"/>
      <c r="AN42" s="355"/>
      <c r="AO42" s="355"/>
      <c r="AP42" s="355"/>
      <c r="AQ42" s="356"/>
      <c r="AR42" s="357"/>
      <c r="AS42" s="358"/>
      <c r="AT42" s="357"/>
      <c r="AU42" s="359"/>
      <c r="AV42" s="360"/>
      <c r="AW42" s="355"/>
      <c r="AX42" s="355"/>
      <c r="AY42" s="355"/>
      <c r="AZ42" s="356"/>
      <c r="BA42" s="357"/>
      <c r="BB42" s="358"/>
      <c r="BC42" s="357"/>
      <c r="BD42" s="359"/>
      <c r="BE42" s="360"/>
      <c r="BF42" s="355"/>
      <c r="BG42" s="355"/>
      <c r="BH42" s="355"/>
      <c r="BI42" s="356"/>
      <c r="BJ42" s="357"/>
      <c r="BK42" s="358"/>
      <c r="BL42" s="357"/>
      <c r="BM42" s="359"/>
      <c r="BN42" s="360"/>
      <c r="BO42" s="355"/>
      <c r="BP42" s="355"/>
      <c r="BQ42" s="355"/>
      <c r="BR42" s="356"/>
      <c r="BS42" s="357"/>
      <c r="BT42" s="358"/>
      <c r="BU42" s="357"/>
      <c r="BV42" s="359"/>
      <c r="BW42" s="360"/>
      <c r="BX42" s="355"/>
      <c r="BY42" s="355"/>
      <c r="BZ42" s="355"/>
      <c r="CA42" s="356"/>
      <c r="CB42" s="357"/>
      <c r="CC42" s="358"/>
      <c r="CD42" s="357"/>
      <c r="CE42" s="359"/>
      <c r="CF42" s="360"/>
      <c r="CG42" s="355"/>
      <c r="CH42" s="355"/>
      <c r="CI42" s="355"/>
      <c r="CJ42" s="356"/>
      <c r="CK42" s="357"/>
      <c r="CL42" s="358"/>
      <c r="CM42" s="357"/>
      <c r="CN42" s="359"/>
      <c r="CO42" s="360"/>
      <c r="CP42" s="355"/>
      <c r="CQ42" s="355"/>
      <c r="CR42" s="355"/>
      <c r="CS42" s="356"/>
      <c r="CT42" s="357"/>
      <c r="CU42" s="358"/>
      <c r="CV42" s="357"/>
      <c r="CW42" s="359"/>
      <c r="CX42" s="360"/>
      <c r="CY42" s="355"/>
      <c r="CZ42" s="355"/>
      <c r="DA42" s="355"/>
      <c r="DB42" s="356"/>
      <c r="DC42" s="357"/>
      <c r="DD42" s="358"/>
      <c r="DE42" s="357"/>
      <c r="DF42" s="359"/>
      <c r="DG42" s="360"/>
      <c r="DH42" s="355"/>
      <c r="DI42" s="355"/>
      <c r="DJ42" s="355"/>
      <c r="DK42" s="356"/>
      <c r="DL42" s="357"/>
      <c r="DM42" s="358"/>
      <c r="DN42" s="357"/>
      <c r="DO42" s="359"/>
      <c r="DP42" s="360"/>
      <c r="DQ42" s="355"/>
      <c r="DR42" s="355"/>
      <c r="DS42" s="355"/>
      <c r="DT42" s="356"/>
      <c r="DU42" s="357"/>
      <c r="DV42" s="358"/>
      <c r="DW42" s="357"/>
      <c r="DX42" s="359"/>
      <c r="DY42" s="360"/>
      <c r="DZ42" s="355"/>
      <c r="EA42" s="355"/>
      <c r="EB42" s="355"/>
      <c r="EC42" s="356"/>
      <c r="ED42" s="357"/>
      <c r="EE42" s="358"/>
      <c r="EF42" s="357"/>
      <c r="EG42" s="359"/>
      <c r="EH42" s="360"/>
      <c r="EI42" s="355"/>
      <c r="EJ42" s="355"/>
      <c r="EK42" s="355"/>
      <c r="EL42" s="356"/>
      <c r="EM42" s="357"/>
      <c r="EN42" s="358"/>
      <c r="EO42" s="357"/>
      <c r="EP42" s="359"/>
      <c r="EQ42" s="360"/>
      <c r="ER42" s="355"/>
      <c r="ES42" s="355"/>
      <c r="ET42" s="355"/>
      <c r="EU42" s="356"/>
      <c r="EV42" s="357"/>
      <c r="EW42" s="358"/>
      <c r="EX42" s="357"/>
      <c r="EY42" s="359"/>
      <c r="EZ42" s="360"/>
      <c r="FA42" s="355"/>
      <c r="FB42" s="355"/>
      <c r="FC42" s="355"/>
      <c r="FD42" s="356"/>
      <c r="FE42" s="357"/>
      <c r="FF42" s="358"/>
      <c r="FG42" s="357"/>
      <c r="FH42" s="359"/>
      <c r="FI42" s="360"/>
      <c r="FJ42" s="355"/>
      <c r="FK42" s="355"/>
      <c r="FL42" s="355"/>
      <c r="FM42" s="356"/>
      <c r="FN42" s="357"/>
      <c r="FO42" s="358"/>
      <c r="FP42" s="357"/>
      <c r="FQ42" s="359"/>
      <c r="FR42" s="360"/>
      <c r="FS42" s="355"/>
      <c r="FT42" s="355"/>
      <c r="FU42" s="355"/>
      <c r="FV42" s="356"/>
      <c r="FW42" s="357"/>
      <c r="FX42" s="358"/>
      <c r="FY42" s="357"/>
      <c r="FZ42" s="359"/>
      <c r="GA42" s="360"/>
      <c r="GB42" s="355"/>
      <c r="GC42" s="355"/>
      <c r="GD42" s="355"/>
      <c r="GE42" s="356"/>
      <c r="GF42" s="357"/>
      <c r="GG42" s="358"/>
      <c r="GH42" s="357"/>
      <c r="GI42" s="359"/>
      <c r="GJ42" s="360"/>
      <c r="GK42" s="355"/>
      <c r="GL42" s="355"/>
      <c r="GM42" s="355"/>
      <c r="GN42" s="356"/>
      <c r="GO42" s="357"/>
      <c r="GP42" s="358"/>
      <c r="GQ42" s="357"/>
      <c r="GR42" s="359"/>
      <c r="GS42" s="360"/>
      <c r="GT42" s="362">
        <v>43056</v>
      </c>
      <c r="GU42" s="98">
        <v>17584</v>
      </c>
      <c r="GV42" s="130" t="s">
        <v>914</v>
      </c>
      <c r="GW42" s="74"/>
      <c r="GX42" s="74"/>
      <c r="GY42" s="167" t="s">
        <v>1003</v>
      </c>
      <c r="GZ42" s="86">
        <v>2088</v>
      </c>
    </row>
    <row r="43" spans="1:208" x14ac:dyDescent="0.25">
      <c r="A43"/>
      <c r="D43" s="35"/>
      <c r="E43" s="36"/>
      <c r="F43" s="37"/>
      <c r="G43" s="38"/>
      <c r="H43" s="39"/>
      <c r="I43" s="40"/>
      <c r="J43" s="68" t="s">
        <v>38</v>
      </c>
      <c r="K43" s="407" t="s">
        <v>149</v>
      </c>
      <c r="L43" s="70">
        <v>20100</v>
      </c>
      <c r="M43" s="71">
        <v>43037</v>
      </c>
      <c r="N43" s="381" t="s">
        <v>979</v>
      </c>
      <c r="O43" s="72">
        <v>25045</v>
      </c>
      <c r="P43" s="113">
        <f t="shared" ref="P43:P54" si="2">O43-L43</f>
        <v>4945</v>
      </c>
      <c r="Q43" s="117">
        <v>24</v>
      </c>
      <c r="R43" s="117"/>
      <c r="S43" s="111"/>
      <c r="T43" s="39">
        <f>Q43*O43+S43+0</f>
        <v>601080</v>
      </c>
      <c r="U43" s="363" t="s">
        <v>885</v>
      </c>
      <c r="V43" s="353">
        <v>43060</v>
      </c>
      <c r="W43" s="368">
        <v>17342</v>
      </c>
      <c r="X43" s="355"/>
      <c r="Y43" s="356"/>
      <c r="Z43" s="357"/>
      <c r="AA43" s="358"/>
      <c r="AB43" s="357"/>
      <c r="AC43" s="359"/>
      <c r="AD43" s="360"/>
      <c r="AE43" s="355"/>
      <c r="AF43" s="355"/>
      <c r="AG43" s="355"/>
      <c r="AH43" s="356"/>
      <c r="AI43" s="357"/>
      <c r="AJ43" s="358"/>
      <c r="AK43" s="357"/>
      <c r="AL43" s="359"/>
      <c r="AM43" s="360"/>
      <c r="AN43" s="355"/>
      <c r="AO43" s="355"/>
      <c r="AP43" s="355"/>
      <c r="AQ43" s="356"/>
      <c r="AR43" s="357"/>
      <c r="AS43" s="358"/>
      <c r="AT43" s="357"/>
      <c r="AU43" s="359"/>
      <c r="AV43" s="360"/>
      <c r="AW43" s="355"/>
      <c r="AX43" s="355"/>
      <c r="AY43" s="355"/>
      <c r="AZ43" s="356"/>
      <c r="BA43" s="357"/>
      <c r="BB43" s="358"/>
      <c r="BC43" s="357"/>
      <c r="BD43" s="359"/>
      <c r="BE43" s="360"/>
      <c r="BF43" s="355"/>
      <c r="BG43" s="355"/>
      <c r="BH43" s="355"/>
      <c r="BI43" s="356"/>
      <c r="BJ43" s="357"/>
      <c r="BK43" s="358"/>
      <c r="BL43" s="357"/>
      <c r="BM43" s="359"/>
      <c r="BN43" s="360"/>
      <c r="BO43" s="355"/>
      <c r="BP43" s="355"/>
      <c r="BQ43" s="355"/>
      <c r="BR43" s="356"/>
      <c r="BS43" s="357"/>
      <c r="BT43" s="358"/>
      <c r="BU43" s="357"/>
      <c r="BV43" s="359"/>
      <c r="BW43" s="360"/>
      <c r="BX43" s="355"/>
      <c r="BY43" s="355"/>
      <c r="BZ43" s="355"/>
      <c r="CA43" s="356"/>
      <c r="CB43" s="357"/>
      <c r="CC43" s="358"/>
      <c r="CD43" s="357"/>
      <c r="CE43" s="359"/>
      <c r="CF43" s="360"/>
      <c r="CG43" s="355"/>
      <c r="CH43" s="355"/>
      <c r="CI43" s="355"/>
      <c r="CJ43" s="356"/>
      <c r="CK43" s="357"/>
      <c r="CL43" s="358"/>
      <c r="CM43" s="357"/>
      <c r="CN43" s="359"/>
      <c r="CO43" s="360"/>
      <c r="CP43" s="355"/>
      <c r="CQ43" s="355"/>
      <c r="CR43" s="355"/>
      <c r="CS43" s="356"/>
      <c r="CT43" s="357"/>
      <c r="CU43" s="358"/>
      <c r="CV43" s="357"/>
      <c r="CW43" s="359"/>
      <c r="CX43" s="360"/>
      <c r="CY43" s="355"/>
      <c r="CZ43" s="355"/>
      <c r="DA43" s="355"/>
      <c r="DB43" s="356"/>
      <c r="DC43" s="357"/>
      <c r="DD43" s="358"/>
      <c r="DE43" s="357"/>
      <c r="DF43" s="359"/>
      <c r="DG43" s="360"/>
      <c r="DH43" s="355"/>
      <c r="DI43" s="355"/>
      <c r="DJ43" s="355"/>
      <c r="DK43" s="356"/>
      <c r="DL43" s="357"/>
      <c r="DM43" s="358"/>
      <c r="DN43" s="357"/>
      <c r="DO43" s="359"/>
      <c r="DP43" s="360"/>
      <c r="DQ43" s="355"/>
      <c r="DR43" s="355"/>
      <c r="DS43" s="355"/>
      <c r="DT43" s="356"/>
      <c r="DU43" s="357"/>
      <c r="DV43" s="358"/>
      <c r="DW43" s="357"/>
      <c r="DX43" s="359"/>
      <c r="DY43" s="360"/>
      <c r="DZ43" s="355"/>
      <c r="EA43" s="355"/>
      <c r="EB43" s="355"/>
      <c r="EC43" s="356"/>
      <c r="ED43" s="357"/>
      <c r="EE43" s="358"/>
      <c r="EF43" s="357"/>
      <c r="EG43" s="359"/>
      <c r="EH43" s="360"/>
      <c r="EI43" s="355"/>
      <c r="EJ43" s="355"/>
      <c r="EK43" s="355"/>
      <c r="EL43" s="356"/>
      <c r="EM43" s="357"/>
      <c r="EN43" s="358"/>
      <c r="EO43" s="357"/>
      <c r="EP43" s="359"/>
      <c r="EQ43" s="360"/>
      <c r="ER43" s="355"/>
      <c r="ES43" s="355"/>
      <c r="ET43" s="355"/>
      <c r="EU43" s="356"/>
      <c r="EV43" s="357"/>
      <c r="EW43" s="358"/>
      <c r="EX43" s="357"/>
      <c r="EY43" s="359"/>
      <c r="EZ43" s="360"/>
      <c r="FA43" s="355"/>
      <c r="FB43" s="355"/>
      <c r="FC43" s="355"/>
      <c r="FD43" s="356"/>
      <c r="FE43" s="357"/>
      <c r="FF43" s="358"/>
      <c r="FG43" s="357"/>
      <c r="FH43" s="359"/>
      <c r="FI43" s="360"/>
      <c r="FJ43" s="355"/>
      <c r="FK43" s="355"/>
      <c r="FL43" s="355"/>
      <c r="FM43" s="356"/>
      <c r="FN43" s="357"/>
      <c r="FO43" s="358"/>
      <c r="FP43" s="357"/>
      <c r="FQ43" s="359"/>
      <c r="FR43" s="360"/>
      <c r="FS43" s="355"/>
      <c r="FT43" s="355"/>
      <c r="FU43" s="355"/>
      <c r="FV43" s="356"/>
      <c r="FW43" s="357"/>
      <c r="FX43" s="358"/>
      <c r="FY43" s="357"/>
      <c r="FZ43" s="359"/>
      <c r="GA43" s="360"/>
      <c r="GB43" s="355"/>
      <c r="GC43" s="355"/>
      <c r="GD43" s="355"/>
      <c r="GE43" s="356"/>
      <c r="GF43" s="357"/>
      <c r="GG43" s="358"/>
      <c r="GH43" s="357"/>
      <c r="GI43" s="359"/>
      <c r="GJ43" s="360"/>
      <c r="GK43" s="355"/>
      <c r="GL43" s="355"/>
      <c r="GM43" s="355"/>
      <c r="GN43" s="356"/>
      <c r="GO43" s="357"/>
      <c r="GP43" s="358"/>
      <c r="GQ43" s="357"/>
      <c r="GR43" s="359"/>
      <c r="GS43" s="360"/>
      <c r="GT43" s="362">
        <v>43060</v>
      </c>
      <c r="GU43" s="411">
        <v>22176</v>
      </c>
      <c r="GV43" s="412" t="s">
        <v>943</v>
      </c>
      <c r="GW43" s="74"/>
      <c r="GX43" s="74"/>
      <c r="GY43" s="167" t="s">
        <v>1003</v>
      </c>
      <c r="GZ43" s="86">
        <v>3480</v>
      </c>
    </row>
    <row r="44" spans="1:208" x14ac:dyDescent="0.25">
      <c r="A44"/>
      <c r="D44" s="35"/>
      <c r="E44" s="36"/>
      <c r="F44" s="37"/>
      <c r="G44" s="38"/>
      <c r="H44" s="39"/>
      <c r="I44" s="40"/>
      <c r="J44" s="68" t="s">
        <v>33</v>
      </c>
      <c r="K44" s="407" t="s">
        <v>37</v>
      </c>
      <c r="L44" s="70">
        <v>18360</v>
      </c>
      <c r="M44" s="71">
        <v>43038</v>
      </c>
      <c r="N44" s="380" t="s">
        <v>978</v>
      </c>
      <c r="O44" s="72">
        <v>23160</v>
      </c>
      <c r="P44" s="113">
        <f t="shared" si="2"/>
        <v>4800</v>
      </c>
      <c r="Q44" s="117">
        <v>24</v>
      </c>
      <c r="R44" s="893"/>
      <c r="S44" s="894"/>
      <c r="T44" s="39">
        <f>Q44*O44</f>
        <v>555840</v>
      </c>
      <c r="U44" s="363" t="s">
        <v>885</v>
      </c>
      <c r="V44" s="353">
        <v>43060</v>
      </c>
      <c r="W44" s="368">
        <v>15080</v>
      </c>
      <c r="X44" s="355"/>
      <c r="Y44" s="356"/>
      <c r="Z44" s="357"/>
      <c r="AA44" s="358"/>
      <c r="AB44" s="357"/>
      <c r="AC44" s="359"/>
      <c r="AD44" s="360"/>
      <c r="AE44" s="355"/>
      <c r="AF44" s="355"/>
      <c r="AG44" s="355"/>
      <c r="AH44" s="356"/>
      <c r="AI44" s="357"/>
      <c r="AJ44" s="358"/>
      <c r="AK44" s="357"/>
      <c r="AL44" s="359"/>
      <c r="AM44" s="360"/>
      <c r="AN44" s="355"/>
      <c r="AO44" s="355"/>
      <c r="AP44" s="355"/>
      <c r="AQ44" s="356"/>
      <c r="AR44" s="357"/>
      <c r="AS44" s="358"/>
      <c r="AT44" s="357"/>
      <c r="AU44" s="359"/>
      <c r="AV44" s="360"/>
      <c r="AW44" s="355"/>
      <c r="AX44" s="355"/>
      <c r="AY44" s="355"/>
      <c r="AZ44" s="356"/>
      <c r="BA44" s="357"/>
      <c r="BB44" s="358"/>
      <c r="BC44" s="357"/>
      <c r="BD44" s="359"/>
      <c r="BE44" s="360"/>
      <c r="BF44" s="355"/>
      <c r="BG44" s="355"/>
      <c r="BH44" s="355"/>
      <c r="BI44" s="356"/>
      <c r="BJ44" s="357"/>
      <c r="BK44" s="358"/>
      <c r="BL44" s="357"/>
      <c r="BM44" s="359"/>
      <c r="BN44" s="360"/>
      <c r="BO44" s="355"/>
      <c r="BP44" s="355"/>
      <c r="BQ44" s="355"/>
      <c r="BR44" s="356"/>
      <c r="BS44" s="357"/>
      <c r="BT44" s="358"/>
      <c r="BU44" s="357"/>
      <c r="BV44" s="359"/>
      <c r="BW44" s="360"/>
      <c r="BX44" s="355"/>
      <c r="BY44" s="355"/>
      <c r="BZ44" s="355"/>
      <c r="CA44" s="356"/>
      <c r="CB44" s="357"/>
      <c r="CC44" s="358"/>
      <c r="CD44" s="357"/>
      <c r="CE44" s="359"/>
      <c r="CF44" s="360"/>
      <c r="CG44" s="355"/>
      <c r="CH44" s="355"/>
      <c r="CI44" s="355"/>
      <c r="CJ44" s="356"/>
      <c r="CK44" s="357"/>
      <c r="CL44" s="358"/>
      <c r="CM44" s="357"/>
      <c r="CN44" s="359"/>
      <c r="CO44" s="360"/>
      <c r="CP44" s="355"/>
      <c r="CQ44" s="355"/>
      <c r="CR44" s="355"/>
      <c r="CS44" s="356"/>
      <c r="CT44" s="357"/>
      <c r="CU44" s="358"/>
      <c r="CV44" s="357"/>
      <c r="CW44" s="359"/>
      <c r="CX44" s="360"/>
      <c r="CY44" s="355"/>
      <c r="CZ44" s="355"/>
      <c r="DA44" s="355"/>
      <c r="DB44" s="356"/>
      <c r="DC44" s="357"/>
      <c r="DD44" s="358"/>
      <c r="DE44" s="357"/>
      <c r="DF44" s="359"/>
      <c r="DG44" s="360"/>
      <c r="DH44" s="355"/>
      <c r="DI44" s="355"/>
      <c r="DJ44" s="355"/>
      <c r="DK44" s="356"/>
      <c r="DL44" s="357"/>
      <c r="DM44" s="358"/>
      <c r="DN44" s="357"/>
      <c r="DO44" s="359"/>
      <c r="DP44" s="360"/>
      <c r="DQ44" s="355"/>
      <c r="DR44" s="355"/>
      <c r="DS44" s="355"/>
      <c r="DT44" s="356"/>
      <c r="DU44" s="357"/>
      <c r="DV44" s="358"/>
      <c r="DW44" s="357"/>
      <c r="DX44" s="359"/>
      <c r="DY44" s="360"/>
      <c r="DZ44" s="355"/>
      <c r="EA44" s="355"/>
      <c r="EB44" s="355"/>
      <c r="EC44" s="356"/>
      <c r="ED44" s="357"/>
      <c r="EE44" s="358"/>
      <c r="EF44" s="357"/>
      <c r="EG44" s="359"/>
      <c r="EH44" s="360"/>
      <c r="EI44" s="355"/>
      <c r="EJ44" s="355"/>
      <c r="EK44" s="355"/>
      <c r="EL44" s="356"/>
      <c r="EM44" s="357"/>
      <c r="EN44" s="358"/>
      <c r="EO44" s="357"/>
      <c r="EP44" s="359"/>
      <c r="EQ44" s="360"/>
      <c r="ER44" s="355"/>
      <c r="ES44" s="355"/>
      <c r="ET44" s="355"/>
      <c r="EU44" s="356"/>
      <c r="EV44" s="357"/>
      <c r="EW44" s="358"/>
      <c r="EX44" s="357"/>
      <c r="EY44" s="359"/>
      <c r="EZ44" s="360"/>
      <c r="FA44" s="355"/>
      <c r="FB44" s="355"/>
      <c r="FC44" s="355"/>
      <c r="FD44" s="356"/>
      <c r="FE44" s="357"/>
      <c r="FF44" s="358"/>
      <c r="FG44" s="357"/>
      <c r="FH44" s="359"/>
      <c r="FI44" s="360"/>
      <c r="FJ44" s="355"/>
      <c r="FK44" s="355"/>
      <c r="FL44" s="355"/>
      <c r="FM44" s="356"/>
      <c r="FN44" s="357"/>
      <c r="FO44" s="358"/>
      <c r="FP44" s="357"/>
      <c r="FQ44" s="359"/>
      <c r="FR44" s="360"/>
      <c r="FS44" s="355"/>
      <c r="FT44" s="355"/>
      <c r="FU44" s="355"/>
      <c r="FV44" s="356"/>
      <c r="FW44" s="357"/>
      <c r="FX44" s="358"/>
      <c r="FY44" s="357"/>
      <c r="FZ44" s="359"/>
      <c r="GA44" s="360"/>
      <c r="GB44" s="355"/>
      <c r="GC44" s="355"/>
      <c r="GD44" s="355"/>
      <c r="GE44" s="356"/>
      <c r="GF44" s="357"/>
      <c r="GG44" s="358"/>
      <c r="GH44" s="357"/>
      <c r="GI44" s="359"/>
      <c r="GJ44" s="360"/>
      <c r="GK44" s="355"/>
      <c r="GL44" s="355"/>
      <c r="GM44" s="355"/>
      <c r="GN44" s="356"/>
      <c r="GO44" s="357"/>
      <c r="GP44" s="358"/>
      <c r="GQ44" s="357"/>
      <c r="GR44" s="359"/>
      <c r="GS44" s="360"/>
      <c r="GT44" s="362">
        <v>43060</v>
      </c>
      <c r="GU44" s="411">
        <v>22176</v>
      </c>
      <c r="GV44" s="412" t="s">
        <v>944</v>
      </c>
      <c r="GW44" s="74"/>
      <c r="GX44" s="74"/>
      <c r="GY44" s="167" t="s">
        <v>1003</v>
      </c>
      <c r="GZ44" s="86">
        <v>3480</v>
      </c>
    </row>
    <row r="45" spans="1:208" x14ac:dyDescent="0.25">
      <c r="A45"/>
      <c r="D45" s="35"/>
      <c r="E45" s="36"/>
      <c r="F45" s="37"/>
      <c r="G45" s="38"/>
      <c r="H45" s="39"/>
      <c r="I45" s="40"/>
      <c r="J45" s="68" t="s">
        <v>42</v>
      </c>
      <c r="K45" s="407" t="s">
        <v>37</v>
      </c>
      <c r="L45" s="70">
        <v>16540</v>
      </c>
      <c r="M45" s="71">
        <v>43039</v>
      </c>
      <c r="N45" s="380" t="s">
        <v>977</v>
      </c>
      <c r="O45" s="72">
        <v>20970</v>
      </c>
      <c r="P45" s="113">
        <f t="shared" si="2"/>
        <v>4430</v>
      </c>
      <c r="Q45" s="117">
        <v>24</v>
      </c>
      <c r="R45" s="117"/>
      <c r="S45" s="117"/>
      <c r="T45" s="39">
        <f t="shared" ref="T45:T52" si="3">Q45*O45+S45+0</f>
        <v>503280</v>
      </c>
      <c r="U45" s="363" t="s">
        <v>885</v>
      </c>
      <c r="V45" s="353">
        <v>43060</v>
      </c>
      <c r="W45" s="368">
        <v>15080</v>
      </c>
      <c r="X45" s="355"/>
      <c r="Y45" s="356"/>
      <c r="Z45" s="357"/>
      <c r="AA45" s="358"/>
      <c r="AB45" s="357"/>
      <c r="AC45" s="359"/>
      <c r="AD45" s="360"/>
      <c r="AE45" s="355"/>
      <c r="AF45" s="355"/>
      <c r="AG45" s="355"/>
      <c r="AH45" s="356"/>
      <c r="AI45" s="357"/>
      <c r="AJ45" s="358"/>
      <c r="AK45" s="357"/>
      <c r="AL45" s="359"/>
      <c r="AM45" s="360"/>
      <c r="AN45" s="355"/>
      <c r="AO45" s="355"/>
      <c r="AP45" s="355"/>
      <c r="AQ45" s="356"/>
      <c r="AR45" s="357"/>
      <c r="AS45" s="358"/>
      <c r="AT45" s="357"/>
      <c r="AU45" s="359"/>
      <c r="AV45" s="360"/>
      <c r="AW45" s="355"/>
      <c r="AX45" s="355"/>
      <c r="AY45" s="355"/>
      <c r="AZ45" s="356"/>
      <c r="BA45" s="357"/>
      <c r="BB45" s="358"/>
      <c r="BC45" s="357"/>
      <c r="BD45" s="359"/>
      <c r="BE45" s="360"/>
      <c r="BF45" s="355"/>
      <c r="BG45" s="355"/>
      <c r="BH45" s="355"/>
      <c r="BI45" s="356"/>
      <c r="BJ45" s="357"/>
      <c r="BK45" s="358"/>
      <c r="BL45" s="357"/>
      <c r="BM45" s="359"/>
      <c r="BN45" s="360"/>
      <c r="BO45" s="355"/>
      <c r="BP45" s="355"/>
      <c r="BQ45" s="355"/>
      <c r="BR45" s="356"/>
      <c r="BS45" s="357"/>
      <c r="BT45" s="358"/>
      <c r="BU45" s="357"/>
      <c r="BV45" s="359"/>
      <c r="BW45" s="360"/>
      <c r="BX45" s="355"/>
      <c r="BY45" s="355"/>
      <c r="BZ45" s="355"/>
      <c r="CA45" s="356"/>
      <c r="CB45" s="357"/>
      <c r="CC45" s="358"/>
      <c r="CD45" s="357"/>
      <c r="CE45" s="359"/>
      <c r="CF45" s="360"/>
      <c r="CG45" s="355"/>
      <c r="CH45" s="355"/>
      <c r="CI45" s="355"/>
      <c r="CJ45" s="356"/>
      <c r="CK45" s="357"/>
      <c r="CL45" s="358"/>
      <c r="CM45" s="357"/>
      <c r="CN45" s="359"/>
      <c r="CO45" s="360"/>
      <c r="CP45" s="355"/>
      <c r="CQ45" s="355"/>
      <c r="CR45" s="355"/>
      <c r="CS45" s="356"/>
      <c r="CT45" s="357"/>
      <c r="CU45" s="358"/>
      <c r="CV45" s="357"/>
      <c r="CW45" s="359"/>
      <c r="CX45" s="360"/>
      <c r="CY45" s="355"/>
      <c r="CZ45" s="355"/>
      <c r="DA45" s="355"/>
      <c r="DB45" s="356"/>
      <c r="DC45" s="357"/>
      <c r="DD45" s="358"/>
      <c r="DE45" s="357"/>
      <c r="DF45" s="359"/>
      <c r="DG45" s="360"/>
      <c r="DH45" s="355"/>
      <c r="DI45" s="355"/>
      <c r="DJ45" s="355"/>
      <c r="DK45" s="356"/>
      <c r="DL45" s="357"/>
      <c r="DM45" s="358"/>
      <c r="DN45" s="357"/>
      <c r="DO45" s="359"/>
      <c r="DP45" s="360"/>
      <c r="DQ45" s="355"/>
      <c r="DR45" s="355"/>
      <c r="DS45" s="355"/>
      <c r="DT45" s="356"/>
      <c r="DU45" s="357"/>
      <c r="DV45" s="358"/>
      <c r="DW45" s="357"/>
      <c r="DX45" s="359"/>
      <c r="DY45" s="360"/>
      <c r="DZ45" s="355"/>
      <c r="EA45" s="355"/>
      <c r="EB45" s="355"/>
      <c r="EC45" s="356"/>
      <c r="ED45" s="357"/>
      <c r="EE45" s="358"/>
      <c r="EF45" s="357"/>
      <c r="EG45" s="359"/>
      <c r="EH45" s="360"/>
      <c r="EI45" s="355"/>
      <c r="EJ45" s="355"/>
      <c r="EK45" s="355"/>
      <c r="EL45" s="356"/>
      <c r="EM45" s="357"/>
      <c r="EN45" s="358"/>
      <c r="EO45" s="357"/>
      <c r="EP45" s="359"/>
      <c r="EQ45" s="360"/>
      <c r="ER45" s="355"/>
      <c r="ES45" s="355"/>
      <c r="ET45" s="355"/>
      <c r="EU45" s="356"/>
      <c r="EV45" s="357"/>
      <c r="EW45" s="358"/>
      <c r="EX45" s="357"/>
      <c r="EY45" s="359"/>
      <c r="EZ45" s="360"/>
      <c r="FA45" s="355"/>
      <c r="FB45" s="355"/>
      <c r="FC45" s="355"/>
      <c r="FD45" s="356"/>
      <c r="FE45" s="357"/>
      <c r="FF45" s="358"/>
      <c r="FG45" s="357"/>
      <c r="FH45" s="359"/>
      <c r="FI45" s="360"/>
      <c r="FJ45" s="355"/>
      <c r="FK45" s="355"/>
      <c r="FL45" s="355"/>
      <c r="FM45" s="356"/>
      <c r="FN45" s="357"/>
      <c r="FO45" s="358"/>
      <c r="FP45" s="357"/>
      <c r="FQ45" s="359"/>
      <c r="FR45" s="360"/>
      <c r="FS45" s="355"/>
      <c r="FT45" s="355"/>
      <c r="FU45" s="355"/>
      <c r="FV45" s="356"/>
      <c r="FW45" s="357"/>
      <c r="FX45" s="358"/>
      <c r="FY45" s="357"/>
      <c r="FZ45" s="359"/>
      <c r="GA45" s="360"/>
      <c r="GB45" s="355"/>
      <c r="GC45" s="355"/>
      <c r="GD45" s="355"/>
      <c r="GE45" s="356"/>
      <c r="GF45" s="357"/>
      <c r="GG45" s="358"/>
      <c r="GH45" s="357"/>
      <c r="GI45" s="359"/>
      <c r="GJ45" s="360"/>
      <c r="GK45" s="355"/>
      <c r="GL45" s="355"/>
      <c r="GM45" s="355"/>
      <c r="GN45" s="356"/>
      <c r="GO45" s="357"/>
      <c r="GP45" s="358"/>
      <c r="GQ45" s="357"/>
      <c r="GR45" s="359"/>
      <c r="GS45" s="360"/>
      <c r="GT45" s="362">
        <v>43060</v>
      </c>
      <c r="GU45" s="628"/>
      <c r="GV45" s="629"/>
      <c r="GW45" s="74"/>
      <c r="GX45" s="132"/>
      <c r="GY45" s="167" t="s">
        <v>1003</v>
      </c>
      <c r="GZ45" s="86">
        <v>3480</v>
      </c>
    </row>
    <row r="46" spans="1:208" x14ac:dyDescent="0.25">
      <c r="A46"/>
      <c r="D46" s="35"/>
      <c r="E46" s="36"/>
      <c r="F46" s="37"/>
      <c r="G46" s="38"/>
      <c r="H46" s="39"/>
      <c r="I46" s="40"/>
      <c r="J46" s="68" t="s">
        <v>981</v>
      </c>
      <c r="K46" s="407"/>
      <c r="L46" s="70"/>
      <c r="M46" s="71"/>
      <c r="N46" s="56"/>
      <c r="O46" s="72"/>
      <c r="P46" s="113">
        <f t="shared" si="2"/>
        <v>0</v>
      </c>
      <c r="Q46" s="117"/>
      <c r="R46" s="117"/>
      <c r="S46" s="117"/>
      <c r="T46" s="39">
        <f t="shared" si="3"/>
        <v>0</v>
      </c>
      <c r="U46" s="115"/>
      <c r="V46" s="112"/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152"/>
      <c r="GU46" s="98"/>
      <c r="GV46" s="130"/>
      <c r="GW46" s="74"/>
      <c r="GX46" s="132"/>
      <c r="GY46" s="167"/>
      <c r="GZ46" s="86">
        <f>SUM(GZ24:GZ45)</f>
        <v>63800</v>
      </c>
    </row>
    <row r="47" spans="1:208" x14ac:dyDescent="0.25">
      <c r="A47"/>
      <c r="D47" s="35"/>
      <c r="E47" s="36"/>
      <c r="F47" s="37"/>
      <c r="G47" s="38"/>
      <c r="H47" s="39"/>
      <c r="I47" s="40"/>
      <c r="J47" s="68"/>
      <c r="K47" s="407"/>
      <c r="L47" s="70"/>
      <c r="M47" s="71"/>
      <c r="N47" s="56"/>
      <c r="O47" s="72"/>
      <c r="P47" s="113">
        <f t="shared" si="2"/>
        <v>0</v>
      </c>
      <c r="Q47" s="117"/>
      <c r="R47" s="117"/>
      <c r="S47" s="117"/>
      <c r="T47" s="39">
        <f t="shared" si="3"/>
        <v>0</v>
      </c>
      <c r="U47" s="115"/>
      <c r="V47" s="112"/>
      <c r="W47" s="377"/>
      <c r="X47" s="146"/>
      <c r="Y47" s="147"/>
      <c r="Z47" s="148"/>
      <c r="AA47" s="149"/>
      <c r="AB47" s="148"/>
      <c r="AC47" s="150"/>
      <c r="AD47" s="151"/>
      <c r="AE47" s="146"/>
      <c r="AF47" s="146"/>
      <c r="AG47" s="146"/>
      <c r="AH47" s="147"/>
      <c r="AI47" s="148"/>
      <c r="AJ47" s="149"/>
      <c r="AK47" s="148"/>
      <c r="AL47" s="150"/>
      <c r="AM47" s="151"/>
      <c r="AN47" s="146"/>
      <c r="AO47" s="146"/>
      <c r="AP47" s="146"/>
      <c r="AQ47" s="147"/>
      <c r="AR47" s="148"/>
      <c r="AS47" s="149"/>
      <c r="AT47" s="148"/>
      <c r="AU47" s="150"/>
      <c r="AV47" s="151"/>
      <c r="AW47" s="146"/>
      <c r="AX47" s="146"/>
      <c r="AY47" s="146"/>
      <c r="AZ47" s="147"/>
      <c r="BA47" s="148"/>
      <c r="BB47" s="149"/>
      <c r="BC47" s="148"/>
      <c r="BD47" s="150"/>
      <c r="BE47" s="151"/>
      <c r="BF47" s="146"/>
      <c r="BG47" s="146"/>
      <c r="BH47" s="146"/>
      <c r="BI47" s="147"/>
      <c r="BJ47" s="148"/>
      <c r="BK47" s="149"/>
      <c r="BL47" s="148"/>
      <c r="BM47" s="150"/>
      <c r="BN47" s="151"/>
      <c r="BO47" s="146"/>
      <c r="BP47" s="146"/>
      <c r="BQ47" s="146"/>
      <c r="BR47" s="147"/>
      <c r="BS47" s="148"/>
      <c r="BT47" s="149"/>
      <c r="BU47" s="148"/>
      <c r="BV47" s="150"/>
      <c r="BW47" s="151"/>
      <c r="BX47" s="146"/>
      <c r="BY47" s="146"/>
      <c r="BZ47" s="146"/>
      <c r="CA47" s="147"/>
      <c r="CB47" s="148"/>
      <c r="CC47" s="149"/>
      <c r="CD47" s="148"/>
      <c r="CE47" s="150"/>
      <c r="CF47" s="151"/>
      <c r="CG47" s="146"/>
      <c r="CH47" s="146"/>
      <c r="CI47" s="146"/>
      <c r="CJ47" s="147"/>
      <c r="CK47" s="148"/>
      <c r="CL47" s="149"/>
      <c r="CM47" s="148"/>
      <c r="CN47" s="150"/>
      <c r="CO47" s="151"/>
      <c r="CP47" s="146"/>
      <c r="CQ47" s="146"/>
      <c r="CR47" s="146"/>
      <c r="CS47" s="147"/>
      <c r="CT47" s="148"/>
      <c r="CU47" s="149"/>
      <c r="CV47" s="148"/>
      <c r="CW47" s="150"/>
      <c r="CX47" s="151"/>
      <c r="CY47" s="146"/>
      <c r="CZ47" s="146"/>
      <c r="DA47" s="146"/>
      <c r="DB47" s="147"/>
      <c r="DC47" s="148"/>
      <c r="DD47" s="149"/>
      <c r="DE47" s="148"/>
      <c r="DF47" s="150"/>
      <c r="DG47" s="151"/>
      <c r="DH47" s="146"/>
      <c r="DI47" s="146"/>
      <c r="DJ47" s="146"/>
      <c r="DK47" s="147"/>
      <c r="DL47" s="148"/>
      <c r="DM47" s="149"/>
      <c r="DN47" s="148"/>
      <c r="DO47" s="150"/>
      <c r="DP47" s="151"/>
      <c r="DQ47" s="146"/>
      <c r="DR47" s="146"/>
      <c r="DS47" s="146"/>
      <c r="DT47" s="147"/>
      <c r="DU47" s="148"/>
      <c r="DV47" s="149"/>
      <c r="DW47" s="148"/>
      <c r="DX47" s="150"/>
      <c r="DY47" s="151"/>
      <c r="DZ47" s="146"/>
      <c r="EA47" s="146"/>
      <c r="EB47" s="146"/>
      <c r="EC47" s="147"/>
      <c r="ED47" s="148"/>
      <c r="EE47" s="149"/>
      <c r="EF47" s="148"/>
      <c r="EG47" s="150"/>
      <c r="EH47" s="151"/>
      <c r="EI47" s="146"/>
      <c r="EJ47" s="146"/>
      <c r="EK47" s="146"/>
      <c r="EL47" s="147"/>
      <c r="EM47" s="148"/>
      <c r="EN47" s="149"/>
      <c r="EO47" s="148"/>
      <c r="EP47" s="150"/>
      <c r="EQ47" s="151"/>
      <c r="ER47" s="146"/>
      <c r="ES47" s="146"/>
      <c r="ET47" s="146"/>
      <c r="EU47" s="147"/>
      <c r="EV47" s="148"/>
      <c r="EW47" s="149"/>
      <c r="EX47" s="148"/>
      <c r="EY47" s="150"/>
      <c r="EZ47" s="151"/>
      <c r="FA47" s="146"/>
      <c r="FB47" s="146"/>
      <c r="FC47" s="146"/>
      <c r="FD47" s="147"/>
      <c r="FE47" s="148"/>
      <c r="FF47" s="149"/>
      <c r="FG47" s="148"/>
      <c r="FH47" s="150"/>
      <c r="FI47" s="151"/>
      <c r="FJ47" s="146"/>
      <c r="FK47" s="146"/>
      <c r="FL47" s="146"/>
      <c r="FM47" s="147"/>
      <c r="FN47" s="148"/>
      <c r="FO47" s="149"/>
      <c r="FP47" s="148"/>
      <c r="FQ47" s="150"/>
      <c r="FR47" s="151"/>
      <c r="FS47" s="146"/>
      <c r="FT47" s="146"/>
      <c r="FU47" s="146"/>
      <c r="FV47" s="147"/>
      <c r="FW47" s="148"/>
      <c r="FX47" s="149"/>
      <c r="FY47" s="148"/>
      <c r="FZ47" s="150"/>
      <c r="GA47" s="151"/>
      <c r="GB47" s="146"/>
      <c r="GC47" s="146"/>
      <c r="GD47" s="146"/>
      <c r="GE47" s="147"/>
      <c r="GF47" s="148"/>
      <c r="GG47" s="149"/>
      <c r="GH47" s="148"/>
      <c r="GI47" s="150"/>
      <c r="GJ47" s="151"/>
      <c r="GK47" s="146"/>
      <c r="GL47" s="146"/>
      <c r="GM47" s="146"/>
      <c r="GN47" s="147"/>
      <c r="GO47" s="148"/>
      <c r="GP47" s="149"/>
      <c r="GQ47" s="148"/>
      <c r="GR47" s="150"/>
      <c r="GS47" s="151"/>
      <c r="GT47" s="152"/>
      <c r="GU47" s="98"/>
      <c r="GV47" s="130"/>
      <c r="GW47" s="74"/>
      <c r="GX47" s="132"/>
      <c r="GY47" s="85"/>
      <c r="GZ47" s="86"/>
    </row>
    <row r="48" spans="1:208" x14ac:dyDescent="0.25">
      <c r="A48"/>
      <c r="D48" s="35"/>
      <c r="E48" s="36"/>
      <c r="F48" s="37"/>
      <c r="G48" s="38"/>
      <c r="H48" s="39"/>
      <c r="I48" s="40"/>
      <c r="J48" s="68"/>
      <c r="K48" s="407"/>
      <c r="L48" s="70"/>
      <c r="M48" s="71"/>
      <c r="N48" s="56"/>
      <c r="O48" s="72"/>
      <c r="P48" s="113">
        <f t="shared" si="2"/>
        <v>0</v>
      </c>
      <c r="Q48" s="117"/>
      <c r="R48" s="117"/>
      <c r="S48" s="117"/>
      <c r="T48" s="39">
        <f t="shared" si="3"/>
        <v>0</v>
      </c>
      <c r="U48" s="115"/>
      <c r="V48" s="112"/>
      <c r="W48" s="377"/>
      <c r="X48" s="146"/>
      <c r="Y48" s="147"/>
      <c r="Z48" s="148"/>
      <c r="AA48" s="149"/>
      <c r="AB48" s="148"/>
      <c r="AC48" s="150"/>
      <c r="AD48" s="151"/>
      <c r="AE48" s="146"/>
      <c r="AF48" s="146"/>
      <c r="AG48" s="146"/>
      <c r="AH48" s="147"/>
      <c r="AI48" s="148"/>
      <c r="AJ48" s="149"/>
      <c r="AK48" s="148"/>
      <c r="AL48" s="150"/>
      <c r="AM48" s="151"/>
      <c r="AN48" s="146"/>
      <c r="AO48" s="146"/>
      <c r="AP48" s="146"/>
      <c r="AQ48" s="147"/>
      <c r="AR48" s="148"/>
      <c r="AS48" s="149"/>
      <c r="AT48" s="148"/>
      <c r="AU48" s="150"/>
      <c r="AV48" s="151"/>
      <c r="AW48" s="146"/>
      <c r="AX48" s="146"/>
      <c r="AY48" s="146"/>
      <c r="AZ48" s="147"/>
      <c r="BA48" s="148"/>
      <c r="BB48" s="149"/>
      <c r="BC48" s="148"/>
      <c r="BD48" s="150"/>
      <c r="BE48" s="151"/>
      <c r="BF48" s="146"/>
      <c r="BG48" s="146"/>
      <c r="BH48" s="146"/>
      <c r="BI48" s="147"/>
      <c r="BJ48" s="148"/>
      <c r="BK48" s="149"/>
      <c r="BL48" s="148"/>
      <c r="BM48" s="150"/>
      <c r="BN48" s="151"/>
      <c r="BO48" s="146"/>
      <c r="BP48" s="146"/>
      <c r="BQ48" s="146"/>
      <c r="BR48" s="147"/>
      <c r="BS48" s="148"/>
      <c r="BT48" s="149"/>
      <c r="BU48" s="148"/>
      <c r="BV48" s="150"/>
      <c r="BW48" s="151"/>
      <c r="BX48" s="146"/>
      <c r="BY48" s="146"/>
      <c r="BZ48" s="146"/>
      <c r="CA48" s="147"/>
      <c r="CB48" s="148"/>
      <c r="CC48" s="149"/>
      <c r="CD48" s="148"/>
      <c r="CE48" s="150"/>
      <c r="CF48" s="151"/>
      <c r="CG48" s="146"/>
      <c r="CH48" s="146"/>
      <c r="CI48" s="146"/>
      <c r="CJ48" s="147"/>
      <c r="CK48" s="148"/>
      <c r="CL48" s="149"/>
      <c r="CM48" s="148"/>
      <c r="CN48" s="150"/>
      <c r="CO48" s="151"/>
      <c r="CP48" s="146"/>
      <c r="CQ48" s="146"/>
      <c r="CR48" s="146"/>
      <c r="CS48" s="147"/>
      <c r="CT48" s="148"/>
      <c r="CU48" s="149"/>
      <c r="CV48" s="148"/>
      <c r="CW48" s="150"/>
      <c r="CX48" s="151"/>
      <c r="CY48" s="146"/>
      <c r="CZ48" s="146"/>
      <c r="DA48" s="146"/>
      <c r="DB48" s="147"/>
      <c r="DC48" s="148"/>
      <c r="DD48" s="149"/>
      <c r="DE48" s="148"/>
      <c r="DF48" s="150"/>
      <c r="DG48" s="151"/>
      <c r="DH48" s="146"/>
      <c r="DI48" s="146"/>
      <c r="DJ48" s="146"/>
      <c r="DK48" s="147"/>
      <c r="DL48" s="148"/>
      <c r="DM48" s="149"/>
      <c r="DN48" s="148"/>
      <c r="DO48" s="150"/>
      <c r="DP48" s="151"/>
      <c r="DQ48" s="146"/>
      <c r="DR48" s="146"/>
      <c r="DS48" s="146"/>
      <c r="DT48" s="147"/>
      <c r="DU48" s="148"/>
      <c r="DV48" s="149"/>
      <c r="DW48" s="148"/>
      <c r="DX48" s="150"/>
      <c r="DY48" s="151"/>
      <c r="DZ48" s="146"/>
      <c r="EA48" s="146"/>
      <c r="EB48" s="146"/>
      <c r="EC48" s="147"/>
      <c r="ED48" s="148"/>
      <c r="EE48" s="149"/>
      <c r="EF48" s="148"/>
      <c r="EG48" s="150"/>
      <c r="EH48" s="151"/>
      <c r="EI48" s="146"/>
      <c r="EJ48" s="146"/>
      <c r="EK48" s="146"/>
      <c r="EL48" s="147"/>
      <c r="EM48" s="148"/>
      <c r="EN48" s="149"/>
      <c r="EO48" s="148"/>
      <c r="EP48" s="150"/>
      <c r="EQ48" s="151"/>
      <c r="ER48" s="146"/>
      <c r="ES48" s="146"/>
      <c r="ET48" s="146"/>
      <c r="EU48" s="147"/>
      <c r="EV48" s="148"/>
      <c r="EW48" s="149"/>
      <c r="EX48" s="148"/>
      <c r="EY48" s="150"/>
      <c r="EZ48" s="151"/>
      <c r="FA48" s="146"/>
      <c r="FB48" s="146"/>
      <c r="FC48" s="146"/>
      <c r="FD48" s="147"/>
      <c r="FE48" s="148"/>
      <c r="FF48" s="149"/>
      <c r="FG48" s="148"/>
      <c r="FH48" s="150"/>
      <c r="FI48" s="151"/>
      <c r="FJ48" s="146"/>
      <c r="FK48" s="146"/>
      <c r="FL48" s="146"/>
      <c r="FM48" s="147"/>
      <c r="FN48" s="148"/>
      <c r="FO48" s="149"/>
      <c r="FP48" s="148"/>
      <c r="FQ48" s="150"/>
      <c r="FR48" s="151"/>
      <c r="FS48" s="146"/>
      <c r="FT48" s="146"/>
      <c r="FU48" s="146"/>
      <c r="FV48" s="147"/>
      <c r="FW48" s="148"/>
      <c r="FX48" s="149"/>
      <c r="FY48" s="148"/>
      <c r="FZ48" s="150"/>
      <c r="GA48" s="151"/>
      <c r="GB48" s="146"/>
      <c r="GC48" s="146"/>
      <c r="GD48" s="146"/>
      <c r="GE48" s="147"/>
      <c r="GF48" s="148"/>
      <c r="GG48" s="149"/>
      <c r="GH48" s="148"/>
      <c r="GI48" s="150"/>
      <c r="GJ48" s="151"/>
      <c r="GK48" s="146"/>
      <c r="GL48" s="146"/>
      <c r="GM48" s="146"/>
      <c r="GN48" s="147"/>
      <c r="GO48" s="148"/>
      <c r="GP48" s="149"/>
      <c r="GQ48" s="148"/>
      <c r="GR48" s="150"/>
      <c r="GS48" s="151"/>
      <c r="GT48" s="152"/>
      <c r="GU48" s="98"/>
      <c r="GV48" s="130"/>
      <c r="GW48" s="74"/>
      <c r="GX48" s="132"/>
      <c r="GY48" s="85"/>
      <c r="GZ48" s="86"/>
    </row>
    <row r="49" spans="1:208" x14ac:dyDescent="0.25">
      <c r="A49"/>
      <c r="D49" s="35"/>
      <c r="E49" s="36"/>
      <c r="F49" s="37"/>
      <c r="G49" s="38"/>
      <c r="H49" s="39"/>
      <c r="I49" s="40"/>
      <c r="J49" s="68"/>
      <c r="K49" s="407"/>
      <c r="L49" s="70"/>
      <c r="M49" s="71"/>
      <c r="N49" s="56"/>
      <c r="O49" s="72"/>
      <c r="P49" s="113">
        <f t="shared" si="2"/>
        <v>0</v>
      </c>
      <c r="Q49" s="117"/>
      <c r="R49" s="117"/>
      <c r="S49" s="117"/>
      <c r="T49" s="39">
        <f t="shared" si="3"/>
        <v>0</v>
      </c>
      <c r="U49" s="115"/>
      <c r="V49" s="112"/>
      <c r="W49" s="377"/>
      <c r="X49" s="146"/>
      <c r="Y49" s="147"/>
      <c r="Z49" s="148"/>
      <c r="AA49" s="149"/>
      <c r="AB49" s="148"/>
      <c r="AC49" s="150"/>
      <c r="AD49" s="151"/>
      <c r="AE49" s="146"/>
      <c r="AF49" s="146"/>
      <c r="AG49" s="146"/>
      <c r="AH49" s="147"/>
      <c r="AI49" s="148"/>
      <c r="AJ49" s="149"/>
      <c r="AK49" s="148"/>
      <c r="AL49" s="150"/>
      <c r="AM49" s="151"/>
      <c r="AN49" s="146"/>
      <c r="AO49" s="146"/>
      <c r="AP49" s="146"/>
      <c r="AQ49" s="147"/>
      <c r="AR49" s="148"/>
      <c r="AS49" s="149"/>
      <c r="AT49" s="148"/>
      <c r="AU49" s="150"/>
      <c r="AV49" s="151"/>
      <c r="AW49" s="146"/>
      <c r="AX49" s="146"/>
      <c r="AY49" s="146"/>
      <c r="AZ49" s="147"/>
      <c r="BA49" s="148"/>
      <c r="BB49" s="149"/>
      <c r="BC49" s="148"/>
      <c r="BD49" s="150"/>
      <c r="BE49" s="151"/>
      <c r="BF49" s="146"/>
      <c r="BG49" s="146"/>
      <c r="BH49" s="146"/>
      <c r="BI49" s="147"/>
      <c r="BJ49" s="148"/>
      <c r="BK49" s="149"/>
      <c r="BL49" s="148"/>
      <c r="BM49" s="150"/>
      <c r="BN49" s="151"/>
      <c r="BO49" s="146"/>
      <c r="BP49" s="146"/>
      <c r="BQ49" s="146"/>
      <c r="BR49" s="147"/>
      <c r="BS49" s="148"/>
      <c r="BT49" s="149"/>
      <c r="BU49" s="148"/>
      <c r="BV49" s="150"/>
      <c r="BW49" s="151"/>
      <c r="BX49" s="146"/>
      <c r="BY49" s="146"/>
      <c r="BZ49" s="146"/>
      <c r="CA49" s="147"/>
      <c r="CB49" s="148"/>
      <c r="CC49" s="149"/>
      <c r="CD49" s="148"/>
      <c r="CE49" s="150"/>
      <c r="CF49" s="151"/>
      <c r="CG49" s="146"/>
      <c r="CH49" s="146"/>
      <c r="CI49" s="146"/>
      <c r="CJ49" s="147"/>
      <c r="CK49" s="148"/>
      <c r="CL49" s="149"/>
      <c r="CM49" s="148"/>
      <c r="CN49" s="150"/>
      <c r="CO49" s="151"/>
      <c r="CP49" s="146"/>
      <c r="CQ49" s="146"/>
      <c r="CR49" s="146"/>
      <c r="CS49" s="147"/>
      <c r="CT49" s="148"/>
      <c r="CU49" s="149"/>
      <c r="CV49" s="148"/>
      <c r="CW49" s="150"/>
      <c r="CX49" s="151"/>
      <c r="CY49" s="146"/>
      <c r="CZ49" s="146"/>
      <c r="DA49" s="146"/>
      <c r="DB49" s="147"/>
      <c r="DC49" s="148"/>
      <c r="DD49" s="149"/>
      <c r="DE49" s="148"/>
      <c r="DF49" s="150"/>
      <c r="DG49" s="151"/>
      <c r="DH49" s="146"/>
      <c r="DI49" s="146"/>
      <c r="DJ49" s="146"/>
      <c r="DK49" s="147"/>
      <c r="DL49" s="148"/>
      <c r="DM49" s="149"/>
      <c r="DN49" s="148"/>
      <c r="DO49" s="150"/>
      <c r="DP49" s="151"/>
      <c r="DQ49" s="146"/>
      <c r="DR49" s="146"/>
      <c r="DS49" s="146"/>
      <c r="DT49" s="147"/>
      <c r="DU49" s="148"/>
      <c r="DV49" s="149"/>
      <c r="DW49" s="148"/>
      <c r="DX49" s="150"/>
      <c r="DY49" s="151"/>
      <c r="DZ49" s="146"/>
      <c r="EA49" s="146"/>
      <c r="EB49" s="146"/>
      <c r="EC49" s="147"/>
      <c r="ED49" s="148"/>
      <c r="EE49" s="149"/>
      <c r="EF49" s="148"/>
      <c r="EG49" s="150"/>
      <c r="EH49" s="151"/>
      <c r="EI49" s="146"/>
      <c r="EJ49" s="146"/>
      <c r="EK49" s="146"/>
      <c r="EL49" s="147"/>
      <c r="EM49" s="148"/>
      <c r="EN49" s="149"/>
      <c r="EO49" s="148"/>
      <c r="EP49" s="150"/>
      <c r="EQ49" s="151"/>
      <c r="ER49" s="146"/>
      <c r="ES49" s="146"/>
      <c r="ET49" s="146"/>
      <c r="EU49" s="147"/>
      <c r="EV49" s="148"/>
      <c r="EW49" s="149"/>
      <c r="EX49" s="148"/>
      <c r="EY49" s="150"/>
      <c r="EZ49" s="151"/>
      <c r="FA49" s="146"/>
      <c r="FB49" s="146"/>
      <c r="FC49" s="146"/>
      <c r="FD49" s="147"/>
      <c r="FE49" s="148"/>
      <c r="FF49" s="149"/>
      <c r="FG49" s="148"/>
      <c r="FH49" s="150"/>
      <c r="FI49" s="151"/>
      <c r="FJ49" s="146"/>
      <c r="FK49" s="146"/>
      <c r="FL49" s="146"/>
      <c r="FM49" s="147"/>
      <c r="FN49" s="148"/>
      <c r="FO49" s="149"/>
      <c r="FP49" s="148"/>
      <c r="FQ49" s="150"/>
      <c r="FR49" s="151"/>
      <c r="FS49" s="146"/>
      <c r="FT49" s="146"/>
      <c r="FU49" s="146"/>
      <c r="FV49" s="147"/>
      <c r="FW49" s="148"/>
      <c r="FX49" s="149"/>
      <c r="FY49" s="148"/>
      <c r="FZ49" s="150"/>
      <c r="GA49" s="151"/>
      <c r="GB49" s="146"/>
      <c r="GC49" s="146"/>
      <c r="GD49" s="146"/>
      <c r="GE49" s="147"/>
      <c r="GF49" s="148"/>
      <c r="GG49" s="149"/>
      <c r="GH49" s="148"/>
      <c r="GI49" s="150"/>
      <c r="GJ49" s="151"/>
      <c r="GK49" s="146"/>
      <c r="GL49" s="146"/>
      <c r="GM49" s="146"/>
      <c r="GN49" s="147"/>
      <c r="GO49" s="148"/>
      <c r="GP49" s="149"/>
      <c r="GQ49" s="148"/>
      <c r="GR49" s="150"/>
      <c r="GS49" s="151"/>
      <c r="GT49" s="152"/>
      <c r="GU49" s="98"/>
      <c r="GV49" s="130"/>
      <c r="GW49" s="74"/>
      <c r="GX49" s="132"/>
      <c r="GY49" s="85"/>
      <c r="GZ49" s="86"/>
    </row>
    <row r="50" spans="1:208" x14ac:dyDescent="0.25">
      <c r="A50"/>
      <c r="D50" s="35"/>
      <c r="E50" s="36"/>
      <c r="F50" s="37"/>
      <c r="G50" s="38"/>
      <c r="H50" s="39"/>
      <c r="I50" s="40"/>
      <c r="J50" s="76"/>
      <c r="K50" s="407"/>
      <c r="L50" s="70"/>
      <c r="M50" s="71"/>
      <c r="N50" s="119"/>
      <c r="O50" s="72"/>
      <c r="P50" s="113">
        <f t="shared" si="2"/>
        <v>0</v>
      </c>
      <c r="Q50" s="117"/>
      <c r="R50" s="117"/>
      <c r="S50" s="117"/>
      <c r="T50" s="39">
        <f t="shared" si="3"/>
        <v>0</v>
      </c>
      <c r="U50" s="375"/>
      <c r="V50" s="144"/>
      <c r="W50" s="377"/>
      <c r="X50" s="146"/>
      <c r="Y50" s="147"/>
      <c r="Z50" s="148"/>
      <c r="AA50" s="149"/>
      <c r="AB50" s="148"/>
      <c r="AC50" s="150"/>
      <c r="AD50" s="151"/>
      <c r="AE50" s="146"/>
      <c r="AF50" s="146"/>
      <c r="AG50" s="146"/>
      <c r="AH50" s="147"/>
      <c r="AI50" s="148"/>
      <c r="AJ50" s="149"/>
      <c r="AK50" s="148"/>
      <c r="AL50" s="150"/>
      <c r="AM50" s="151"/>
      <c r="AN50" s="146"/>
      <c r="AO50" s="146"/>
      <c r="AP50" s="146"/>
      <c r="AQ50" s="147"/>
      <c r="AR50" s="148"/>
      <c r="AS50" s="149"/>
      <c r="AT50" s="148"/>
      <c r="AU50" s="150"/>
      <c r="AV50" s="151"/>
      <c r="AW50" s="146"/>
      <c r="AX50" s="146"/>
      <c r="AY50" s="146"/>
      <c r="AZ50" s="147"/>
      <c r="BA50" s="148"/>
      <c r="BB50" s="149"/>
      <c r="BC50" s="148"/>
      <c r="BD50" s="150"/>
      <c r="BE50" s="151"/>
      <c r="BF50" s="146"/>
      <c r="BG50" s="146"/>
      <c r="BH50" s="146"/>
      <c r="BI50" s="147"/>
      <c r="BJ50" s="148"/>
      <c r="BK50" s="149"/>
      <c r="BL50" s="148"/>
      <c r="BM50" s="150"/>
      <c r="BN50" s="151"/>
      <c r="BO50" s="146"/>
      <c r="BP50" s="146"/>
      <c r="BQ50" s="146"/>
      <c r="BR50" s="147"/>
      <c r="BS50" s="148"/>
      <c r="BT50" s="149"/>
      <c r="BU50" s="148"/>
      <c r="BV50" s="150"/>
      <c r="BW50" s="151"/>
      <c r="BX50" s="146"/>
      <c r="BY50" s="146"/>
      <c r="BZ50" s="146"/>
      <c r="CA50" s="147"/>
      <c r="CB50" s="148"/>
      <c r="CC50" s="149"/>
      <c r="CD50" s="148"/>
      <c r="CE50" s="150"/>
      <c r="CF50" s="151"/>
      <c r="CG50" s="146"/>
      <c r="CH50" s="146"/>
      <c r="CI50" s="146"/>
      <c r="CJ50" s="147"/>
      <c r="CK50" s="148"/>
      <c r="CL50" s="149"/>
      <c r="CM50" s="148"/>
      <c r="CN50" s="150"/>
      <c r="CO50" s="151"/>
      <c r="CP50" s="146"/>
      <c r="CQ50" s="146"/>
      <c r="CR50" s="146"/>
      <c r="CS50" s="147"/>
      <c r="CT50" s="148"/>
      <c r="CU50" s="149"/>
      <c r="CV50" s="148"/>
      <c r="CW50" s="150"/>
      <c r="CX50" s="151"/>
      <c r="CY50" s="146"/>
      <c r="CZ50" s="146"/>
      <c r="DA50" s="146"/>
      <c r="DB50" s="147"/>
      <c r="DC50" s="148"/>
      <c r="DD50" s="149"/>
      <c r="DE50" s="148"/>
      <c r="DF50" s="150"/>
      <c r="DG50" s="151"/>
      <c r="DH50" s="146"/>
      <c r="DI50" s="146"/>
      <c r="DJ50" s="146"/>
      <c r="DK50" s="147"/>
      <c r="DL50" s="148"/>
      <c r="DM50" s="149"/>
      <c r="DN50" s="148"/>
      <c r="DO50" s="150"/>
      <c r="DP50" s="151"/>
      <c r="DQ50" s="146"/>
      <c r="DR50" s="146"/>
      <c r="DS50" s="146"/>
      <c r="DT50" s="147"/>
      <c r="DU50" s="148"/>
      <c r="DV50" s="149"/>
      <c r="DW50" s="148"/>
      <c r="DX50" s="150"/>
      <c r="DY50" s="151"/>
      <c r="DZ50" s="146"/>
      <c r="EA50" s="146"/>
      <c r="EB50" s="146"/>
      <c r="EC50" s="147"/>
      <c r="ED50" s="148"/>
      <c r="EE50" s="149"/>
      <c r="EF50" s="148"/>
      <c r="EG50" s="150"/>
      <c r="EH50" s="151"/>
      <c r="EI50" s="146"/>
      <c r="EJ50" s="146"/>
      <c r="EK50" s="146"/>
      <c r="EL50" s="147"/>
      <c r="EM50" s="148"/>
      <c r="EN50" s="149"/>
      <c r="EO50" s="148"/>
      <c r="EP50" s="150"/>
      <c r="EQ50" s="151"/>
      <c r="ER50" s="146"/>
      <c r="ES50" s="146"/>
      <c r="ET50" s="146"/>
      <c r="EU50" s="147"/>
      <c r="EV50" s="148"/>
      <c r="EW50" s="149"/>
      <c r="EX50" s="148"/>
      <c r="EY50" s="150"/>
      <c r="EZ50" s="151"/>
      <c r="FA50" s="146"/>
      <c r="FB50" s="146"/>
      <c r="FC50" s="146"/>
      <c r="FD50" s="147"/>
      <c r="FE50" s="148"/>
      <c r="FF50" s="149"/>
      <c r="FG50" s="148"/>
      <c r="FH50" s="150"/>
      <c r="FI50" s="151"/>
      <c r="FJ50" s="146"/>
      <c r="FK50" s="146"/>
      <c r="FL50" s="146"/>
      <c r="FM50" s="147"/>
      <c r="FN50" s="148"/>
      <c r="FO50" s="149"/>
      <c r="FP50" s="148"/>
      <c r="FQ50" s="150"/>
      <c r="FR50" s="151"/>
      <c r="FS50" s="146"/>
      <c r="FT50" s="146"/>
      <c r="FU50" s="146"/>
      <c r="FV50" s="147"/>
      <c r="FW50" s="148"/>
      <c r="FX50" s="149"/>
      <c r="FY50" s="148"/>
      <c r="FZ50" s="150"/>
      <c r="GA50" s="151"/>
      <c r="GB50" s="146"/>
      <c r="GC50" s="146"/>
      <c r="GD50" s="146"/>
      <c r="GE50" s="147"/>
      <c r="GF50" s="148"/>
      <c r="GG50" s="149"/>
      <c r="GH50" s="148"/>
      <c r="GI50" s="150"/>
      <c r="GJ50" s="151"/>
      <c r="GK50" s="146"/>
      <c r="GL50" s="146"/>
      <c r="GM50" s="146"/>
      <c r="GN50" s="147"/>
      <c r="GO50" s="148"/>
      <c r="GP50" s="149"/>
      <c r="GQ50" s="148"/>
      <c r="GR50" s="150"/>
      <c r="GS50" s="151"/>
      <c r="GT50" s="378"/>
      <c r="GU50" s="98"/>
      <c r="GV50" s="130"/>
      <c r="GW50" s="74"/>
      <c r="GX50" s="74"/>
      <c r="GY50" s="85"/>
      <c r="GZ50" s="86"/>
    </row>
    <row r="51" spans="1:208" x14ac:dyDescent="0.25">
      <c r="A51"/>
      <c r="D51" s="35"/>
      <c r="E51" s="36"/>
      <c r="F51" s="37"/>
      <c r="G51" s="38"/>
      <c r="H51" s="39"/>
      <c r="I51" s="40"/>
      <c r="J51" s="76"/>
      <c r="K51" s="451"/>
      <c r="L51" s="70"/>
      <c r="M51" s="71"/>
      <c r="N51" s="119"/>
      <c r="O51" s="72"/>
      <c r="P51" s="113">
        <f t="shared" si="2"/>
        <v>0</v>
      </c>
      <c r="Q51" s="117"/>
      <c r="R51" s="117"/>
      <c r="S51" s="117"/>
      <c r="T51" s="39">
        <f t="shared" si="3"/>
        <v>0</v>
      </c>
      <c r="U51" s="375"/>
      <c r="V51" s="144"/>
      <c r="W51" s="377"/>
      <c r="X51" s="146"/>
      <c r="Y51" s="147"/>
      <c r="Z51" s="148"/>
      <c r="AA51" s="149"/>
      <c r="AB51" s="148"/>
      <c r="AC51" s="150"/>
      <c r="AD51" s="151"/>
      <c r="AE51" s="146"/>
      <c r="AF51" s="146"/>
      <c r="AG51" s="146"/>
      <c r="AH51" s="147"/>
      <c r="AI51" s="148"/>
      <c r="AJ51" s="149"/>
      <c r="AK51" s="148"/>
      <c r="AL51" s="150"/>
      <c r="AM51" s="151"/>
      <c r="AN51" s="146"/>
      <c r="AO51" s="146"/>
      <c r="AP51" s="146"/>
      <c r="AQ51" s="147"/>
      <c r="AR51" s="148"/>
      <c r="AS51" s="149"/>
      <c r="AT51" s="148"/>
      <c r="AU51" s="150"/>
      <c r="AV51" s="151"/>
      <c r="AW51" s="146"/>
      <c r="AX51" s="146"/>
      <c r="AY51" s="146"/>
      <c r="AZ51" s="147"/>
      <c r="BA51" s="148"/>
      <c r="BB51" s="149"/>
      <c r="BC51" s="148"/>
      <c r="BD51" s="150"/>
      <c r="BE51" s="151"/>
      <c r="BF51" s="146"/>
      <c r="BG51" s="146"/>
      <c r="BH51" s="146"/>
      <c r="BI51" s="147"/>
      <c r="BJ51" s="148"/>
      <c r="BK51" s="149"/>
      <c r="BL51" s="148"/>
      <c r="BM51" s="150"/>
      <c r="BN51" s="151"/>
      <c r="BO51" s="146"/>
      <c r="BP51" s="146"/>
      <c r="BQ51" s="146"/>
      <c r="BR51" s="147"/>
      <c r="BS51" s="148"/>
      <c r="BT51" s="149"/>
      <c r="BU51" s="148"/>
      <c r="BV51" s="150"/>
      <c r="BW51" s="151"/>
      <c r="BX51" s="146"/>
      <c r="BY51" s="146"/>
      <c r="BZ51" s="146"/>
      <c r="CA51" s="147"/>
      <c r="CB51" s="148"/>
      <c r="CC51" s="149"/>
      <c r="CD51" s="148"/>
      <c r="CE51" s="150"/>
      <c r="CF51" s="151"/>
      <c r="CG51" s="146"/>
      <c r="CH51" s="146"/>
      <c r="CI51" s="146"/>
      <c r="CJ51" s="147"/>
      <c r="CK51" s="148"/>
      <c r="CL51" s="149"/>
      <c r="CM51" s="148"/>
      <c r="CN51" s="150"/>
      <c r="CO51" s="151"/>
      <c r="CP51" s="146"/>
      <c r="CQ51" s="146"/>
      <c r="CR51" s="146"/>
      <c r="CS51" s="147"/>
      <c r="CT51" s="148"/>
      <c r="CU51" s="149"/>
      <c r="CV51" s="148"/>
      <c r="CW51" s="150"/>
      <c r="CX51" s="151"/>
      <c r="CY51" s="146"/>
      <c r="CZ51" s="146"/>
      <c r="DA51" s="146"/>
      <c r="DB51" s="147"/>
      <c r="DC51" s="148"/>
      <c r="DD51" s="149"/>
      <c r="DE51" s="148"/>
      <c r="DF51" s="150"/>
      <c r="DG51" s="151"/>
      <c r="DH51" s="146"/>
      <c r="DI51" s="146"/>
      <c r="DJ51" s="146"/>
      <c r="DK51" s="147"/>
      <c r="DL51" s="148"/>
      <c r="DM51" s="149"/>
      <c r="DN51" s="148"/>
      <c r="DO51" s="150"/>
      <c r="DP51" s="151"/>
      <c r="DQ51" s="146"/>
      <c r="DR51" s="146"/>
      <c r="DS51" s="146"/>
      <c r="DT51" s="147"/>
      <c r="DU51" s="148"/>
      <c r="DV51" s="149"/>
      <c r="DW51" s="148"/>
      <c r="DX51" s="150"/>
      <c r="DY51" s="151"/>
      <c r="DZ51" s="146"/>
      <c r="EA51" s="146"/>
      <c r="EB51" s="146"/>
      <c r="EC51" s="147"/>
      <c r="ED51" s="148"/>
      <c r="EE51" s="149"/>
      <c r="EF51" s="148"/>
      <c r="EG51" s="150"/>
      <c r="EH51" s="151"/>
      <c r="EI51" s="146"/>
      <c r="EJ51" s="146"/>
      <c r="EK51" s="146"/>
      <c r="EL51" s="147"/>
      <c r="EM51" s="148"/>
      <c r="EN51" s="149"/>
      <c r="EO51" s="148"/>
      <c r="EP51" s="150"/>
      <c r="EQ51" s="151"/>
      <c r="ER51" s="146"/>
      <c r="ES51" s="146"/>
      <c r="ET51" s="146"/>
      <c r="EU51" s="147"/>
      <c r="EV51" s="148"/>
      <c r="EW51" s="149"/>
      <c r="EX51" s="148"/>
      <c r="EY51" s="150"/>
      <c r="EZ51" s="151"/>
      <c r="FA51" s="146"/>
      <c r="FB51" s="146"/>
      <c r="FC51" s="146"/>
      <c r="FD51" s="147"/>
      <c r="FE51" s="148"/>
      <c r="FF51" s="149"/>
      <c r="FG51" s="148"/>
      <c r="FH51" s="150"/>
      <c r="FI51" s="151"/>
      <c r="FJ51" s="146"/>
      <c r="FK51" s="146"/>
      <c r="FL51" s="146"/>
      <c r="FM51" s="147"/>
      <c r="FN51" s="148"/>
      <c r="FO51" s="149"/>
      <c r="FP51" s="148"/>
      <c r="FQ51" s="150"/>
      <c r="FR51" s="151"/>
      <c r="FS51" s="146"/>
      <c r="FT51" s="146"/>
      <c r="FU51" s="146"/>
      <c r="FV51" s="147"/>
      <c r="FW51" s="148"/>
      <c r="FX51" s="149"/>
      <c r="FY51" s="148"/>
      <c r="FZ51" s="150"/>
      <c r="GA51" s="151"/>
      <c r="GB51" s="146"/>
      <c r="GC51" s="146"/>
      <c r="GD51" s="146"/>
      <c r="GE51" s="147"/>
      <c r="GF51" s="148"/>
      <c r="GG51" s="149"/>
      <c r="GH51" s="148"/>
      <c r="GI51" s="150"/>
      <c r="GJ51" s="151"/>
      <c r="GK51" s="146"/>
      <c r="GL51" s="146"/>
      <c r="GM51" s="146"/>
      <c r="GN51" s="147"/>
      <c r="GO51" s="148"/>
      <c r="GP51" s="149"/>
      <c r="GQ51" s="148"/>
      <c r="GR51" s="150"/>
      <c r="GS51" s="151"/>
      <c r="GT51" s="378"/>
      <c r="GU51" s="98"/>
      <c r="GV51" s="133"/>
      <c r="GW51" s="134"/>
      <c r="GX51" s="134"/>
      <c r="GY51" s="85"/>
      <c r="GZ51" s="86"/>
    </row>
    <row r="52" spans="1:208" x14ac:dyDescent="0.25">
      <c r="A52"/>
      <c r="D52" s="35"/>
      <c r="E52" s="36"/>
      <c r="F52" s="37"/>
      <c r="G52" s="38"/>
      <c r="H52" s="39"/>
      <c r="I52" s="40"/>
      <c r="J52" s="68"/>
      <c r="K52" s="407"/>
      <c r="L52" s="70"/>
      <c r="M52" s="71"/>
      <c r="N52" s="119"/>
      <c r="O52" s="72"/>
      <c r="P52" s="113">
        <f t="shared" si="2"/>
        <v>0</v>
      </c>
      <c r="Q52" s="117"/>
      <c r="R52" s="117"/>
      <c r="S52" s="117"/>
      <c r="T52" s="39">
        <f t="shared" si="3"/>
        <v>0</v>
      </c>
      <c r="U52" s="115"/>
      <c r="V52" s="112"/>
      <c r="W52" s="118"/>
      <c r="X52" s="17"/>
      <c r="Y52" s="20"/>
      <c r="Z52" s="92"/>
      <c r="AA52" s="93"/>
      <c r="AB52" s="92"/>
      <c r="AC52" s="94"/>
      <c r="AD52" s="95"/>
      <c r="AE52" s="17"/>
      <c r="AF52" s="17"/>
      <c r="AG52" s="17"/>
      <c r="AH52" s="20"/>
      <c r="AI52" s="92"/>
      <c r="AJ52" s="93"/>
      <c r="AK52" s="92"/>
      <c r="AL52" s="94"/>
      <c r="AM52" s="95"/>
      <c r="AN52" s="17"/>
      <c r="AO52" s="17"/>
      <c r="AP52" s="17"/>
      <c r="AQ52" s="20"/>
      <c r="AR52" s="92"/>
      <c r="AS52" s="93"/>
      <c r="AT52" s="92"/>
      <c r="AU52" s="94"/>
      <c r="AV52" s="95"/>
      <c r="AW52" s="17"/>
      <c r="AX52" s="17"/>
      <c r="AY52" s="17"/>
      <c r="AZ52" s="20"/>
      <c r="BA52" s="92"/>
      <c r="BB52" s="93"/>
      <c r="BC52" s="92"/>
      <c r="BD52" s="94"/>
      <c r="BE52" s="95"/>
      <c r="BF52" s="17"/>
      <c r="BG52" s="17"/>
      <c r="BH52" s="17"/>
      <c r="BI52" s="20"/>
      <c r="BJ52" s="92"/>
      <c r="BK52" s="93"/>
      <c r="BL52" s="92"/>
      <c r="BM52" s="94"/>
      <c r="BN52" s="95"/>
      <c r="BO52" s="17"/>
      <c r="BP52" s="17"/>
      <c r="BQ52" s="17"/>
      <c r="BR52" s="20"/>
      <c r="BS52" s="92"/>
      <c r="BT52" s="93"/>
      <c r="BU52" s="92"/>
      <c r="BV52" s="94"/>
      <c r="BW52" s="95"/>
      <c r="BX52" s="17"/>
      <c r="BY52" s="17"/>
      <c r="BZ52" s="17"/>
      <c r="CA52" s="20"/>
      <c r="CB52" s="92"/>
      <c r="CC52" s="93"/>
      <c r="CD52" s="92"/>
      <c r="CE52" s="94"/>
      <c r="CF52" s="95"/>
      <c r="CG52" s="17"/>
      <c r="CH52" s="17"/>
      <c r="CI52" s="17"/>
      <c r="CJ52" s="20"/>
      <c r="CK52" s="92"/>
      <c r="CL52" s="93"/>
      <c r="CM52" s="92"/>
      <c r="CN52" s="94"/>
      <c r="CO52" s="95"/>
      <c r="CP52" s="17"/>
      <c r="CQ52" s="17"/>
      <c r="CR52" s="17"/>
      <c r="CS52" s="20"/>
      <c r="CT52" s="92"/>
      <c r="CU52" s="93"/>
      <c r="CV52" s="92"/>
      <c r="CW52" s="94"/>
      <c r="CX52" s="95"/>
      <c r="CY52" s="17"/>
      <c r="CZ52" s="17"/>
      <c r="DA52" s="17"/>
      <c r="DB52" s="20"/>
      <c r="DC52" s="92"/>
      <c r="DD52" s="93"/>
      <c r="DE52" s="92"/>
      <c r="DF52" s="94"/>
      <c r="DG52" s="95"/>
      <c r="DH52" s="17"/>
      <c r="DI52" s="17"/>
      <c r="DJ52" s="17"/>
      <c r="DK52" s="20"/>
      <c r="DL52" s="92"/>
      <c r="DM52" s="93"/>
      <c r="DN52" s="92"/>
      <c r="DO52" s="94"/>
      <c r="DP52" s="95"/>
      <c r="DQ52" s="17"/>
      <c r="DR52" s="17"/>
      <c r="DS52" s="17"/>
      <c r="DT52" s="20"/>
      <c r="DU52" s="92"/>
      <c r="DV52" s="93"/>
      <c r="DW52" s="92"/>
      <c r="DX52" s="94"/>
      <c r="DY52" s="95"/>
      <c r="DZ52" s="17"/>
      <c r="EA52" s="17"/>
      <c r="EB52" s="17"/>
      <c r="EC52" s="20"/>
      <c r="ED52" s="92"/>
      <c r="EE52" s="93"/>
      <c r="EF52" s="92"/>
      <c r="EG52" s="94"/>
      <c r="EH52" s="95"/>
      <c r="EI52" s="17"/>
      <c r="EJ52" s="17"/>
      <c r="EK52" s="17"/>
      <c r="EL52" s="20"/>
      <c r="EM52" s="92"/>
      <c r="EN52" s="93"/>
      <c r="EO52" s="92"/>
      <c r="EP52" s="94"/>
      <c r="EQ52" s="95"/>
      <c r="ER52" s="17"/>
      <c r="ES52" s="17"/>
      <c r="ET52" s="17"/>
      <c r="EU52" s="20"/>
      <c r="EV52" s="92"/>
      <c r="EW52" s="93"/>
      <c r="EX52" s="92"/>
      <c r="EY52" s="94"/>
      <c r="EZ52" s="95"/>
      <c r="FA52" s="17"/>
      <c r="FB52" s="17"/>
      <c r="FC52" s="17"/>
      <c r="FD52" s="20"/>
      <c r="FE52" s="92"/>
      <c r="FF52" s="93"/>
      <c r="FG52" s="92"/>
      <c r="FH52" s="94"/>
      <c r="FI52" s="95"/>
      <c r="FJ52" s="17"/>
      <c r="FK52" s="17"/>
      <c r="FL52" s="17"/>
      <c r="FM52" s="20"/>
      <c r="FN52" s="92"/>
      <c r="FO52" s="93"/>
      <c r="FP52" s="92"/>
      <c r="FQ52" s="94"/>
      <c r="FR52" s="95"/>
      <c r="FS52" s="17"/>
      <c r="FT52" s="17"/>
      <c r="FU52" s="17"/>
      <c r="FV52" s="20"/>
      <c r="FW52" s="92"/>
      <c r="FX52" s="93"/>
      <c r="FY52" s="92"/>
      <c r="FZ52" s="94"/>
      <c r="GA52" s="95"/>
      <c r="GB52" s="17"/>
      <c r="GC52" s="17"/>
      <c r="GD52" s="17"/>
      <c r="GE52" s="20"/>
      <c r="GF52" s="92"/>
      <c r="GG52" s="93"/>
      <c r="GH52" s="92"/>
      <c r="GI52" s="94"/>
      <c r="GJ52" s="95"/>
      <c r="GK52" s="17"/>
      <c r="GL52" s="17"/>
      <c r="GM52" s="17"/>
      <c r="GN52" s="20"/>
      <c r="GO52" s="92"/>
      <c r="GP52" s="93"/>
      <c r="GQ52" s="92"/>
      <c r="GR52" s="94"/>
      <c r="GS52" s="95"/>
      <c r="GT52" s="122"/>
      <c r="GU52" s="98"/>
      <c r="GV52" s="133"/>
      <c r="GW52" s="134"/>
      <c r="GX52" s="134"/>
      <c r="GY52" s="85"/>
      <c r="GZ52" s="86"/>
    </row>
    <row r="53" spans="1:208" x14ac:dyDescent="0.25">
      <c r="A53"/>
      <c r="D53" s="35"/>
      <c r="E53" s="36"/>
      <c r="F53" s="37"/>
      <c r="G53" s="38"/>
      <c r="H53" s="39"/>
      <c r="I53" s="40"/>
      <c r="J53" s="68"/>
      <c r="K53" s="407"/>
      <c r="L53" s="70"/>
      <c r="M53" s="71"/>
      <c r="N53" s="56"/>
      <c r="O53" s="72"/>
      <c r="P53" s="113">
        <f t="shared" si="2"/>
        <v>0</v>
      </c>
      <c r="Q53" s="117"/>
      <c r="R53" s="117"/>
      <c r="S53" s="117"/>
      <c r="T53" s="39">
        <f t="shared" ref="T53" si="4">Q53*O53</f>
        <v>0</v>
      </c>
      <c r="U53" s="115"/>
      <c r="V53" s="112"/>
      <c r="W53" s="118"/>
      <c r="X53" s="17"/>
      <c r="Y53" s="20"/>
      <c r="Z53" s="92"/>
      <c r="AA53" s="93"/>
      <c r="AB53" s="92"/>
      <c r="AC53" s="94"/>
      <c r="AD53" s="95"/>
      <c r="AE53" s="17"/>
      <c r="AF53" s="17"/>
      <c r="AG53" s="17"/>
      <c r="AH53" s="20"/>
      <c r="AI53" s="92"/>
      <c r="AJ53" s="93"/>
      <c r="AK53" s="92"/>
      <c r="AL53" s="94"/>
      <c r="AM53" s="95"/>
      <c r="AN53" s="17"/>
      <c r="AO53" s="17"/>
      <c r="AP53" s="17"/>
      <c r="AQ53" s="20"/>
      <c r="AR53" s="92"/>
      <c r="AS53" s="93"/>
      <c r="AT53" s="92"/>
      <c r="AU53" s="94"/>
      <c r="AV53" s="95"/>
      <c r="AW53" s="17"/>
      <c r="AX53" s="17"/>
      <c r="AY53" s="17"/>
      <c r="AZ53" s="20"/>
      <c r="BA53" s="92"/>
      <c r="BB53" s="93"/>
      <c r="BC53" s="92"/>
      <c r="BD53" s="94"/>
      <c r="BE53" s="95"/>
      <c r="BF53" s="17"/>
      <c r="BG53" s="17"/>
      <c r="BH53" s="17"/>
      <c r="BI53" s="20"/>
      <c r="BJ53" s="92"/>
      <c r="BK53" s="93"/>
      <c r="BL53" s="92"/>
      <c r="BM53" s="94"/>
      <c r="BN53" s="95"/>
      <c r="BO53" s="17"/>
      <c r="BP53" s="17"/>
      <c r="BQ53" s="17"/>
      <c r="BR53" s="20"/>
      <c r="BS53" s="92"/>
      <c r="BT53" s="93"/>
      <c r="BU53" s="92"/>
      <c r="BV53" s="94"/>
      <c r="BW53" s="95"/>
      <c r="BX53" s="17"/>
      <c r="BY53" s="17"/>
      <c r="BZ53" s="17"/>
      <c r="CA53" s="20"/>
      <c r="CB53" s="92"/>
      <c r="CC53" s="93"/>
      <c r="CD53" s="92"/>
      <c r="CE53" s="94"/>
      <c r="CF53" s="95"/>
      <c r="CG53" s="17"/>
      <c r="CH53" s="17"/>
      <c r="CI53" s="17"/>
      <c r="CJ53" s="20"/>
      <c r="CK53" s="92"/>
      <c r="CL53" s="93"/>
      <c r="CM53" s="92"/>
      <c r="CN53" s="94"/>
      <c r="CO53" s="95"/>
      <c r="CP53" s="17"/>
      <c r="CQ53" s="17"/>
      <c r="CR53" s="17"/>
      <c r="CS53" s="20"/>
      <c r="CT53" s="92"/>
      <c r="CU53" s="93"/>
      <c r="CV53" s="92"/>
      <c r="CW53" s="94"/>
      <c r="CX53" s="95"/>
      <c r="CY53" s="17"/>
      <c r="CZ53" s="17"/>
      <c r="DA53" s="17"/>
      <c r="DB53" s="20"/>
      <c r="DC53" s="92"/>
      <c r="DD53" s="93"/>
      <c r="DE53" s="92"/>
      <c r="DF53" s="94"/>
      <c r="DG53" s="95"/>
      <c r="DH53" s="17"/>
      <c r="DI53" s="17"/>
      <c r="DJ53" s="17"/>
      <c r="DK53" s="20"/>
      <c r="DL53" s="92"/>
      <c r="DM53" s="93"/>
      <c r="DN53" s="92"/>
      <c r="DO53" s="94"/>
      <c r="DP53" s="95"/>
      <c r="DQ53" s="17"/>
      <c r="DR53" s="17"/>
      <c r="DS53" s="17"/>
      <c r="DT53" s="20"/>
      <c r="DU53" s="92"/>
      <c r="DV53" s="93"/>
      <c r="DW53" s="92"/>
      <c r="DX53" s="94"/>
      <c r="DY53" s="95"/>
      <c r="DZ53" s="17"/>
      <c r="EA53" s="17"/>
      <c r="EB53" s="17"/>
      <c r="EC53" s="20"/>
      <c r="ED53" s="92"/>
      <c r="EE53" s="93"/>
      <c r="EF53" s="92"/>
      <c r="EG53" s="94"/>
      <c r="EH53" s="95"/>
      <c r="EI53" s="17"/>
      <c r="EJ53" s="17"/>
      <c r="EK53" s="17"/>
      <c r="EL53" s="20"/>
      <c r="EM53" s="92"/>
      <c r="EN53" s="93"/>
      <c r="EO53" s="92"/>
      <c r="EP53" s="94"/>
      <c r="EQ53" s="95"/>
      <c r="ER53" s="17"/>
      <c r="ES53" s="17"/>
      <c r="ET53" s="17"/>
      <c r="EU53" s="20"/>
      <c r="EV53" s="92"/>
      <c r="EW53" s="93"/>
      <c r="EX53" s="92"/>
      <c r="EY53" s="94"/>
      <c r="EZ53" s="95"/>
      <c r="FA53" s="17"/>
      <c r="FB53" s="17"/>
      <c r="FC53" s="17"/>
      <c r="FD53" s="20"/>
      <c r="FE53" s="92"/>
      <c r="FF53" s="93"/>
      <c r="FG53" s="92"/>
      <c r="FH53" s="94"/>
      <c r="FI53" s="95"/>
      <c r="FJ53" s="17"/>
      <c r="FK53" s="17"/>
      <c r="FL53" s="17"/>
      <c r="FM53" s="20"/>
      <c r="FN53" s="92"/>
      <c r="FO53" s="93"/>
      <c r="FP53" s="92"/>
      <c r="FQ53" s="94"/>
      <c r="FR53" s="95"/>
      <c r="FS53" s="17"/>
      <c r="FT53" s="17"/>
      <c r="FU53" s="17"/>
      <c r="FV53" s="20"/>
      <c r="FW53" s="92"/>
      <c r="FX53" s="93"/>
      <c r="FY53" s="92"/>
      <c r="FZ53" s="94"/>
      <c r="GA53" s="95"/>
      <c r="GB53" s="17"/>
      <c r="GC53" s="17"/>
      <c r="GD53" s="17"/>
      <c r="GE53" s="20"/>
      <c r="GF53" s="92"/>
      <c r="GG53" s="93"/>
      <c r="GH53" s="92"/>
      <c r="GI53" s="94"/>
      <c r="GJ53" s="95"/>
      <c r="GK53" s="17"/>
      <c r="GL53" s="17"/>
      <c r="GM53" s="17"/>
      <c r="GN53" s="20"/>
      <c r="GO53" s="92"/>
      <c r="GP53" s="93"/>
      <c r="GQ53" s="92"/>
      <c r="GR53" s="94"/>
      <c r="GS53" s="95"/>
      <c r="GT53" s="122"/>
      <c r="GU53" s="98"/>
      <c r="GV53" s="135"/>
      <c r="GW53" s="134"/>
      <c r="GX53" s="136"/>
      <c r="GY53" s="85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407"/>
      <c r="L54" s="70"/>
      <c r="M54" s="71"/>
      <c r="N54" s="56"/>
      <c r="O54" s="72"/>
      <c r="P54" s="113">
        <f t="shared" si="2"/>
        <v>0</v>
      </c>
      <c r="Q54" s="64"/>
      <c r="R54" s="117"/>
      <c r="S54" s="117"/>
      <c r="T54" s="39">
        <f>Q54*O54</f>
        <v>0</v>
      </c>
      <c r="U54" s="115"/>
      <c r="V54" s="83"/>
      <c r="W54" s="118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137"/>
      <c r="GU54" s="98"/>
      <c r="GV54" s="129"/>
      <c r="GW54" s="74"/>
      <c r="GX54" s="74"/>
      <c r="GY54" s="85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407"/>
      <c r="L55" s="70"/>
      <c r="M55" s="71"/>
      <c r="N55" s="56"/>
      <c r="O55" s="72"/>
      <c r="P55" s="113">
        <f t="shared" si="0"/>
        <v>0</v>
      </c>
      <c r="Q55" s="117"/>
      <c r="R55" s="117"/>
      <c r="S55" s="117"/>
      <c r="T55" s="39">
        <f>Q55*O55</f>
        <v>0</v>
      </c>
      <c r="U55" s="115"/>
      <c r="V55" s="112"/>
      <c r="W55" s="118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128"/>
      <c r="GU55" s="98"/>
      <c r="GV55" s="129"/>
      <c r="GW55" s="74"/>
      <c r="GX55" s="74"/>
      <c r="GY55" s="85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68"/>
      <c r="K56" s="407"/>
      <c r="L56" s="70"/>
      <c r="M56" s="71"/>
      <c r="N56" s="56"/>
      <c r="O56" s="72"/>
      <c r="P56" s="113">
        <f t="shared" si="0"/>
        <v>0</v>
      </c>
      <c r="Q56" s="117"/>
      <c r="R56" s="117"/>
      <c r="S56" s="117"/>
      <c r="T56" s="39">
        <f>Q56*O56</f>
        <v>0</v>
      </c>
      <c r="U56" s="115"/>
      <c r="V56" s="112"/>
      <c r="W56" s="118"/>
      <c r="X56" s="17"/>
      <c r="Y56" s="20"/>
      <c r="Z56" s="92"/>
      <c r="AA56" s="93"/>
      <c r="AB56" s="92"/>
      <c r="AC56" s="94"/>
      <c r="AD56" s="95"/>
      <c r="AE56" s="17"/>
      <c r="AF56" s="17"/>
      <c r="AG56" s="17"/>
      <c r="AH56" s="20"/>
      <c r="AI56" s="92"/>
      <c r="AJ56" s="93"/>
      <c r="AK56" s="92"/>
      <c r="AL56" s="94"/>
      <c r="AM56" s="95"/>
      <c r="AN56" s="17"/>
      <c r="AO56" s="17"/>
      <c r="AP56" s="17"/>
      <c r="AQ56" s="20"/>
      <c r="AR56" s="92"/>
      <c r="AS56" s="93"/>
      <c r="AT56" s="92"/>
      <c r="AU56" s="94"/>
      <c r="AV56" s="95"/>
      <c r="AW56" s="17"/>
      <c r="AX56" s="17"/>
      <c r="AY56" s="17"/>
      <c r="AZ56" s="20"/>
      <c r="BA56" s="92"/>
      <c r="BB56" s="93"/>
      <c r="BC56" s="92"/>
      <c r="BD56" s="94"/>
      <c r="BE56" s="95"/>
      <c r="BF56" s="17"/>
      <c r="BG56" s="17"/>
      <c r="BH56" s="17"/>
      <c r="BI56" s="20"/>
      <c r="BJ56" s="92"/>
      <c r="BK56" s="93"/>
      <c r="BL56" s="92"/>
      <c r="BM56" s="94"/>
      <c r="BN56" s="95"/>
      <c r="BO56" s="17"/>
      <c r="BP56" s="17"/>
      <c r="BQ56" s="17"/>
      <c r="BR56" s="20"/>
      <c r="BS56" s="92"/>
      <c r="BT56" s="93"/>
      <c r="BU56" s="92"/>
      <c r="BV56" s="94"/>
      <c r="BW56" s="95"/>
      <c r="BX56" s="17"/>
      <c r="BY56" s="17"/>
      <c r="BZ56" s="17"/>
      <c r="CA56" s="20"/>
      <c r="CB56" s="92"/>
      <c r="CC56" s="93"/>
      <c r="CD56" s="92"/>
      <c r="CE56" s="94"/>
      <c r="CF56" s="95"/>
      <c r="CG56" s="17"/>
      <c r="CH56" s="17"/>
      <c r="CI56" s="17"/>
      <c r="CJ56" s="20"/>
      <c r="CK56" s="92"/>
      <c r="CL56" s="93"/>
      <c r="CM56" s="92"/>
      <c r="CN56" s="94"/>
      <c r="CO56" s="95"/>
      <c r="CP56" s="17"/>
      <c r="CQ56" s="17"/>
      <c r="CR56" s="17"/>
      <c r="CS56" s="20"/>
      <c r="CT56" s="92"/>
      <c r="CU56" s="93"/>
      <c r="CV56" s="92"/>
      <c r="CW56" s="94"/>
      <c r="CX56" s="95"/>
      <c r="CY56" s="17"/>
      <c r="CZ56" s="17"/>
      <c r="DA56" s="17"/>
      <c r="DB56" s="20"/>
      <c r="DC56" s="92"/>
      <c r="DD56" s="93"/>
      <c r="DE56" s="92"/>
      <c r="DF56" s="94"/>
      <c r="DG56" s="95"/>
      <c r="DH56" s="17"/>
      <c r="DI56" s="17"/>
      <c r="DJ56" s="17"/>
      <c r="DK56" s="20"/>
      <c r="DL56" s="92"/>
      <c r="DM56" s="93"/>
      <c r="DN56" s="92"/>
      <c r="DO56" s="94"/>
      <c r="DP56" s="95"/>
      <c r="DQ56" s="17"/>
      <c r="DR56" s="17"/>
      <c r="DS56" s="17"/>
      <c r="DT56" s="20"/>
      <c r="DU56" s="92"/>
      <c r="DV56" s="93"/>
      <c r="DW56" s="92"/>
      <c r="DX56" s="94"/>
      <c r="DY56" s="95"/>
      <c r="DZ56" s="17"/>
      <c r="EA56" s="17"/>
      <c r="EB56" s="17"/>
      <c r="EC56" s="20"/>
      <c r="ED56" s="92"/>
      <c r="EE56" s="93"/>
      <c r="EF56" s="92"/>
      <c r="EG56" s="94"/>
      <c r="EH56" s="95"/>
      <c r="EI56" s="17"/>
      <c r="EJ56" s="17"/>
      <c r="EK56" s="17"/>
      <c r="EL56" s="20"/>
      <c r="EM56" s="92"/>
      <c r="EN56" s="93"/>
      <c r="EO56" s="92"/>
      <c r="EP56" s="94"/>
      <c r="EQ56" s="95"/>
      <c r="ER56" s="17"/>
      <c r="ES56" s="17"/>
      <c r="ET56" s="17"/>
      <c r="EU56" s="20"/>
      <c r="EV56" s="92"/>
      <c r="EW56" s="93"/>
      <c r="EX56" s="92"/>
      <c r="EY56" s="94"/>
      <c r="EZ56" s="95"/>
      <c r="FA56" s="17"/>
      <c r="FB56" s="17"/>
      <c r="FC56" s="17"/>
      <c r="FD56" s="20"/>
      <c r="FE56" s="92"/>
      <c r="FF56" s="93"/>
      <c r="FG56" s="92"/>
      <c r="FH56" s="94"/>
      <c r="FI56" s="95"/>
      <c r="FJ56" s="17"/>
      <c r="FK56" s="17"/>
      <c r="FL56" s="17"/>
      <c r="FM56" s="20"/>
      <c r="FN56" s="92"/>
      <c r="FO56" s="93"/>
      <c r="FP56" s="92"/>
      <c r="FQ56" s="94"/>
      <c r="FR56" s="95"/>
      <c r="FS56" s="17"/>
      <c r="FT56" s="17"/>
      <c r="FU56" s="17"/>
      <c r="FV56" s="20"/>
      <c r="FW56" s="92"/>
      <c r="FX56" s="93"/>
      <c r="FY56" s="92"/>
      <c r="FZ56" s="94"/>
      <c r="GA56" s="95"/>
      <c r="GB56" s="17"/>
      <c r="GC56" s="17"/>
      <c r="GD56" s="17"/>
      <c r="GE56" s="20"/>
      <c r="GF56" s="92"/>
      <c r="GG56" s="93"/>
      <c r="GH56" s="92"/>
      <c r="GI56" s="94"/>
      <c r="GJ56" s="95"/>
      <c r="GK56" s="17"/>
      <c r="GL56" s="17"/>
      <c r="GM56" s="17"/>
      <c r="GN56" s="20"/>
      <c r="GO56" s="92"/>
      <c r="GP56" s="93"/>
      <c r="GQ56" s="92"/>
      <c r="GR56" s="94"/>
      <c r="GS56" s="95"/>
      <c r="GT56" s="97"/>
      <c r="GU56" s="98"/>
      <c r="GV56" s="130"/>
      <c r="GW56" s="74"/>
      <c r="GX56" s="74"/>
      <c r="GY56" s="85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407"/>
      <c r="L57" s="70"/>
      <c r="M57" s="71"/>
      <c r="N57" s="56"/>
      <c r="O57" s="72"/>
      <c r="P57" s="113">
        <f t="shared" si="0"/>
        <v>0</v>
      </c>
      <c r="Q57" s="117"/>
      <c r="R57" s="117"/>
      <c r="S57" s="117"/>
      <c r="T57" s="39">
        <f>Q57*O57</f>
        <v>0</v>
      </c>
      <c r="U57" s="138"/>
      <c r="V57" s="139"/>
      <c r="W57" s="121"/>
      <c r="X57" s="17"/>
      <c r="Y57" s="20"/>
      <c r="Z57" s="92"/>
      <c r="AA57" s="93"/>
      <c r="AB57" s="92"/>
      <c r="AC57" s="94"/>
      <c r="AD57" s="95"/>
      <c r="AE57" s="17"/>
      <c r="AF57" s="17"/>
      <c r="AG57" s="17"/>
      <c r="AH57" s="20"/>
      <c r="AI57" s="92"/>
      <c r="AJ57" s="93"/>
      <c r="AK57" s="92"/>
      <c r="AL57" s="94"/>
      <c r="AM57" s="95"/>
      <c r="AN57" s="17"/>
      <c r="AO57" s="17"/>
      <c r="AP57" s="17"/>
      <c r="AQ57" s="20"/>
      <c r="AR57" s="92"/>
      <c r="AS57" s="93"/>
      <c r="AT57" s="92"/>
      <c r="AU57" s="94"/>
      <c r="AV57" s="95"/>
      <c r="AW57" s="17"/>
      <c r="AX57" s="17"/>
      <c r="AY57" s="17"/>
      <c r="AZ57" s="20"/>
      <c r="BA57" s="92"/>
      <c r="BB57" s="93"/>
      <c r="BC57" s="92"/>
      <c r="BD57" s="94"/>
      <c r="BE57" s="95"/>
      <c r="BF57" s="17"/>
      <c r="BG57" s="17"/>
      <c r="BH57" s="17"/>
      <c r="BI57" s="20"/>
      <c r="BJ57" s="92"/>
      <c r="BK57" s="93"/>
      <c r="BL57" s="92"/>
      <c r="BM57" s="94"/>
      <c r="BN57" s="95"/>
      <c r="BO57" s="17"/>
      <c r="BP57" s="17"/>
      <c r="BQ57" s="17"/>
      <c r="BR57" s="20"/>
      <c r="BS57" s="92"/>
      <c r="BT57" s="93"/>
      <c r="BU57" s="92"/>
      <c r="BV57" s="94"/>
      <c r="BW57" s="95"/>
      <c r="BX57" s="17"/>
      <c r="BY57" s="17"/>
      <c r="BZ57" s="17"/>
      <c r="CA57" s="20"/>
      <c r="CB57" s="92"/>
      <c r="CC57" s="93"/>
      <c r="CD57" s="92"/>
      <c r="CE57" s="94"/>
      <c r="CF57" s="95"/>
      <c r="CG57" s="17"/>
      <c r="CH57" s="17"/>
      <c r="CI57" s="17"/>
      <c r="CJ57" s="20"/>
      <c r="CK57" s="92"/>
      <c r="CL57" s="93"/>
      <c r="CM57" s="92"/>
      <c r="CN57" s="94"/>
      <c r="CO57" s="95"/>
      <c r="CP57" s="17"/>
      <c r="CQ57" s="17"/>
      <c r="CR57" s="17"/>
      <c r="CS57" s="20"/>
      <c r="CT57" s="92"/>
      <c r="CU57" s="93"/>
      <c r="CV57" s="92"/>
      <c r="CW57" s="94"/>
      <c r="CX57" s="95"/>
      <c r="CY57" s="17"/>
      <c r="CZ57" s="17"/>
      <c r="DA57" s="17"/>
      <c r="DB57" s="20"/>
      <c r="DC57" s="92"/>
      <c r="DD57" s="93"/>
      <c r="DE57" s="92"/>
      <c r="DF57" s="94"/>
      <c r="DG57" s="95"/>
      <c r="DH57" s="17"/>
      <c r="DI57" s="17"/>
      <c r="DJ57" s="17"/>
      <c r="DK57" s="20"/>
      <c r="DL57" s="92"/>
      <c r="DM57" s="93"/>
      <c r="DN57" s="92"/>
      <c r="DO57" s="94"/>
      <c r="DP57" s="95"/>
      <c r="DQ57" s="17"/>
      <c r="DR57" s="17"/>
      <c r="DS57" s="17"/>
      <c r="DT57" s="20"/>
      <c r="DU57" s="92"/>
      <c r="DV57" s="93"/>
      <c r="DW57" s="92"/>
      <c r="DX57" s="94"/>
      <c r="DY57" s="95"/>
      <c r="DZ57" s="17"/>
      <c r="EA57" s="17"/>
      <c r="EB57" s="17"/>
      <c r="EC57" s="20"/>
      <c r="ED57" s="92"/>
      <c r="EE57" s="93"/>
      <c r="EF57" s="92"/>
      <c r="EG57" s="94"/>
      <c r="EH57" s="95"/>
      <c r="EI57" s="17"/>
      <c r="EJ57" s="17"/>
      <c r="EK57" s="17"/>
      <c r="EL57" s="20"/>
      <c r="EM57" s="92"/>
      <c r="EN57" s="93"/>
      <c r="EO57" s="92"/>
      <c r="EP57" s="94"/>
      <c r="EQ57" s="95"/>
      <c r="ER57" s="17"/>
      <c r="ES57" s="17"/>
      <c r="ET57" s="17"/>
      <c r="EU57" s="20"/>
      <c r="EV57" s="92"/>
      <c r="EW57" s="93"/>
      <c r="EX57" s="92"/>
      <c r="EY57" s="94"/>
      <c r="EZ57" s="95"/>
      <c r="FA57" s="17"/>
      <c r="FB57" s="17"/>
      <c r="FC57" s="17"/>
      <c r="FD57" s="20"/>
      <c r="FE57" s="92"/>
      <c r="FF57" s="93"/>
      <c r="FG57" s="92"/>
      <c r="FH57" s="94"/>
      <c r="FI57" s="95"/>
      <c r="FJ57" s="17"/>
      <c r="FK57" s="17"/>
      <c r="FL57" s="17"/>
      <c r="FM57" s="20"/>
      <c r="FN57" s="92"/>
      <c r="FO57" s="93"/>
      <c r="FP57" s="92"/>
      <c r="FQ57" s="94"/>
      <c r="FR57" s="95"/>
      <c r="FS57" s="17"/>
      <c r="FT57" s="17"/>
      <c r="FU57" s="17"/>
      <c r="FV57" s="20"/>
      <c r="FW57" s="92"/>
      <c r="FX57" s="93"/>
      <c r="FY57" s="92"/>
      <c r="FZ57" s="94"/>
      <c r="GA57" s="95"/>
      <c r="GB57" s="17"/>
      <c r="GC57" s="17"/>
      <c r="GD57" s="17"/>
      <c r="GE57" s="20"/>
      <c r="GF57" s="92"/>
      <c r="GG57" s="93"/>
      <c r="GH57" s="92"/>
      <c r="GI57" s="94"/>
      <c r="GJ57" s="95"/>
      <c r="GK57" s="17"/>
      <c r="GL57" s="17"/>
      <c r="GM57" s="17"/>
      <c r="GN57" s="20"/>
      <c r="GO57" s="92"/>
      <c r="GP57" s="93"/>
      <c r="GQ57" s="92"/>
      <c r="GR57" s="94"/>
      <c r="GS57" s="95"/>
      <c r="GT57" s="97"/>
      <c r="GU57" s="98"/>
      <c r="GV57" s="130"/>
      <c r="GW57" s="74"/>
      <c r="GX57" s="74"/>
      <c r="GY57" s="85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68"/>
      <c r="K58" s="407"/>
      <c r="L58" s="70"/>
      <c r="M58" s="71"/>
      <c r="N58" s="56"/>
      <c r="O58" s="72"/>
      <c r="P58" s="113">
        <f t="shared" si="0"/>
        <v>0</v>
      </c>
      <c r="Q58" s="117"/>
      <c r="R58" s="117"/>
      <c r="S58" s="140"/>
      <c r="T58" s="39">
        <f t="shared" si="1"/>
        <v>0</v>
      </c>
      <c r="U58" s="138"/>
      <c r="V58" s="112"/>
      <c r="W58" s="121"/>
      <c r="X58" s="17"/>
      <c r="Y58" s="20"/>
      <c r="Z58" s="92"/>
      <c r="AA58" s="93"/>
      <c r="AB58" s="92"/>
      <c r="AC58" s="94"/>
      <c r="AD58" s="95"/>
      <c r="AE58" s="17"/>
      <c r="AF58" s="17"/>
      <c r="AG58" s="17"/>
      <c r="AH58" s="20"/>
      <c r="AI58" s="92"/>
      <c r="AJ58" s="93"/>
      <c r="AK58" s="92"/>
      <c r="AL58" s="94"/>
      <c r="AM58" s="95"/>
      <c r="AN58" s="17"/>
      <c r="AO58" s="17"/>
      <c r="AP58" s="17"/>
      <c r="AQ58" s="20"/>
      <c r="AR58" s="92"/>
      <c r="AS58" s="93"/>
      <c r="AT58" s="92"/>
      <c r="AU58" s="94"/>
      <c r="AV58" s="95"/>
      <c r="AW58" s="17"/>
      <c r="AX58" s="17"/>
      <c r="AY58" s="17"/>
      <c r="AZ58" s="20"/>
      <c r="BA58" s="92"/>
      <c r="BB58" s="93"/>
      <c r="BC58" s="92"/>
      <c r="BD58" s="94"/>
      <c r="BE58" s="95"/>
      <c r="BF58" s="17"/>
      <c r="BG58" s="17"/>
      <c r="BH58" s="17"/>
      <c r="BI58" s="20"/>
      <c r="BJ58" s="92"/>
      <c r="BK58" s="93"/>
      <c r="BL58" s="92"/>
      <c r="BM58" s="94"/>
      <c r="BN58" s="95"/>
      <c r="BO58" s="17"/>
      <c r="BP58" s="17"/>
      <c r="BQ58" s="17"/>
      <c r="BR58" s="20"/>
      <c r="BS58" s="92"/>
      <c r="BT58" s="93"/>
      <c r="BU58" s="92"/>
      <c r="BV58" s="94"/>
      <c r="BW58" s="95"/>
      <c r="BX58" s="17"/>
      <c r="BY58" s="17"/>
      <c r="BZ58" s="17"/>
      <c r="CA58" s="20"/>
      <c r="CB58" s="92"/>
      <c r="CC58" s="93"/>
      <c r="CD58" s="92"/>
      <c r="CE58" s="94"/>
      <c r="CF58" s="95"/>
      <c r="CG58" s="17"/>
      <c r="CH58" s="17"/>
      <c r="CI58" s="17"/>
      <c r="CJ58" s="20"/>
      <c r="CK58" s="92"/>
      <c r="CL58" s="93"/>
      <c r="CM58" s="92"/>
      <c r="CN58" s="94"/>
      <c r="CO58" s="95"/>
      <c r="CP58" s="17"/>
      <c r="CQ58" s="17"/>
      <c r="CR58" s="17"/>
      <c r="CS58" s="20"/>
      <c r="CT58" s="92"/>
      <c r="CU58" s="93"/>
      <c r="CV58" s="92"/>
      <c r="CW58" s="94"/>
      <c r="CX58" s="95"/>
      <c r="CY58" s="17"/>
      <c r="CZ58" s="17"/>
      <c r="DA58" s="17"/>
      <c r="DB58" s="20"/>
      <c r="DC58" s="92"/>
      <c r="DD58" s="93"/>
      <c r="DE58" s="92"/>
      <c r="DF58" s="94"/>
      <c r="DG58" s="95"/>
      <c r="DH58" s="17"/>
      <c r="DI58" s="17"/>
      <c r="DJ58" s="17"/>
      <c r="DK58" s="20"/>
      <c r="DL58" s="92"/>
      <c r="DM58" s="93"/>
      <c r="DN58" s="92"/>
      <c r="DO58" s="94"/>
      <c r="DP58" s="95"/>
      <c r="DQ58" s="17"/>
      <c r="DR58" s="17"/>
      <c r="DS58" s="17"/>
      <c r="DT58" s="20"/>
      <c r="DU58" s="92"/>
      <c r="DV58" s="93"/>
      <c r="DW58" s="92"/>
      <c r="DX58" s="94"/>
      <c r="DY58" s="95"/>
      <c r="DZ58" s="17"/>
      <c r="EA58" s="17"/>
      <c r="EB58" s="17"/>
      <c r="EC58" s="20"/>
      <c r="ED58" s="92"/>
      <c r="EE58" s="93"/>
      <c r="EF58" s="92"/>
      <c r="EG58" s="94"/>
      <c r="EH58" s="95"/>
      <c r="EI58" s="17"/>
      <c r="EJ58" s="17"/>
      <c r="EK58" s="17"/>
      <c r="EL58" s="20"/>
      <c r="EM58" s="92"/>
      <c r="EN58" s="93"/>
      <c r="EO58" s="92"/>
      <c r="EP58" s="94"/>
      <c r="EQ58" s="95"/>
      <c r="ER58" s="17"/>
      <c r="ES58" s="17"/>
      <c r="ET58" s="17"/>
      <c r="EU58" s="20"/>
      <c r="EV58" s="92"/>
      <c r="EW58" s="93"/>
      <c r="EX58" s="92"/>
      <c r="EY58" s="94"/>
      <c r="EZ58" s="95"/>
      <c r="FA58" s="17"/>
      <c r="FB58" s="17"/>
      <c r="FC58" s="17"/>
      <c r="FD58" s="20"/>
      <c r="FE58" s="92"/>
      <c r="FF58" s="93"/>
      <c r="FG58" s="92"/>
      <c r="FH58" s="94"/>
      <c r="FI58" s="95"/>
      <c r="FJ58" s="17"/>
      <c r="FK58" s="17"/>
      <c r="FL58" s="17"/>
      <c r="FM58" s="20"/>
      <c r="FN58" s="92"/>
      <c r="FO58" s="93"/>
      <c r="FP58" s="92"/>
      <c r="FQ58" s="94"/>
      <c r="FR58" s="95"/>
      <c r="FS58" s="17"/>
      <c r="FT58" s="17"/>
      <c r="FU58" s="17"/>
      <c r="FV58" s="20"/>
      <c r="FW58" s="92"/>
      <c r="FX58" s="93"/>
      <c r="FY58" s="92"/>
      <c r="FZ58" s="94"/>
      <c r="GA58" s="95"/>
      <c r="GB58" s="17"/>
      <c r="GC58" s="17"/>
      <c r="GD58" s="17"/>
      <c r="GE58" s="20"/>
      <c r="GF58" s="92"/>
      <c r="GG58" s="93"/>
      <c r="GH58" s="92"/>
      <c r="GI58" s="94"/>
      <c r="GJ58" s="95"/>
      <c r="GK58" s="17"/>
      <c r="GL58" s="17"/>
      <c r="GM58" s="17"/>
      <c r="GN58" s="20"/>
      <c r="GO58" s="92"/>
      <c r="GP58" s="93"/>
      <c r="GQ58" s="92"/>
      <c r="GR58" s="94"/>
      <c r="GS58" s="95"/>
      <c r="GT58" s="97"/>
      <c r="GU58" s="98"/>
      <c r="GV58" s="130"/>
      <c r="GW58" s="74"/>
      <c r="GX58" s="74"/>
      <c r="GY58" s="85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407"/>
      <c r="L59" s="70"/>
      <c r="M59" s="71"/>
      <c r="N59" s="56"/>
      <c r="O59" s="72"/>
      <c r="P59" s="113">
        <f t="shared" si="0"/>
        <v>0</v>
      </c>
      <c r="Q59" s="117"/>
      <c r="R59" s="117"/>
      <c r="S59" s="117"/>
      <c r="T59" s="39">
        <f t="shared" si="1"/>
        <v>0</v>
      </c>
      <c r="U59" s="138"/>
      <c r="V59" s="112"/>
      <c r="W59" s="121"/>
      <c r="X59" s="17"/>
      <c r="Y59" s="20"/>
      <c r="Z59" s="92"/>
      <c r="AA59" s="93"/>
      <c r="AB59" s="92"/>
      <c r="AC59" s="94"/>
      <c r="AD59" s="95"/>
      <c r="AE59" s="17"/>
      <c r="AF59" s="17"/>
      <c r="AG59" s="17"/>
      <c r="AH59" s="20"/>
      <c r="AI59" s="92"/>
      <c r="AJ59" s="93"/>
      <c r="AK59" s="92"/>
      <c r="AL59" s="94"/>
      <c r="AM59" s="95"/>
      <c r="AN59" s="17"/>
      <c r="AO59" s="17"/>
      <c r="AP59" s="17"/>
      <c r="AQ59" s="20"/>
      <c r="AR59" s="92"/>
      <c r="AS59" s="93"/>
      <c r="AT59" s="92"/>
      <c r="AU59" s="94"/>
      <c r="AV59" s="95"/>
      <c r="AW59" s="17"/>
      <c r="AX59" s="17"/>
      <c r="AY59" s="17"/>
      <c r="AZ59" s="20"/>
      <c r="BA59" s="92"/>
      <c r="BB59" s="93"/>
      <c r="BC59" s="92"/>
      <c r="BD59" s="94"/>
      <c r="BE59" s="95"/>
      <c r="BF59" s="17"/>
      <c r="BG59" s="17"/>
      <c r="BH59" s="17"/>
      <c r="BI59" s="20"/>
      <c r="BJ59" s="92"/>
      <c r="BK59" s="93"/>
      <c r="BL59" s="92"/>
      <c r="BM59" s="94"/>
      <c r="BN59" s="95"/>
      <c r="BO59" s="17"/>
      <c r="BP59" s="17"/>
      <c r="BQ59" s="17"/>
      <c r="BR59" s="20"/>
      <c r="BS59" s="92"/>
      <c r="BT59" s="93"/>
      <c r="BU59" s="92"/>
      <c r="BV59" s="94"/>
      <c r="BW59" s="95"/>
      <c r="BX59" s="17"/>
      <c r="BY59" s="17"/>
      <c r="BZ59" s="17"/>
      <c r="CA59" s="20"/>
      <c r="CB59" s="92"/>
      <c r="CC59" s="93"/>
      <c r="CD59" s="92"/>
      <c r="CE59" s="94"/>
      <c r="CF59" s="95"/>
      <c r="CG59" s="17"/>
      <c r="CH59" s="17"/>
      <c r="CI59" s="17"/>
      <c r="CJ59" s="20"/>
      <c r="CK59" s="92"/>
      <c r="CL59" s="93"/>
      <c r="CM59" s="92"/>
      <c r="CN59" s="94"/>
      <c r="CO59" s="95"/>
      <c r="CP59" s="17"/>
      <c r="CQ59" s="17"/>
      <c r="CR59" s="17"/>
      <c r="CS59" s="20"/>
      <c r="CT59" s="92"/>
      <c r="CU59" s="93"/>
      <c r="CV59" s="92"/>
      <c r="CW59" s="94"/>
      <c r="CX59" s="95"/>
      <c r="CY59" s="17"/>
      <c r="CZ59" s="17"/>
      <c r="DA59" s="17"/>
      <c r="DB59" s="20"/>
      <c r="DC59" s="92"/>
      <c r="DD59" s="93"/>
      <c r="DE59" s="92"/>
      <c r="DF59" s="94"/>
      <c r="DG59" s="95"/>
      <c r="DH59" s="17"/>
      <c r="DI59" s="17"/>
      <c r="DJ59" s="17"/>
      <c r="DK59" s="20"/>
      <c r="DL59" s="92"/>
      <c r="DM59" s="93"/>
      <c r="DN59" s="92"/>
      <c r="DO59" s="94"/>
      <c r="DP59" s="95"/>
      <c r="DQ59" s="17"/>
      <c r="DR59" s="17"/>
      <c r="DS59" s="17"/>
      <c r="DT59" s="20"/>
      <c r="DU59" s="92"/>
      <c r="DV59" s="93"/>
      <c r="DW59" s="92"/>
      <c r="DX59" s="94"/>
      <c r="DY59" s="95"/>
      <c r="DZ59" s="17"/>
      <c r="EA59" s="17"/>
      <c r="EB59" s="17"/>
      <c r="EC59" s="20"/>
      <c r="ED59" s="92"/>
      <c r="EE59" s="93"/>
      <c r="EF59" s="92"/>
      <c r="EG59" s="94"/>
      <c r="EH59" s="95"/>
      <c r="EI59" s="17"/>
      <c r="EJ59" s="17"/>
      <c r="EK59" s="17"/>
      <c r="EL59" s="20"/>
      <c r="EM59" s="92"/>
      <c r="EN59" s="93"/>
      <c r="EO59" s="92"/>
      <c r="EP59" s="94"/>
      <c r="EQ59" s="95"/>
      <c r="ER59" s="17"/>
      <c r="ES59" s="17"/>
      <c r="ET59" s="17"/>
      <c r="EU59" s="20"/>
      <c r="EV59" s="92"/>
      <c r="EW59" s="93"/>
      <c r="EX59" s="92"/>
      <c r="EY59" s="94"/>
      <c r="EZ59" s="95"/>
      <c r="FA59" s="17"/>
      <c r="FB59" s="17"/>
      <c r="FC59" s="17"/>
      <c r="FD59" s="20"/>
      <c r="FE59" s="92"/>
      <c r="FF59" s="93"/>
      <c r="FG59" s="92"/>
      <c r="FH59" s="94"/>
      <c r="FI59" s="95"/>
      <c r="FJ59" s="17"/>
      <c r="FK59" s="17"/>
      <c r="FL59" s="17"/>
      <c r="FM59" s="20"/>
      <c r="FN59" s="92"/>
      <c r="FO59" s="93"/>
      <c r="FP59" s="92"/>
      <c r="FQ59" s="94"/>
      <c r="FR59" s="95"/>
      <c r="FS59" s="17"/>
      <c r="FT59" s="17"/>
      <c r="FU59" s="17"/>
      <c r="FV59" s="20"/>
      <c r="FW59" s="92"/>
      <c r="FX59" s="93"/>
      <c r="FY59" s="92"/>
      <c r="FZ59" s="94"/>
      <c r="GA59" s="95"/>
      <c r="GB59" s="17"/>
      <c r="GC59" s="17"/>
      <c r="GD59" s="17"/>
      <c r="GE59" s="20"/>
      <c r="GF59" s="92"/>
      <c r="GG59" s="93"/>
      <c r="GH59" s="92"/>
      <c r="GI59" s="94"/>
      <c r="GJ59" s="95"/>
      <c r="GK59" s="17"/>
      <c r="GL59" s="17"/>
      <c r="GM59" s="17"/>
      <c r="GN59" s="20"/>
      <c r="GO59" s="92"/>
      <c r="GP59" s="93"/>
      <c r="GQ59" s="92"/>
      <c r="GR59" s="94"/>
      <c r="GS59" s="95"/>
      <c r="GT59" s="97"/>
      <c r="GU59" s="98"/>
      <c r="GV59" s="130"/>
      <c r="GW59" s="141"/>
      <c r="GX59" s="141"/>
      <c r="GY59" s="85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407"/>
      <c r="L60" s="70"/>
      <c r="M60" s="71"/>
      <c r="N60" s="56"/>
      <c r="O60" s="72"/>
      <c r="P60" s="113">
        <f t="shared" si="0"/>
        <v>0</v>
      </c>
      <c r="Q60" s="117"/>
      <c r="R60" s="117"/>
      <c r="S60" s="117"/>
      <c r="T60" s="39">
        <f t="shared" si="1"/>
        <v>0</v>
      </c>
      <c r="U60" s="138"/>
      <c r="V60" s="112"/>
      <c r="W60" s="121"/>
      <c r="X60" s="17"/>
      <c r="Y60" s="20"/>
      <c r="Z60" s="92"/>
      <c r="AA60" s="93"/>
      <c r="AB60" s="92"/>
      <c r="AC60" s="94"/>
      <c r="AD60" s="95"/>
      <c r="AE60" s="17"/>
      <c r="AF60" s="17"/>
      <c r="AG60" s="17"/>
      <c r="AH60" s="20"/>
      <c r="AI60" s="92"/>
      <c r="AJ60" s="93"/>
      <c r="AK60" s="92"/>
      <c r="AL60" s="94"/>
      <c r="AM60" s="95"/>
      <c r="AN60" s="17"/>
      <c r="AO60" s="17"/>
      <c r="AP60" s="17"/>
      <c r="AQ60" s="20"/>
      <c r="AR60" s="92"/>
      <c r="AS60" s="93"/>
      <c r="AT60" s="92"/>
      <c r="AU60" s="94"/>
      <c r="AV60" s="95"/>
      <c r="AW60" s="17"/>
      <c r="AX60" s="17"/>
      <c r="AY60" s="17"/>
      <c r="AZ60" s="20"/>
      <c r="BA60" s="92"/>
      <c r="BB60" s="93"/>
      <c r="BC60" s="92"/>
      <c r="BD60" s="94"/>
      <c r="BE60" s="95"/>
      <c r="BF60" s="17"/>
      <c r="BG60" s="17"/>
      <c r="BH60" s="17"/>
      <c r="BI60" s="20"/>
      <c r="BJ60" s="92"/>
      <c r="BK60" s="93"/>
      <c r="BL60" s="92"/>
      <c r="BM60" s="94"/>
      <c r="BN60" s="95"/>
      <c r="BO60" s="17"/>
      <c r="BP60" s="17"/>
      <c r="BQ60" s="17"/>
      <c r="BR60" s="20"/>
      <c r="BS60" s="92"/>
      <c r="BT60" s="93"/>
      <c r="BU60" s="92"/>
      <c r="BV60" s="94"/>
      <c r="BW60" s="95"/>
      <c r="BX60" s="17"/>
      <c r="BY60" s="17"/>
      <c r="BZ60" s="17"/>
      <c r="CA60" s="20"/>
      <c r="CB60" s="92"/>
      <c r="CC60" s="93"/>
      <c r="CD60" s="92"/>
      <c r="CE60" s="94"/>
      <c r="CF60" s="95"/>
      <c r="CG60" s="17"/>
      <c r="CH60" s="17"/>
      <c r="CI60" s="17"/>
      <c r="CJ60" s="20"/>
      <c r="CK60" s="92"/>
      <c r="CL60" s="93"/>
      <c r="CM60" s="92"/>
      <c r="CN60" s="94"/>
      <c r="CO60" s="95"/>
      <c r="CP60" s="17"/>
      <c r="CQ60" s="17"/>
      <c r="CR60" s="17"/>
      <c r="CS60" s="20"/>
      <c r="CT60" s="92"/>
      <c r="CU60" s="93"/>
      <c r="CV60" s="92"/>
      <c r="CW60" s="94"/>
      <c r="CX60" s="95"/>
      <c r="CY60" s="17"/>
      <c r="CZ60" s="17"/>
      <c r="DA60" s="17"/>
      <c r="DB60" s="20"/>
      <c r="DC60" s="92"/>
      <c r="DD60" s="93"/>
      <c r="DE60" s="92"/>
      <c r="DF60" s="94"/>
      <c r="DG60" s="95"/>
      <c r="DH60" s="17"/>
      <c r="DI60" s="17"/>
      <c r="DJ60" s="17"/>
      <c r="DK60" s="20"/>
      <c r="DL60" s="92"/>
      <c r="DM60" s="93"/>
      <c r="DN60" s="92"/>
      <c r="DO60" s="94"/>
      <c r="DP60" s="95"/>
      <c r="DQ60" s="17"/>
      <c r="DR60" s="17"/>
      <c r="DS60" s="17"/>
      <c r="DT60" s="20"/>
      <c r="DU60" s="92"/>
      <c r="DV60" s="93"/>
      <c r="DW60" s="92"/>
      <c r="DX60" s="94"/>
      <c r="DY60" s="95"/>
      <c r="DZ60" s="17"/>
      <c r="EA60" s="17"/>
      <c r="EB60" s="17"/>
      <c r="EC60" s="20"/>
      <c r="ED60" s="92"/>
      <c r="EE60" s="93"/>
      <c r="EF60" s="92"/>
      <c r="EG60" s="94"/>
      <c r="EH60" s="95"/>
      <c r="EI60" s="17"/>
      <c r="EJ60" s="17"/>
      <c r="EK60" s="17"/>
      <c r="EL60" s="20"/>
      <c r="EM60" s="92"/>
      <c r="EN60" s="93"/>
      <c r="EO60" s="92"/>
      <c r="EP60" s="94"/>
      <c r="EQ60" s="95"/>
      <c r="ER60" s="17"/>
      <c r="ES60" s="17"/>
      <c r="ET60" s="17"/>
      <c r="EU60" s="20"/>
      <c r="EV60" s="92"/>
      <c r="EW60" s="93"/>
      <c r="EX60" s="92"/>
      <c r="EY60" s="94"/>
      <c r="EZ60" s="95"/>
      <c r="FA60" s="17"/>
      <c r="FB60" s="17"/>
      <c r="FC60" s="17"/>
      <c r="FD60" s="20"/>
      <c r="FE60" s="92"/>
      <c r="FF60" s="93"/>
      <c r="FG60" s="92"/>
      <c r="FH60" s="94"/>
      <c r="FI60" s="95"/>
      <c r="FJ60" s="17"/>
      <c r="FK60" s="17"/>
      <c r="FL60" s="17"/>
      <c r="FM60" s="20"/>
      <c r="FN60" s="92"/>
      <c r="FO60" s="93"/>
      <c r="FP60" s="92"/>
      <c r="FQ60" s="94"/>
      <c r="FR60" s="95"/>
      <c r="FS60" s="17"/>
      <c r="FT60" s="17"/>
      <c r="FU60" s="17"/>
      <c r="FV60" s="20"/>
      <c r="FW60" s="92"/>
      <c r="FX60" s="93"/>
      <c r="FY60" s="92"/>
      <c r="FZ60" s="94"/>
      <c r="GA60" s="95"/>
      <c r="GB60" s="17"/>
      <c r="GC60" s="17"/>
      <c r="GD60" s="17"/>
      <c r="GE60" s="20"/>
      <c r="GF60" s="92"/>
      <c r="GG60" s="93"/>
      <c r="GH60" s="92"/>
      <c r="GI60" s="94"/>
      <c r="GJ60" s="95"/>
      <c r="GK60" s="17"/>
      <c r="GL60" s="17"/>
      <c r="GM60" s="17"/>
      <c r="GN60" s="20"/>
      <c r="GO60" s="92"/>
      <c r="GP60" s="93"/>
      <c r="GQ60" s="92"/>
      <c r="GR60" s="94"/>
      <c r="GS60" s="95"/>
      <c r="GT60" s="97"/>
      <c r="GU60" s="98"/>
      <c r="GV60" s="130"/>
      <c r="GW60" s="141"/>
      <c r="GX60" s="141"/>
      <c r="GY60" s="85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76"/>
      <c r="K61" s="407"/>
      <c r="L61" s="70"/>
      <c r="M61" s="71"/>
      <c r="N61" s="142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43"/>
      <c r="V61" s="144"/>
      <c r="W61" s="145"/>
      <c r="X61" s="146"/>
      <c r="Y61" s="147"/>
      <c r="Z61" s="148"/>
      <c r="AA61" s="149"/>
      <c r="AB61" s="148"/>
      <c r="AC61" s="150"/>
      <c r="AD61" s="151"/>
      <c r="AE61" s="146"/>
      <c r="AF61" s="146"/>
      <c r="AG61" s="146"/>
      <c r="AH61" s="147"/>
      <c r="AI61" s="148"/>
      <c r="AJ61" s="149"/>
      <c r="AK61" s="148"/>
      <c r="AL61" s="150"/>
      <c r="AM61" s="151"/>
      <c r="AN61" s="146"/>
      <c r="AO61" s="146"/>
      <c r="AP61" s="146"/>
      <c r="AQ61" s="147"/>
      <c r="AR61" s="148"/>
      <c r="AS61" s="149"/>
      <c r="AT61" s="148"/>
      <c r="AU61" s="150"/>
      <c r="AV61" s="151"/>
      <c r="AW61" s="146"/>
      <c r="AX61" s="146"/>
      <c r="AY61" s="146"/>
      <c r="AZ61" s="147"/>
      <c r="BA61" s="148"/>
      <c r="BB61" s="149"/>
      <c r="BC61" s="148"/>
      <c r="BD61" s="150"/>
      <c r="BE61" s="151"/>
      <c r="BF61" s="146"/>
      <c r="BG61" s="146"/>
      <c r="BH61" s="146"/>
      <c r="BI61" s="147"/>
      <c r="BJ61" s="148"/>
      <c r="BK61" s="149"/>
      <c r="BL61" s="148"/>
      <c r="BM61" s="150"/>
      <c r="BN61" s="151"/>
      <c r="BO61" s="146"/>
      <c r="BP61" s="146"/>
      <c r="BQ61" s="146"/>
      <c r="BR61" s="147"/>
      <c r="BS61" s="148"/>
      <c r="BT61" s="149"/>
      <c r="BU61" s="148"/>
      <c r="BV61" s="150"/>
      <c r="BW61" s="151"/>
      <c r="BX61" s="146"/>
      <c r="BY61" s="146"/>
      <c r="BZ61" s="146"/>
      <c r="CA61" s="147"/>
      <c r="CB61" s="148"/>
      <c r="CC61" s="149"/>
      <c r="CD61" s="148"/>
      <c r="CE61" s="150"/>
      <c r="CF61" s="151"/>
      <c r="CG61" s="146"/>
      <c r="CH61" s="146"/>
      <c r="CI61" s="146"/>
      <c r="CJ61" s="147"/>
      <c r="CK61" s="148"/>
      <c r="CL61" s="149"/>
      <c r="CM61" s="148"/>
      <c r="CN61" s="150"/>
      <c r="CO61" s="151"/>
      <c r="CP61" s="146"/>
      <c r="CQ61" s="146"/>
      <c r="CR61" s="146"/>
      <c r="CS61" s="147"/>
      <c r="CT61" s="148"/>
      <c r="CU61" s="149"/>
      <c r="CV61" s="148"/>
      <c r="CW61" s="150"/>
      <c r="CX61" s="151"/>
      <c r="CY61" s="146"/>
      <c r="CZ61" s="146"/>
      <c r="DA61" s="146"/>
      <c r="DB61" s="147"/>
      <c r="DC61" s="148"/>
      <c r="DD61" s="149"/>
      <c r="DE61" s="148"/>
      <c r="DF61" s="150"/>
      <c r="DG61" s="151"/>
      <c r="DH61" s="146"/>
      <c r="DI61" s="146"/>
      <c r="DJ61" s="146"/>
      <c r="DK61" s="147"/>
      <c r="DL61" s="148"/>
      <c r="DM61" s="149"/>
      <c r="DN61" s="148"/>
      <c r="DO61" s="150"/>
      <c r="DP61" s="151"/>
      <c r="DQ61" s="146"/>
      <c r="DR61" s="146"/>
      <c r="DS61" s="146"/>
      <c r="DT61" s="147"/>
      <c r="DU61" s="148"/>
      <c r="DV61" s="149"/>
      <c r="DW61" s="148"/>
      <c r="DX61" s="150"/>
      <c r="DY61" s="151"/>
      <c r="DZ61" s="146"/>
      <c r="EA61" s="146"/>
      <c r="EB61" s="146"/>
      <c r="EC61" s="147"/>
      <c r="ED61" s="148"/>
      <c r="EE61" s="149"/>
      <c r="EF61" s="148"/>
      <c r="EG61" s="150"/>
      <c r="EH61" s="151"/>
      <c r="EI61" s="146"/>
      <c r="EJ61" s="146"/>
      <c r="EK61" s="146"/>
      <c r="EL61" s="147"/>
      <c r="EM61" s="148"/>
      <c r="EN61" s="149"/>
      <c r="EO61" s="148"/>
      <c r="EP61" s="150"/>
      <c r="EQ61" s="151"/>
      <c r="ER61" s="146"/>
      <c r="ES61" s="146"/>
      <c r="ET61" s="146"/>
      <c r="EU61" s="147"/>
      <c r="EV61" s="148"/>
      <c r="EW61" s="149"/>
      <c r="EX61" s="148"/>
      <c r="EY61" s="150"/>
      <c r="EZ61" s="151"/>
      <c r="FA61" s="146"/>
      <c r="FB61" s="146"/>
      <c r="FC61" s="146"/>
      <c r="FD61" s="147"/>
      <c r="FE61" s="148"/>
      <c r="FF61" s="149"/>
      <c r="FG61" s="148"/>
      <c r="FH61" s="150"/>
      <c r="FI61" s="151"/>
      <c r="FJ61" s="146"/>
      <c r="FK61" s="146"/>
      <c r="FL61" s="146"/>
      <c r="FM61" s="147"/>
      <c r="FN61" s="148"/>
      <c r="FO61" s="149"/>
      <c r="FP61" s="148"/>
      <c r="FQ61" s="150"/>
      <c r="FR61" s="151"/>
      <c r="FS61" s="146"/>
      <c r="FT61" s="146"/>
      <c r="FU61" s="146"/>
      <c r="FV61" s="147"/>
      <c r="FW61" s="148"/>
      <c r="FX61" s="149"/>
      <c r="FY61" s="148"/>
      <c r="FZ61" s="150"/>
      <c r="GA61" s="151"/>
      <c r="GB61" s="146"/>
      <c r="GC61" s="146"/>
      <c r="GD61" s="146"/>
      <c r="GE61" s="147"/>
      <c r="GF61" s="148"/>
      <c r="GG61" s="149"/>
      <c r="GH61" s="148"/>
      <c r="GI61" s="150"/>
      <c r="GJ61" s="151"/>
      <c r="GK61" s="146"/>
      <c r="GL61" s="146"/>
      <c r="GM61" s="146"/>
      <c r="GN61" s="147"/>
      <c r="GO61" s="148"/>
      <c r="GP61" s="149"/>
      <c r="GQ61" s="148"/>
      <c r="GR61" s="150"/>
      <c r="GS61" s="151"/>
      <c r="GT61" s="152"/>
      <c r="GU61" s="131"/>
      <c r="GV61" s="153"/>
      <c r="GW61" s="141"/>
      <c r="GX61" s="141"/>
      <c r="GY61" s="85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407"/>
      <c r="L62" s="70"/>
      <c r="M62" s="71"/>
      <c r="N62" s="142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43"/>
      <c r="V62" s="154"/>
      <c r="W62" s="155"/>
      <c r="X62" s="146"/>
      <c r="Y62" s="147"/>
      <c r="Z62" s="148"/>
      <c r="AA62" s="149"/>
      <c r="AB62" s="148"/>
      <c r="AC62" s="150"/>
      <c r="AD62" s="151"/>
      <c r="AE62" s="146"/>
      <c r="AF62" s="146"/>
      <c r="AG62" s="146"/>
      <c r="AH62" s="147"/>
      <c r="AI62" s="148"/>
      <c r="AJ62" s="149"/>
      <c r="AK62" s="148"/>
      <c r="AL62" s="150"/>
      <c r="AM62" s="151"/>
      <c r="AN62" s="146"/>
      <c r="AO62" s="146"/>
      <c r="AP62" s="146"/>
      <c r="AQ62" s="147"/>
      <c r="AR62" s="148"/>
      <c r="AS62" s="149"/>
      <c r="AT62" s="148"/>
      <c r="AU62" s="150"/>
      <c r="AV62" s="151"/>
      <c r="AW62" s="146"/>
      <c r="AX62" s="146"/>
      <c r="AY62" s="146"/>
      <c r="AZ62" s="147"/>
      <c r="BA62" s="148"/>
      <c r="BB62" s="149"/>
      <c r="BC62" s="148"/>
      <c r="BD62" s="150"/>
      <c r="BE62" s="151"/>
      <c r="BF62" s="146"/>
      <c r="BG62" s="146"/>
      <c r="BH62" s="146"/>
      <c r="BI62" s="147"/>
      <c r="BJ62" s="148"/>
      <c r="BK62" s="149"/>
      <c r="BL62" s="148"/>
      <c r="BM62" s="150"/>
      <c r="BN62" s="151"/>
      <c r="BO62" s="146"/>
      <c r="BP62" s="146"/>
      <c r="BQ62" s="146"/>
      <c r="BR62" s="147"/>
      <c r="BS62" s="148"/>
      <c r="BT62" s="149"/>
      <c r="BU62" s="148"/>
      <c r="BV62" s="150"/>
      <c r="BW62" s="151"/>
      <c r="BX62" s="146"/>
      <c r="BY62" s="146"/>
      <c r="BZ62" s="146"/>
      <c r="CA62" s="147"/>
      <c r="CB62" s="148"/>
      <c r="CC62" s="149"/>
      <c r="CD62" s="148"/>
      <c r="CE62" s="150"/>
      <c r="CF62" s="151"/>
      <c r="CG62" s="146"/>
      <c r="CH62" s="146"/>
      <c r="CI62" s="146"/>
      <c r="CJ62" s="147"/>
      <c r="CK62" s="148"/>
      <c r="CL62" s="149"/>
      <c r="CM62" s="148"/>
      <c r="CN62" s="150"/>
      <c r="CO62" s="151"/>
      <c r="CP62" s="146"/>
      <c r="CQ62" s="146"/>
      <c r="CR62" s="146"/>
      <c r="CS62" s="147"/>
      <c r="CT62" s="148"/>
      <c r="CU62" s="149"/>
      <c r="CV62" s="148"/>
      <c r="CW62" s="150"/>
      <c r="CX62" s="151"/>
      <c r="CY62" s="146"/>
      <c r="CZ62" s="146"/>
      <c r="DA62" s="146"/>
      <c r="DB62" s="147"/>
      <c r="DC62" s="148"/>
      <c r="DD62" s="149"/>
      <c r="DE62" s="148"/>
      <c r="DF62" s="150"/>
      <c r="DG62" s="151"/>
      <c r="DH62" s="146"/>
      <c r="DI62" s="146"/>
      <c r="DJ62" s="146"/>
      <c r="DK62" s="147"/>
      <c r="DL62" s="148"/>
      <c r="DM62" s="149"/>
      <c r="DN62" s="148"/>
      <c r="DO62" s="150"/>
      <c r="DP62" s="151"/>
      <c r="DQ62" s="146"/>
      <c r="DR62" s="146"/>
      <c r="DS62" s="146"/>
      <c r="DT62" s="147"/>
      <c r="DU62" s="148"/>
      <c r="DV62" s="149"/>
      <c r="DW62" s="148"/>
      <c r="DX62" s="150"/>
      <c r="DY62" s="151"/>
      <c r="DZ62" s="146"/>
      <c r="EA62" s="146"/>
      <c r="EB62" s="146"/>
      <c r="EC62" s="147"/>
      <c r="ED62" s="148"/>
      <c r="EE62" s="149"/>
      <c r="EF62" s="148"/>
      <c r="EG62" s="150"/>
      <c r="EH62" s="151"/>
      <c r="EI62" s="146"/>
      <c r="EJ62" s="146"/>
      <c r="EK62" s="146"/>
      <c r="EL62" s="147"/>
      <c r="EM62" s="148"/>
      <c r="EN62" s="149"/>
      <c r="EO62" s="148"/>
      <c r="EP62" s="150"/>
      <c r="EQ62" s="151"/>
      <c r="ER62" s="146"/>
      <c r="ES62" s="146"/>
      <c r="ET62" s="146"/>
      <c r="EU62" s="147"/>
      <c r="EV62" s="148"/>
      <c r="EW62" s="149"/>
      <c r="EX62" s="148"/>
      <c r="EY62" s="150"/>
      <c r="EZ62" s="151"/>
      <c r="FA62" s="146"/>
      <c r="FB62" s="146"/>
      <c r="FC62" s="146"/>
      <c r="FD62" s="147"/>
      <c r="FE62" s="148"/>
      <c r="FF62" s="149"/>
      <c r="FG62" s="148"/>
      <c r="FH62" s="150"/>
      <c r="FI62" s="151"/>
      <c r="FJ62" s="146"/>
      <c r="FK62" s="146"/>
      <c r="FL62" s="146"/>
      <c r="FM62" s="147"/>
      <c r="FN62" s="148"/>
      <c r="FO62" s="149"/>
      <c r="FP62" s="148"/>
      <c r="FQ62" s="150"/>
      <c r="FR62" s="151"/>
      <c r="FS62" s="146"/>
      <c r="FT62" s="146"/>
      <c r="FU62" s="146"/>
      <c r="FV62" s="147"/>
      <c r="FW62" s="148"/>
      <c r="FX62" s="149"/>
      <c r="FY62" s="148"/>
      <c r="FZ62" s="150"/>
      <c r="GA62" s="151"/>
      <c r="GB62" s="146"/>
      <c r="GC62" s="146"/>
      <c r="GD62" s="146"/>
      <c r="GE62" s="147"/>
      <c r="GF62" s="148"/>
      <c r="GG62" s="149"/>
      <c r="GH62" s="148"/>
      <c r="GI62" s="150"/>
      <c r="GJ62" s="151"/>
      <c r="GK62" s="146"/>
      <c r="GL62" s="146"/>
      <c r="GM62" s="146"/>
      <c r="GN62" s="147"/>
      <c r="GO62" s="148"/>
      <c r="GP62" s="149"/>
      <c r="GQ62" s="148"/>
      <c r="GR62" s="150"/>
      <c r="GS62" s="151"/>
      <c r="GT62" s="154"/>
      <c r="GU62" s="156"/>
      <c r="GV62" s="153"/>
      <c r="GW62" s="141"/>
      <c r="GX62" s="141"/>
      <c r="GY62" s="85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68"/>
      <c r="K63" s="407"/>
      <c r="L63" s="70"/>
      <c r="M63" s="71"/>
      <c r="N63" s="142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43"/>
      <c r="V63" s="154"/>
      <c r="W63" s="157"/>
      <c r="X63" s="146"/>
      <c r="Y63" s="147"/>
      <c r="Z63" s="148"/>
      <c r="AA63" s="149"/>
      <c r="AB63" s="148"/>
      <c r="AC63" s="150"/>
      <c r="AD63" s="151"/>
      <c r="AE63" s="146"/>
      <c r="AF63" s="146"/>
      <c r="AG63" s="146"/>
      <c r="AH63" s="147"/>
      <c r="AI63" s="148"/>
      <c r="AJ63" s="149"/>
      <c r="AK63" s="148"/>
      <c r="AL63" s="150"/>
      <c r="AM63" s="151"/>
      <c r="AN63" s="146"/>
      <c r="AO63" s="146"/>
      <c r="AP63" s="146"/>
      <c r="AQ63" s="147"/>
      <c r="AR63" s="148"/>
      <c r="AS63" s="149"/>
      <c r="AT63" s="148"/>
      <c r="AU63" s="150"/>
      <c r="AV63" s="151"/>
      <c r="AW63" s="146"/>
      <c r="AX63" s="146"/>
      <c r="AY63" s="146"/>
      <c r="AZ63" s="147"/>
      <c r="BA63" s="148"/>
      <c r="BB63" s="149"/>
      <c r="BC63" s="148"/>
      <c r="BD63" s="150"/>
      <c r="BE63" s="151"/>
      <c r="BF63" s="146"/>
      <c r="BG63" s="146"/>
      <c r="BH63" s="146"/>
      <c r="BI63" s="147"/>
      <c r="BJ63" s="148"/>
      <c r="BK63" s="149"/>
      <c r="BL63" s="148"/>
      <c r="BM63" s="150"/>
      <c r="BN63" s="151"/>
      <c r="BO63" s="146"/>
      <c r="BP63" s="146"/>
      <c r="BQ63" s="146"/>
      <c r="BR63" s="147"/>
      <c r="BS63" s="148"/>
      <c r="BT63" s="149"/>
      <c r="BU63" s="148"/>
      <c r="BV63" s="150"/>
      <c r="BW63" s="151"/>
      <c r="BX63" s="146"/>
      <c r="BY63" s="146"/>
      <c r="BZ63" s="146"/>
      <c r="CA63" s="147"/>
      <c r="CB63" s="148"/>
      <c r="CC63" s="149"/>
      <c r="CD63" s="148"/>
      <c r="CE63" s="150"/>
      <c r="CF63" s="151"/>
      <c r="CG63" s="146"/>
      <c r="CH63" s="146"/>
      <c r="CI63" s="146"/>
      <c r="CJ63" s="147"/>
      <c r="CK63" s="148"/>
      <c r="CL63" s="149"/>
      <c r="CM63" s="148"/>
      <c r="CN63" s="150"/>
      <c r="CO63" s="151"/>
      <c r="CP63" s="146"/>
      <c r="CQ63" s="146"/>
      <c r="CR63" s="146"/>
      <c r="CS63" s="147"/>
      <c r="CT63" s="148"/>
      <c r="CU63" s="149"/>
      <c r="CV63" s="148"/>
      <c r="CW63" s="150"/>
      <c r="CX63" s="151"/>
      <c r="CY63" s="146"/>
      <c r="CZ63" s="146"/>
      <c r="DA63" s="146"/>
      <c r="DB63" s="147"/>
      <c r="DC63" s="148"/>
      <c r="DD63" s="149"/>
      <c r="DE63" s="148"/>
      <c r="DF63" s="150"/>
      <c r="DG63" s="151"/>
      <c r="DH63" s="146"/>
      <c r="DI63" s="146"/>
      <c r="DJ63" s="146"/>
      <c r="DK63" s="147"/>
      <c r="DL63" s="148"/>
      <c r="DM63" s="149"/>
      <c r="DN63" s="148"/>
      <c r="DO63" s="150"/>
      <c r="DP63" s="151"/>
      <c r="DQ63" s="146"/>
      <c r="DR63" s="146"/>
      <c r="DS63" s="146"/>
      <c r="DT63" s="147"/>
      <c r="DU63" s="148"/>
      <c r="DV63" s="149"/>
      <c r="DW63" s="148"/>
      <c r="DX63" s="150"/>
      <c r="DY63" s="151"/>
      <c r="DZ63" s="146"/>
      <c r="EA63" s="146"/>
      <c r="EB63" s="146"/>
      <c r="EC63" s="147"/>
      <c r="ED63" s="148"/>
      <c r="EE63" s="149"/>
      <c r="EF63" s="148"/>
      <c r="EG63" s="150"/>
      <c r="EH63" s="151"/>
      <c r="EI63" s="146"/>
      <c r="EJ63" s="146"/>
      <c r="EK63" s="146"/>
      <c r="EL63" s="147"/>
      <c r="EM63" s="148"/>
      <c r="EN63" s="149"/>
      <c r="EO63" s="148"/>
      <c r="EP63" s="150"/>
      <c r="EQ63" s="151"/>
      <c r="ER63" s="146"/>
      <c r="ES63" s="146"/>
      <c r="ET63" s="146"/>
      <c r="EU63" s="147"/>
      <c r="EV63" s="148"/>
      <c r="EW63" s="149"/>
      <c r="EX63" s="148"/>
      <c r="EY63" s="150"/>
      <c r="EZ63" s="151"/>
      <c r="FA63" s="146"/>
      <c r="FB63" s="146"/>
      <c r="FC63" s="146"/>
      <c r="FD63" s="147"/>
      <c r="FE63" s="148"/>
      <c r="FF63" s="149"/>
      <c r="FG63" s="148"/>
      <c r="FH63" s="150"/>
      <c r="FI63" s="151"/>
      <c r="FJ63" s="146"/>
      <c r="FK63" s="146"/>
      <c r="FL63" s="146"/>
      <c r="FM63" s="147"/>
      <c r="FN63" s="148"/>
      <c r="FO63" s="149"/>
      <c r="FP63" s="148"/>
      <c r="FQ63" s="150"/>
      <c r="FR63" s="151"/>
      <c r="FS63" s="146"/>
      <c r="FT63" s="146"/>
      <c r="FU63" s="146"/>
      <c r="FV63" s="147"/>
      <c r="FW63" s="148"/>
      <c r="FX63" s="149"/>
      <c r="FY63" s="148"/>
      <c r="FZ63" s="150"/>
      <c r="GA63" s="151"/>
      <c r="GB63" s="146"/>
      <c r="GC63" s="146"/>
      <c r="GD63" s="146"/>
      <c r="GE63" s="147"/>
      <c r="GF63" s="148"/>
      <c r="GG63" s="149"/>
      <c r="GH63" s="148"/>
      <c r="GI63" s="150"/>
      <c r="GJ63" s="151"/>
      <c r="GK63" s="146"/>
      <c r="GL63" s="146"/>
      <c r="GM63" s="146"/>
      <c r="GN63" s="147"/>
      <c r="GO63" s="148"/>
      <c r="GP63" s="149"/>
      <c r="GQ63" s="148"/>
      <c r="GR63" s="150"/>
      <c r="GS63" s="151"/>
      <c r="GT63" s="154"/>
      <c r="GU63" s="156"/>
      <c r="GV63" s="153"/>
      <c r="GW63" s="141"/>
      <c r="GX63" s="141"/>
      <c r="GY63" s="85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407"/>
      <c r="L64" s="70"/>
      <c r="M64" s="71"/>
      <c r="N64" s="142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43"/>
      <c r="V64" s="154"/>
      <c r="W64" s="155"/>
      <c r="X64" s="146"/>
      <c r="Y64" s="147"/>
      <c r="Z64" s="148"/>
      <c r="AA64" s="149"/>
      <c r="AB64" s="148"/>
      <c r="AC64" s="150"/>
      <c r="AD64" s="151"/>
      <c r="AE64" s="146"/>
      <c r="AF64" s="146"/>
      <c r="AG64" s="146"/>
      <c r="AH64" s="147"/>
      <c r="AI64" s="148"/>
      <c r="AJ64" s="149"/>
      <c r="AK64" s="148"/>
      <c r="AL64" s="150"/>
      <c r="AM64" s="151"/>
      <c r="AN64" s="146"/>
      <c r="AO64" s="146"/>
      <c r="AP64" s="146"/>
      <c r="AQ64" s="147"/>
      <c r="AR64" s="148"/>
      <c r="AS64" s="149"/>
      <c r="AT64" s="148"/>
      <c r="AU64" s="150"/>
      <c r="AV64" s="151"/>
      <c r="AW64" s="146"/>
      <c r="AX64" s="146"/>
      <c r="AY64" s="146"/>
      <c r="AZ64" s="147"/>
      <c r="BA64" s="148"/>
      <c r="BB64" s="149"/>
      <c r="BC64" s="148"/>
      <c r="BD64" s="150"/>
      <c r="BE64" s="151"/>
      <c r="BF64" s="146"/>
      <c r="BG64" s="146"/>
      <c r="BH64" s="146"/>
      <c r="BI64" s="147"/>
      <c r="BJ64" s="148"/>
      <c r="BK64" s="149"/>
      <c r="BL64" s="148"/>
      <c r="BM64" s="150"/>
      <c r="BN64" s="151"/>
      <c r="BO64" s="146"/>
      <c r="BP64" s="146"/>
      <c r="BQ64" s="146"/>
      <c r="BR64" s="147"/>
      <c r="BS64" s="148"/>
      <c r="BT64" s="149"/>
      <c r="BU64" s="148"/>
      <c r="BV64" s="150"/>
      <c r="BW64" s="151"/>
      <c r="BX64" s="146"/>
      <c r="BY64" s="146"/>
      <c r="BZ64" s="146"/>
      <c r="CA64" s="147"/>
      <c r="CB64" s="148"/>
      <c r="CC64" s="149"/>
      <c r="CD64" s="148"/>
      <c r="CE64" s="150"/>
      <c r="CF64" s="151"/>
      <c r="CG64" s="146"/>
      <c r="CH64" s="146"/>
      <c r="CI64" s="146"/>
      <c r="CJ64" s="147"/>
      <c r="CK64" s="148"/>
      <c r="CL64" s="149"/>
      <c r="CM64" s="148"/>
      <c r="CN64" s="150"/>
      <c r="CO64" s="151"/>
      <c r="CP64" s="146"/>
      <c r="CQ64" s="146"/>
      <c r="CR64" s="146"/>
      <c r="CS64" s="147"/>
      <c r="CT64" s="148"/>
      <c r="CU64" s="149"/>
      <c r="CV64" s="148"/>
      <c r="CW64" s="150"/>
      <c r="CX64" s="151"/>
      <c r="CY64" s="146"/>
      <c r="CZ64" s="146"/>
      <c r="DA64" s="146"/>
      <c r="DB64" s="147"/>
      <c r="DC64" s="148"/>
      <c r="DD64" s="149"/>
      <c r="DE64" s="148"/>
      <c r="DF64" s="150"/>
      <c r="DG64" s="151"/>
      <c r="DH64" s="146"/>
      <c r="DI64" s="146"/>
      <c r="DJ64" s="146"/>
      <c r="DK64" s="147"/>
      <c r="DL64" s="148"/>
      <c r="DM64" s="149"/>
      <c r="DN64" s="148"/>
      <c r="DO64" s="150"/>
      <c r="DP64" s="151"/>
      <c r="DQ64" s="146"/>
      <c r="DR64" s="146"/>
      <c r="DS64" s="146"/>
      <c r="DT64" s="147"/>
      <c r="DU64" s="148"/>
      <c r="DV64" s="149"/>
      <c r="DW64" s="148"/>
      <c r="DX64" s="150"/>
      <c r="DY64" s="151"/>
      <c r="DZ64" s="146"/>
      <c r="EA64" s="146"/>
      <c r="EB64" s="146"/>
      <c r="EC64" s="147"/>
      <c r="ED64" s="148"/>
      <c r="EE64" s="149"/>
      <c r="EF64" s="148"/>
      <c r="EG64" s="150"/>
      <c r="EH64" s="151"/>
      <c r="EI64" s="146"/>
      <c r="EJ64" s="146"/>
      <c r="EK64" s="146"/>
      <c r="EL64" s="147"/>
      <c r="EM64" s="148"/>
      <c r="EN64" s="149"/>
      <c r="EO64" s="148"/>
      <c r="EP64" s="150"/>
      <c r="EQ64" s="151"/>
      <c r="ER64" s="146"/>
      <c r="ES64" s="146"/>
      <c r="ET64" s="146"/>
      <c r="EU64" s="147"/>
      <c r="EV64" s="148"/>
      <c r="EW64" s="149"/>
      <c r="EX64" s="148"/>
      <c r="EY64" s="150"/>
      <c r="EZ64" s="151"/>
      <c r="FA64" s="146"/>
      <c r="FB64" s="146"/>
      <c r="FC64" s="146"/>
      <c r="FD64" s="147"/>
      <c r="FE64" s="148"/>
      <c r="FF64" s="149"/>
      <c r="FG64" s="148"/>
      <c r="FH64" s="150"/>
      <c r="FI64" s="151"/>
      <c r="FJ64" s="146"/>
      <c r="FK64" s="146"/>
      <c r="FL64" s="146"/>
      <c r="FM64" s="147"/>
      <c r="FN64" s="148"/>
      <c r="FO64" s="149"/>
      <c r="FP64" s="148"/>
      <c r="FQ64" s="150"/>
      <c r="FR64" s="151"/>
      <c r="FS64" s="146"/>
      <c r="FT64" s="146"/>
      <c r="FU64" s="146"/>
      <c r="FV64" s="147"/>
      <c r="FW64" s="148"/>
      <c r="FX64" s="149"/>
      <c r="FY64" s="148"/>
      <c r="FZ64" s="150"/>
      <c r="GA64" s="151"/>
      <c r="GB64" s="146"/>
      <c r="GC64" s="146"/>
      <c r="GD64" s="146"/>
      <c r="GE64" s="147"/>
      <c r="GF64" s="148"/>
      <c r="GG64" s="149"/>
      <c r="GH64" s="148"/>
      <c r="GI64" s="150"/>
      <c r="GJ64" s="151"/>
      <c r="GK64" s="146"/>
      <c r="GL64" s="146"/>
      <c r="GM64" s="146"/>
      <c r="GN64" s="147"/>
      <c r="GO64" s="148"/>
      <c r="GP64" s="149"/>
      <c r="GQ64" s="148"/>
      <c r="GR64" s="150"/>
      <c r="GS64" s="151"/>
      <c r="GT64" s="154"/>
      <c r="GU64" s="156"/>
      <c r="GV64" s="153"/>
      <c r="GW64" s="141"/>
      <c r="GX64" s="141"/>
      <c r="GY64" s="85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407"/>
      <c r="L65" s="70"/>
      <c r="M65" s="71"/>
      <c r="N65" s="142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43"/>
      <c r="V65" s="154"/>
      <c r="W65" s="155"/>
      <c r="X65" s="158"/>
      <c r="Y65" s="159"/>
      <c r="Z65" s="160"/>
      <c r="AA65" s="161"/>
      <c r="AB65" s="160"/>
      <c r="AC65" s="162"/>
      <c r="AD65" s="163"/>
      <c r="AE65" s="158"/>
      <c r="AF65" s="158"/>
      <c r="AG65" s="158"/>
      <c r="AH65" s="159"/>
      <c r="AI65" s="160"/>
      <c r="AJ65" s="161"/>
      <c r="AK65" s="160"/>
      <c r="AL65" s="162"/>
      <c r="AM65" s="163"/>
      <c r="AN65" s="158"/>
      <c r="AO65" s="158"/>
      <c r="AP65" s="158"/>
      <c r="AQ65" s="159"/>
      <c r="AR65" s="160"/>
      <c r="AS65" s="161"/>
      <c r="AT65" s="160"/>
      <c r="AU65" s="162"/>
      <c r="AV65" s="163"/>
      <c r="AW65" s="158"/>
      <c r="AX65" s="158"/>
      <c r="AY65" s="158"/>
      <c r="AZ65" s="159"/>
      <c r="BA65" s="160"/>
      <c r="BB65" s="161"/>
      <c r="BC65" s="160"/>
      <c r="BD65" s="162"/>
      <c r="BE65" s="163"/>
      <c r="BF65" s="158"/>
      <c r="BG65" s="158"/>
      <c r="BH65" s="158"/>
      <c r="BI65" s="159"/>
      <c r="BJ65" s="160"/>
      <c r="BK65" s="161"/>
      <c r="BL65" s="160"/>
      <c r="BM65" s="162"/>
      <c r="BN65" s="163"/>
      <c r="BO65" s="158"/>
      <c r="BP65" s="158"/>
      <c r="BQ65" s="158"/>
      <c r="BR65" s="159"/>
      <c r="BS65" s="160"/>
      <c r="BT65" s="161"/>
      <c r="BU65" s="160"/>
      <c r="BV65" s="162"/>
      <c r="BW65" s="163"/>
      <c r="BX65" s="158"/>
      <c r="BY65" s="158"/>
      <c r="BZ65" s="158"/>
      <c r="CA65" s="159"/>
      <c r="CB65" s="160"/>
      <c r="CC65" s="161"/>
      <c r="CD65" s="160"/>
      <c r="CE65" s="162"/>
      <c r="CF65" s="163"/>
      <c r="CG65" s="158"/>
      <c r="CH65" s="158"/>
      <c r="CI65" s="158"/>
      <c r="CJ65" s="159"/>
      <c r="CK65" s="160"/>
      <c r="CL65" s="161"/>
      <c r="CM65" s="160"/>
      <c r="CN65" s="162"/>
      <c r="CO65" s="163"/>
      <c r="CP65" s="158"/>
      <c r="CQ65" s="158"/>
      <c r="CR65" s="158"/>
      <c r="CS65" s="159"/>
      <c r="CT65" s="160"/>
      <c r="CU65" s="161"/>
      <c r="CV65" s="160"/>
      <c r="CW65" s="162"/>
      <c r="CX65" s="163"/>
      <c r="CY65" s="158"/>
      <c r="CZ65" s="158"/>
      <c r="DA65" s="158"/>
      <c r="DB65" s="159"/>
      <c r="DC65" s="160"/>
      <c r="DD65" s="161"/>
      <c r="DE65" s="160"/>
      <c r="DF65" s="162"/>
      <c r="DG65" s="163"/>
      <c r="DH65" s="158"/>
      <c r="DI65" s="158"/>
      <c r="DJ65" s="158"/>
      <c r="DK65" s="159"/>
      <c r="DL65" s="160"/>
      <c r="DM65" s="161"/>
      <c r="DN65" s="160"/>
      <c r="DO65" s="162"/>
      <c r="DP65" s="163"/>
      <c r="DQ65" s="158"/>
      <c r="DR65" s="158"/>
      <c r="DS65" s="158"/>
      <c r="DT65" s="159"/>
      <c r="DU65" s="160"/>
      <c r="DV65" s="161"/>
      <c r="DW65" s="160"/>
      <c r="DX65" s="162"/>
      <c r="DY65" s="163"/>
      <c r="DZ65" s="158"/>
      <c r="EA65" s="158"/>
      <c r="EB65" s="158"/>
      <c r="EC65" s="159"/>
      <c r="ED65" s="160"/>
      <c r="EE65" s="161"/>
      <c r="EF65" s="160"/>
      <c r="EG65" s="162"/>
      <c r="EH65" s="163"/>
      <c r="EI65" s="158"/>
      <c r="EJ65" s="158"/>
      <c r="EK65" s="158"/>
      <c r="EL65" s="159"/>
      <c r="EM65" s="160"/>
      <c r="EN65" s="161"/>
      <c r="EO65" s="160"/>
      <c r="EP65" s="162"/>
      <c r="EQ65" s="163"/>
      <c r="ER65" s="158"/>
      <c r="ES65" s="158"/>
      <c r="ET65" s="158"/>
      <c r="EU65" s="159"/>
      <c r="EV65" s="160"/>
      <c r="EW65" s="161"/>
      <c r="EX65" s="160"/>
      <c r="EY65" s="162"/>
      <c r="EZ65" s="163"/>
      <c r="FA65" s="158"/>
      <c r="FB65" s="158"/>
      <c r="FC65" s="158"/>
      <c r="FD65" s="159"/>
      <c r="FE65" s="160"/>
      <c r="FF65" s="161"/>
      <c r="FG65" s="160"/>
      <c r="FH65" s="162"/>
      <c r="FI65" s="163"/>
      <c r="FJ65" s="158"/>
      <c r="FK65" s="158"/>
      <c r="FL65" s="158"/>
      <c r="FM65" s="159"/>
      <c r="FN65" s="160"/>
      <c r="FO65" s="161"/>
      <c r="FP65" s="160"/>
      <c r="FQ65" s="162"/>
      <c r="FR65" s="163"/>
      <c r="FS65" s="158"/>
      <c r="FT65" s="158"/>
      <c r="FU65" s="158"/>
      <c r="FV65" s="159"/>
      <c r="FW65" s="160"/>
      <c r="FX65" s="161"/>
      <c r="FY65" s="160"/>
      <c r="FZ65" s="162"/>
      <c r="GA65" s="163"/>
      <c r="GB65" s="158"/>
      <c r="GC65" s="158"/>
      <c r="GD65" s="158"/>
      <c r="GE65" s="159"/>
      <c r="GF65" s="160"/>
      <c r="GG65" s="161"/>
      <c r="GH65" s="160"/>
      <c r="GI65" s="162"/>
      <c r="GJ65" s="163"/>
      <c r="GK65" s="158"/>
      <c r="GL65" s="158"/>
      <c r="GM65" s="158"/>
      <c r="GN65" s="159"/>
      <c r="GO65" s="160"/>
      <c r="GP65" s="161"/>
      <c r="GQ65" s="160"/>
      <c r="GR65" s="162"/>
      <c r="GS65" s="163"/>
      <c r="GT65" s="154"/>
      <c r="GU65" s="156"/>
      <c r="GV65" s="153"/>
      <c r="GW65" s="141"/>
      <c r="GX65" s="141"/>
      <c r="GY65" s="85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407"/>
      <c r="L66" s="70"/>
      <c r="M66" s="71"/>
      <c r="N66" s="164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43"/>
      <c r="V66" s="154"/>
      <c r="W66" s="165"/>
      <c r="X66" s="158"/>
      <c r="Y66" s="159"/>
      <c r="Z66" s="160"/>
      <c r="AA66" s="161"/>
      <c r="AB66" s="160"/>
      <c r="AC66" s="162"/>
      <c r="AD66" s="163"/>
      <c r="AE66" s="158"/>
      <c r="AF66" s="158"/>
      <c r="AG66" s="158"/>
      <c r="AH66" s="159"/>
      <c r="AI66" s="160"/>
      <c r="AJ66" s="161"/>
      <c r="AK66" s="160"/>
      <c r="AL66" s="162"/>
      <c r="AM66" s="163"/>
      <c r="AN66" s="158"/>
      <c r="AO66" s="158"/>
      <c r="AP66" s="158"/>
      <c r="AQ66" s="159"/>
      <c r="AR66" s="160"/>
      <c r="AS66" s="161"/>
      <c r="AT66" s="160"/>
      <c r="AU66" s="162"/>
      <c r="AV66" s="163"/>
      <c r="AW66" s="158"/>
      <c r="AX66" s="158"/>
      <c r="AY66" s="158"/>
      <c r="AZ66" s="159"/>
      <c r="BA66" s="160"/>
      <c r="BB66" s="161"/>
      <c r="BC66" s="160"/>
      <c r="BD66" s="162"/>
      <c r="BE66" s="163"/>
      <c r="BF66" s="158"/>
      <c r="BG66" s="158"/>
      <c r="BH66" s="158"/>
      <c r="BI66" s="159"/>
      <c r="BJ66" s="160"/>
      <c r="BK66" s="161"/>
      <c r="BL66" s="160"/>
      <c r="BM66" s="162"/>
      <c r="BN66" s="163"/>
      <c r="BO66" s="158"/>
      <c r="BP66" s="158"/>
      <c r="BQ66" s="158"/>
      <c r="BR66" s="159"/>
      <c r="BS66" s="160"/>
      <c r="BT66" s="161"/>
      <c r="BU66" s="160"/>
      <c r="BV66" s="162"/>
      <c r="BW66" s="163"/>
      <c r="BX66" s="158"/>
      <c r="BY66" s="158"/>
      <c r="BZ66" s="158"/>
      <c r="CA66" s="159"/>
      <c r="CB66" s="160"/>
      <c r="CC66" s="161"/>
      <c r="CD66" s="160"/>
      <c r="CE66" s="162"/>
      <c r="CF66" s="163"/>
      <c r="CG66" s="158"/>
      <c r="CH66" s="158"/>
      <c r="CI66" s="158"/>
      <c r="CJ66" s="159"/>
      <c r="CK66" s="160"/>
      <c r="CL66" s="161"/>
      <c r="CM66" s="160"/>
      <c r="CN66" s="162"/>
      <c r="CO66" s="163"/>
      <c r="CP66" s="158"/>
      <c r="CQ66" s="158"/>
      <c r="CR66" s="158"/>
      <c r="CS66" s="159"/>
      <c r="CT66" s="160"/>
      <c r="CU66" s="161"/>
      <c r="CV66" s="160"/>
      <c r="CW66" s="162"/>
      <c r="CX66" s="163"/>
      <c r="CY66" s="158"/>
      <c r="CZ66" s="158"/>
      <c r="DA66" s="158"/>
      <c r="DB66" s="159"/>
      <c r="DC66" s="160"/>
      <c r="DD66" s="161"/>
      <c r="DE66" s="160"/>
      <c r="DF66" s="162"/>
      <c r="DG66" s="163"/>
      <c r="DH66" s="158"/>
      <c r="DI66" s="158"/>
      <c r="DJ66" s="158"/>
      <c r="DK66" s="159"/>
      <c r="DL66" s="160"/>
      <c r="DM66" s="161"/>
      <c r="DN66" s="160"/>
      <c r="DO66" s="162"/>
      <c r="DP66" s="163"/>
      <c r="DQ66" s="158"/>
      <c r="DR66" s="158"/>
      <c r="DS66" s="158"/>
      <c r="DT66" s="159"/>
      <c r="DU66" s="160"/>
      <c r="DV66" s="161"/>
      <c r="DW66" s="160"/>
      <c r="DX66" s="162"/>
      <c r="DY66" s="163"/>
      <c r="DZ66" s="158"/>
      <c r="EA66" s="158"/>
      <c r="EB66" s="158"/>
      <c r="EC66" s="159"/>
      <c r="ED66" s="160"/>
      <c r="EE66" s="161"/>
      <c r="EF66" s="160"/>
      <c r="EG66" s="162"/>
      <c r="EH66" s="163"/>
      <c r="EI66" s="158"/>
      <c r="EJ66" s="158"/>
      <c r="EK66" s="158"/>
      <c r="EL66" s="159"/>
      <c r="EM66" s="160"/>
      <c r="EN66" s="161"/>
      <c r="EO66" s="160"/>
      <c r="EP66" s="162"/>
      <c r="EQ66" s="163"/>
      <c r="ER66" s="158"/>
      <c r="ES66" s="158"/>
      <c r="ET66" s="158"/>
      <c r="EU66" s="159"/>
      <c r="EV66" s="160"/>
      <c r="EW66" s="161"/>
      <c r="EX66" s="160"/>
      <c r="EY66" s="162"/>
      <c r="EZ66" s="163"/>
      <c r="FA66" s="158"/>
      <c r="FB66" s="158"/>
      <c r="FC66" s="158"/>
      <c r="FD66" s="159"/>
      <c r="FE66" s="160"/>
      <c r="FF66" s="161"/>
      <c r="FG66" s="160"/>
      <c r="FH66" s="162"/>
      <c r="FI66" s="163"/>
      <c r="FJ66" s="158"/>
      <c r="FK66" s="158"/>
      <c r="FL66" s="158"/>
      <c r="FM66" s="159"/>
      <c r="FN66" s="160"/>
      <c r="FO66" s="161"/>
      <c r="FP66" s="160"/>
      <c r="FQ66" s="162"/>
      <c r="FR66" s="163"/>
      <c r="FS66" s="158"/>
      <c r="FT66" s="158"/>
      <c r="FU66" s="158"/>
      <c r="FV66" s="159"/>
      <c r="FW66" s="160"/>
      <c r="FX66" s="161"/>
      <c r="FY66" s="160"/>
      <c r="FZ66" s="162"/>
      <c r="GA66" s="163"/>
      <c r="GB66" s="158"/>
      <c r="GC66" s="158"/>
      <c r="GD66" s="158"/>
      <c r="GE66" s="159"/>
      <c r="GF66" s="160"/>
      <c r="GG66" s="161"/>
      <c r="GH66" s="160"/>
      <c r="GI66" s="162"/>
      <c r="GJ66" s="163"/>
      <c r="GK66" s="158"/>
      <c r="GL66" s="158"/>
      <c r="GM66" s="158"/>
      <c r="GN66" s="159"/>
      <c r="GO66" s="160"/>
      <c r="GP66" s="161"/>
      <c r="GQ66" s="160"/>
      <c r="GR66" s="162"/>
      <c r="GS66" s="163"/>
      <c r="GT66" s="154"/>
      <c r="GU66" s="156"/>
      <c r="GV66" s="153"/>
      <c r="GW66" s="66"/>
      <c r="GX66" s="66"/>
      <c r="GY66" s="85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407"/>
      <c r="L67" s="70"/>
      <c r="M67" s="71"/>
      <c r="N67" s="56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38"/>
      <c r="V67" s="166"/>
      <c r="W67" s="86"/>
      <c r="X67" s="68"/>
      <c r="Y67" s="167"/>
      <c r="Z67" s="168"/>
      <c r="AA67" s="169"/>
      <c r="AB67" s="168"/>
      <c r="AC67" s="170"/>
      <c r="AD67" s="171"/>
      <c r="AE67" s="68"/>
      <c r="AF67" s="68"/>
      <c r="AG67" s="68"/>
      <c r="AH67" s="167"/>
      <c r="AI67" s="168"/>
      <c r="AJ67" s="169"/>
      <c r="AK67" s="168"/>
      <c r="AL67" s="170"/>
      <c r="AM67" s="171"/>
      <c r="AN67" s="68"/>
      <c r="AO67" s="68"/>
      <c r="AP67" s="68"/>
      <c r="AQ67" s="167"/>
      <c r="AR67" s="168"/>
      <c r="AS67" s="169"/>
      <c r="AT67" s="168"/>
      <c r="AU67" s="170"/>
      <c r="AV67" s="171"/>
      <c r="AW67" s="68"/>
      <c r="AX67" s="68"/>
      <c r="AY67" s="68"/>
      <c r="AZ67" s="167"/>
      <c r="BA67" s="168"/>
      <c r="BB67" s="169"/>
      <c r="BC67" s="168"/>
      <c r="BD67" s="170"/>
      <c r="BE67" s="171"/>
      <c r="BF67" s="68"/>
      <c r="BG67" s="68"/>
      <c r="BH67" s="68"/>
      <c r="BI67" s="167"/>
      <c r="BJ67" s="168"/>
      <c r="BK67" s="169"/>
      <c r="BL67" s="168"/>
      <c r="BM67" s="170"/>
      <c r="BN67" s="171"/>
      <c r="BO67" s="68"/>
      <c r="BP67" s="68"/>
      <c r="BQ67" s="68"/>
      <c r="BR67" s="167"/>
      <c r="BS67" s="168"/>
      <c r="BT67" s="169"/>
      <c r="BU67" s="168"/>
      <c r="BV67" s="170"/>
      <c r="BW67" s="171"/>
      <c r="BX67" s="68"/>
      <c r="BY67" s="68"/>
      <c r="BZ67" s="68"/>
      <c r="CA67" s="167"/>
      <c r="CB67" s="168"/>
      <c r="CC67" s="169"/>
      <c r="CD67" s="168"/>
      <c r="CE67" s="170"/>
      <c r="CF67" s="171"/>
      <c r="CG67" s="68"/>
      <c r="CH67" s="68"/>
      <c r="CI67" s="68"/>
      <c r="CJ67" s="167"/>
      <c r="CK67" s="168"/>
      <c r="CL67" s="169"/>
      <c r="CM67" s="168"/>
      <c r="CN67" s="170"/>
      <c r="CO67" s="171"/>
      <c r="CP67" s="68"/>
      <c r="CQ67" s="68"/>
      <c r="CR67" s="68"/>
      <c r="CS67" s="167"/>
      <c r="CT67" s="168"/>
      <c r="CU67" s="169"/>
      <c r="CV67" s="168"/>
      <c r="CW67" s="170"/>
      <c r="CX67" s="171"/>
      <c r="CY67" s="68"/>
      <c r="CZ67" s="68"/>
      <c r="DA67" s="68"/>
      <c r="DB67" s="167"/>
      <c r="DC67" s="168"/>
      <c r="DD67" s="169"/>
      <c r="DE67" s="168"/>
      <c r="DF67" s="170"/>
      <c r="DG67" s="171"/>
      <c r="DH67" s="68"/>
      <c r="DI67" s="68"/>
      <c r="DJ67" s="68"/>
      <c r="DK67" s="167"/>
      <c r="DL67" s="168"/>
      <c r="DM67" s="169"/>
      <c r="DN67" s="168"/>
      <c r="DO67" s="170"/>
      <c r="DP67" s="171"/>
      <c r="DQ67" s="68"/>
      <c r="DR67" s="68"/>
      <c r="DS67" s="68"/>
      <c r="DT67" s="167"/>
      <c r="DU67" s="168"/>
      <c r="DV67" s="169"/>
      <c r="DW67" s="168"/>
      <c r="DX67" s="170"/>
      <c r="DY67" s="171"/>
      <c r="DZ67" s="68"/>
      <c r="EA67" s="68"/>
      <c r="EB67" s="68"/>
      <c r="EC67" s="167"/>
      <c r="ED67" s="168"/>
      <c r="EE67" s="169"/>
      <c r="EF67" s="168"/>
      <c r="EG67" s="170"/>
      <c r="EH67" s="171"/>
      <c r="EI67" s="68"/>
      <c r="EJ67" s="68"/>
      <c r="EK67" s="68"/>
      <c r="EL67" s="167"/>
      <c r="EM67" s="168"/>
      <c r="EN67" s="169"/>
      <c r="EO67" s="168"/>
      <c r="EP67" s="170"/>
      <c r="EQ67" s="171"/>
      <c r="ER67" s="68"/>
      <c r="ES67" s="68"/>
      <c r="ET67" s="68"/>
      <c r="EU67" s="167"/>
      <c r="EV67" s="168"/>
      <c r="EW67" s="169"/>
      <c r="EX67" s="168"/>
      <c r="EY67" s="170"/>
      <c r="EZ67" s="171"/>
      <c r="FA67" s="68"/>
      <c r="FB67" s="68"/>
      <c r="FC67" s="68"/>
      <c r="FD67" s="167"/>
      <c r="FE67" s="168"/>
      <c r="FF67" s="169"/>
      <c r="FG67" s="168"/>
      <c r="FH67" s="170"/>
      <c r="FI67" s="171"/>
      <c r="FJ67" s="68"/>
      <c r="FK67" s="68"/>
      <c r="FL67" s="68"/>
      <c r="FM67" s="167"/>
      <c r="FN67" s="168"/>
      <c r="FO67" s="169"/>
      <c r="FP67" s="168"/>
      <c r="FQ67" s="170"/>
      <c r="FR67" s="171"/>
      <c r="FS67" s="68"/>
      <c r="FT67" s="68"/>
      <c r="FU67" s="68"/>
      <c r="FV67" s="167"/>
      <c r="FW67" s="168"/>
      <c r="FX67" s="169"/>
      <c r="FY67" s="168"/>
      <c r="FZ67" s="170"/>
      <c r="GA67" s="171"/>
      <c r="GB67" s="68"/>
      <c r="GC67" s="68"/>
      <c r="GD67" s="68"/>
      <c r="GE67" s="167"/>
      <c r="GF67" s="168"/>
      <c r="GG67" s="169"/>
      <c r="GH67" s="168"/>
      <c r="GI67" s="170"/>
      <c r="GJ67" s="171"/>
      <c r="GK67" s="68"/>
      <c r="GL67" s="68"/>
      <c r="GM67" s="68"/>
      <c r="GN67" s="167"/>
      <c r="GO67" s="168"/>
      <c r="GP67" s="169"/>
      <c r="GQ67" s="168"/>
      <c r="GR67" s="170"/>
      <c r="GS67" s="171"/>
      <c r="GT67" s="166"/>
      <c r="GU67" s="64"/>
      <c r="GV67" s="65"/>
      <c r="GW67" s="66"/>
      <c r="GX67" s="66"/>
      <c r="GY67" s="85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407"/>
      <c r="L68" s="70"/>
      <c r="M68" s="71"/>
      <c r="N68" s="56"/>
      <c r="O68" s="72"/>
      <c r="P68" s="113">
        <f t="shared" si="0"/>
        <v>0</v>
      </c>
      <c r="Q68" s="117"/>
      <c r="R68" s="117"/>
      <c r="S68" s="117"/>
      <c r="T68" s="39">
        <f t="shared" si="1"/>
        <v>0</v>
      </c>
      <c r="U68" s="138"/>
      <c r="V68" s="166"/>
      <c r="W68" s="86"/>
      <c r="X68" s="68"/>
      <c r="Y68" s="167"/>
      <c r="Z68" s="168"/>
      <c r="AA68" s="169"/>
      <c r="AB68" s="168"/>
      <c r="AC68" s="170"/>
      <c r="AD68" s="171"/>
      <c r="AE68" s="68"/>
      <c r="AF68" s="68"/>
      <c r="AG68" s="68"/>
      <c r="AH68" s="167"/>
      <c r="AI68" s="168"/>
      <c r="AJ68" s="169"/>
      <c r="AK68" s="168"/>
      <c r="AL68" s="170"/>
      <c r="AM68" s="171"/>
      <c r="AN68" s="68"/>
      <c r="AO68" s="68"/>
      <c r="AP68" s="68"/>
      <c r="AQ68" s="167"/>
      <c r="AR68" s="168"/>
      <c r="AS68" s="169"/>
      <c r="AT68" s="168"/>
      <c r="AU68" s="170"/>
      <c r="AV68" s="171"/>
      <c r="AW68" s="68"/>
      <c r="AX68" s="68"/>
      <c r="AY68" s="68"/>
      <c r="AZ68" s="167"/>
      <c r="BA68" s="168"/>
      <c r="BB68" s="169"/>
      <c r="BC68" s="168"/>
      <c r="BD68" s="170"/>
      <c r="BE68" s="171"/>
      <c r="BF68" s="68"/>
      <c r="BG68" s="68"/>
      <c r="BH68" s="68"/>
      <c r="BI68" s="167"/>
      <c r="BJ68" s="168"/>
      <c r="BK68" s="169"/>
      <c r="BL68" s="168"/>
      <c r="BM68" s="170"/>
      <c r="BN68" s="171"/>
      <c r="BO68" s="68"/>
      <c r="BP68" s="68"/>
      <c r="BQ68" s="68"/>
      <c r="BR68" s="167"/>
      <c r="BS68" s="168"/>
      <c r="BT68" s="169"/>
      <c r="BU68" s="168"/>
      <c r="BV68" s="170"/>
      <c r="BW68" s="171"/>
      <c r="BX68" s="68"/>
      <c r="BY68" s="68"/>
      <c r="BZ68" s="68"/>
      <c r="CA68" s="167"/>
      <c r="CB68" s="168"/>
      <c r="CC68" s="169"/>
      <c r="CD68" s="168"/>
      <c r="CE68" s="170"/>
      <c r="CF68" s="171"/>
      <c r="CG68" s="68"/>
      <c r="CH68" s="68"/>
      <c r="CI68" s="68"/>
      <c r="CJ68" s="167"/>
      <c r="CK68" s="168"/>
      <c r="CL68" s="169"/>
      <c r="CM68" s="168"/>
      <c r="CN68" s="170"/>
      <c r="CO68" s="171"/>
      <c r="CP68" s="68"/>
      <c r="CQ68" s="68"/>
      <c r="CR68" s="68"/>
      <c r="CS68" s="167"/>
      <c r="CT68" s="168"/>
      <c r="CU68" s="169"/>
      <c r="CV68" s="168"/>
      <c r="CW68" s="170"/>
      <c r="CX68" s="171"/>
      <c r="CY68" s="68"/>
      <c r="CZ68" s="68"/>
      <c r="DA68" s="68"/>
      <c r="DB68" s="167"/>
      <c r="DC68" s="168"/>
      <c r="DD68" s="169"/>
      <c r="DE68" s="168"/>
      <c r="DF68" s="170"/>
      <c r="DG68" s="171"/>
      <c r="DH68" s="68"/>
      <c r="DI68" s="68"/>
      <c r="DJ68" s="68"/>
      <c r="DK68" s="167"/>
      <c r="DL68" s="168"/>
      <c r="DM68" s="169"/>
      <c r="DN68" s="168"/>
      <c r="DO68" s="170"/>
      <c r="DP68" s="171"/>
      <c r="DQ68" s="68"/>
      <c r="DR68" s="68"/>
      <c r="DS68" s="68"/>
      <c r="DT68" s="167"/>
      <c r="DU68" s="168"/>
      <c r="DV68" s="169"/>
      <c r="DW68" s="168"/>
      <c r="DX68" s="170"/>
      <c r="DY68" s="171"/>
      <c r="DZ68" s="68"/>
      <c r="EA68" s="68"/>
      <c r="EB68" s="68"/>
      <c r="EC68" s="167"/>
      <c r="ED68" s="168"/>
      <c r="EE68" s="169"/>
      <c r="EF68" s="168"/>
      <c r="EG68" s="170"/>
      <c r="EH68" s="171"/>
      <c r="EI68" s="68"/>
      <c r="EJ68" s="68"/>
      <c r="EK68" s="68"/>
      <c r="EL68" s="167"/>
      <c r="EM68" s="168"/>
      <c r="EN68" s="169"/>
      <c r="EO68" s="168"/>
      <c r="EP68" s="170"/>
      <c r="EQ68" s="171"/>
      <c r="ER68" s="68"/>
      <c r="ES68" s="68"/>
      <c r="ET68" s="68"/>
      <c r="EU68" s="167"/>
      <c r="EV68" s="168"/>
      <c r="EW68" s="169"/>
      <c r="EX68" s="168"/>
      <c r="EY68" s="170"/>
      <c r="EZ68" s="171"/>
      <c r="FA68" s="68"/>
      <c r="FB68" s="68"/>
      <c r="FC68" s="68"/>
      <c r="FD68" s="167"/>
      <c r="FE68" s="168"/>
      <c r="FF68" s="169"/>
      <c r="FG68" s="168"/>
      <c r="FH68" s="170"/>
      <c r="FI68" s="171"/>
      <c r="FJ68" s="68"/>
      <c r="FK68" s="68"/>
      <c r="FL68" s="68"/>
      <c r="FM68" s="167"/>
      <c r="FN68" s="168"/>
      <c r="FO68" s="169"/>
      <c r="FP68" s="168"/>
      <c r="FQ68" s="170"/>
      <c r="FR68" s="171"/>
      <c r="FS68" s="68"/>
      <c r="FT68" s="68"/>
      <c r="FU68" s="68"/>
      <c r="FV68" s="167"/>
      <c r="FW68" s="168"/>
      <c r="FX68" s="169"/>
      <c r="FY68" s="168"/>
      <c r="FZ68" s="170"/>
      <c r="GA68" s="171"/>
      <c r="GB68" s="68"/>
      <c r="GC68" s="68"/>
      <c r="GD68" s="68"/>
      <c r="GE68" s="167"/>
      <c r="GF68" s="168"/>
      <c r="GG68" s="169"/>
      <c r="GH68" s="168"/>
      <c r="GI68" s="170"/>
      <c r="GJ68" s="171"/>
      <c r="GK68" s="68"/>
      <c r="GL68" s="68"/>
      <c r="GM68" s="68"/>
      <c r="GN68" s="167"/>
      <c r="GO68" s="168"/>
      <c r="GP68" s="169"/>
      <c r="GQ68" s="168"/>
      <c r="GR68" s="170"/>
      <c r="GS68" s="171"/>
      <c r="GT68" s="166"/>
      <c r="GU68" s="64"/>
      <c r="GV68" s="65"/>
      <c r="GW68" s="66"/>
      <c r="GX68" s="66"/>
      <c r="GY68" s="85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407"/>
      <c r="L69" s="70"/>
      <c r="M69" s="71"/>
      <c r="N69" s="56"/>
      <c r="O69" s="72"/>
      <c r="P69" s="113">
        <f t="shared" si="0"/>
        <v>0</v>
      </c>
      <c r="Q69" s="117"/>
      <c r="R69" s="117"/>
      <c r="S69" s="117"/>
      <c r="T69" s="39">
        <f t="shared" si="1"/>
        <v>0</v>
      </c>
      <c r="U69" s="138"/>
      <c r="V69" s="166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71"/>
      <c r="GU69" s="64"/>
      <c r="GV69" s="65"/>
      <c r="GW69" s="66"/>
      <c r="GX69" s="66"/>
      <c r="GY69" s="85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68"/>
      <c r="K70" s="407"/>
      <c r="L70" s="70"/>
      <c r="M70" s="71"/>
      <c r="N70" s="56"/>
      <c r="O70" s="72"/>
      <c r="P70" s="113">
        <f t="shared" si="0"/>
        <v>0</v>
      </c>
      <c r="Q70" s="117"/>
      <c r="R70" s="117"/>
      <c r="S70" s="117"/>
      <c r="T70" s="39">
        <f t="shared" si="1"/>
        <v>0</v>
      </c>
      <c r="U70" s="138"/>
      <c r="V70" s="166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71"/>
      <c r="GU70" s="64"/>
      <c r="GV70" s="65"/>
      <c r="GW70" s="66"/>
      <c r="GX70" s="66"/>
      <c r="GY70" s="85"/>
      <c r="GZ70" s="86"/>
    </row>
    <row r="71" spans="1:208" x14ac:dyDescent="0.25">
      <c r="A71"/>
      <c r="D71" s="35"/>
      <c r="E71" s="36"/>
      <c r="F71" s="37"/>
      <c r="G71" s="38"/>
      <c r="H71" s="39"/>
      <c r="I71" s="40"/>
      <c r="J71" s="68"/>
      <c r="K71" s="407"/>
      <c r="L71" s="70"/>
      <c r="M71" s="71"/>
      <c r="N71" s="56"/>
      <c r="O71" s="72"/>
      <c r="P71" s="113">
        <f t="shared" si="0"/>
        <v>0</v>
      </c>
      <c r="Q71" s="117"/>
      <c r="R71" s="117"/>
      <c r="S71" s="117"/>
      <c r="T71" s="39">
        <f t="shared" si="1"/>
        <v>0</v>
      </c>
      <c r="U71" s="138"/>
      <c r="V71" s="166"/>
      <c r="W71" s="86"/>
      <c r="X71" s="68"/>
      <c r="Y71" s="167"/>
      <c r="Z71" s="168"/>
      <c r="AA71" s="169"/>
      <c r="AB71" s="168"/>
      <c r="AC71" s="170"/>
      <c r="AD71" s="171"/>
      <c r="AE71" s="68"/>
      <c r="AF71" s="68"/>
      <c r="AG71" s="68"/>
      <c r="AH71" s="167"/>
      <c r="AI71" s="168"/>
      <c r="AJ71" s="169"/>
      <c r="AK71" s="168"/>
      <c r="AL71" s="170"/>
      <c r="AM71" s="171"/>
      <c r="AN71" s="68"/>
      <c r="AO71" s="68"/>
      <c r="AP71" s="68"/>
      <c r="AQ71" s="167"/>
      <c r="AR71" s="168"/>
      <c r="AS71" s="169"/>
      <c r="AT71" s="168"/>
      <c r="AU71" s="170"/>
      <c r="AV71" s="171"/>
      <c r="AW71" s="68"/>
      <c r="AX71" s="68"/>
      <c r="AY71" s="68"/>
      <c r="AZ71" s="167"/>
      <c r="BA71" s="168"/>
      <c r="BB71" s="169"/>
      <c r="BC71" s="168"/>
      <c r="BD71" s="170"/>
      <c r="BE71" s="171"/>
      <c r="BF71" s="68"/>
      <c r="BG71" s="68"/>
      <c r="BH71" s="68"/>
      <c r="BI71" s="167"/>
      <c r="BJ71" s="168"/>
      <c r="BK71" s="169"/>
      <c r="BL71" s="168"/>
      <c r="BM71" s="170"/>
      <c r="BN71" s="171"/>
      <c r="BO71" s="68"/>
      <c r="BP71" s="68"/>
      <c r="BQ71" s="68"/>
      <c r="BR71" s="167"/>
      <c r="BS71" s="168"/>
      <c r="BT71" s="169"/>
      <c r="BU71" s="168"/>
      <c r="BV71" s="170"/>
      <c r="BW71" s="171"/>
      <c r="BX71" s="68"/>
      <c r="BY71" s="68"/>
      <c r="BZ71" s="68"/>
      <c r="CA71" s="167"/>
      <c r="CB71" s="168"/>
      <c r="CC71" s="169"/>
      <c r="CD71" s="168"/>
      <c r="CE71" s="170"/>
      <c r="CF71" s="171"/>
      <c r="CG71" s="68"/>
      <c r="CH71" s="68"/>
      <c r="CI71" s="68"/>
      <c r="CJ71" s="167"/>
      <c r="CK71" s="168"/>
      <c r="CL71" s="169"/>
      <c r="CM71" s="168"/>
      <c r="CN71" s="170"/>
      <c r="CO71" s="171"/>
      <c r="CP71" s="68"/>
      <c r="CQ71" s="68"/>
      <c r="CR71" s="68"/>
      <c r="CS71" s="167"/>
      <c r="CT71" s="168"/>
      <c r="CU71" s="169"/>
      <c r="CV71" s="168"/>
      <c r="CW71" s="170"/>
      <c r="CX71" s="171"/>
      <c r="CY71" s="68"/>
      <c r="CZ71" s="68"/>
      <c r="DA71" s="68"/>
      <c r="DB71" s="167"/>
      <c r="DC71" s="168"/>
      <c r="DD71" s="169"/>
      <c r="DE71" s="168"/>
      <c r="DF71" s="170"/>
      <c r="DG71" s="171"/>
      <c r="DH71" s="68"/>
      <c r="DI71" s="68"/>
      <c r="DJ71" s="68"/>
      <c r="DK71" s="167"/>
      <c r="DL71" s="168"/>
      <c r="DM71" s="169"/>
      <c r="DN71" s="168"/>
      <c r="DO71" s="170"/>
      <c r="DP71" s="171"/>
      <c r="DQ71" s="68"/>
      <c r="DR71" s="68"/>
      <c r="DS71" s="68"/>
      <c r="DT71" s="167"/>
      <c r="DU71" s="168"/>
      <c r="DV71" s="169"/>
      <c r="DW71" s="168"/>
      <c r="DX71" s="170"/>
      <c r="DY71" s="171"/>
      <c r="DZ71" s="68"/>
      <c r="EA71" s="68"/>
      <c r="EB71" s="68"/>
      <c r="EC71" s="167"/>
      <c r="ED71" s="168"/>
      <c r="EE71" s="169"/>
      <c r="EF71" s="168"/>
      <c r="EG71" s="170"/>
      <c r="EH71" s="171"/>
      <c r="EI71" s="68"/>
      <c r="EJ71" s="68"/>
      <c r="EK71" s="68"/>
      <c r="EL71" s="167"/>
      <c r="EM71" s="168"/>
      <c r="EN71" s="169"/>
      <c r="EO71" s="168"/>
      <c r="EP71" s="170"/>
      <c r="EQ71" s="171"/>
      <c r="ER71" s="68"/>
      <c r="ES71" s="68"/>
      <c r="ET71" s="68"/>
      <c r="EU71" s="167"/>
      <c r="EV71" s="168"/>
      <c r="EW71" s="169"/>
      <c r="EX71" s="168"/>
      <c r="EY71" s="170"/>
      <c r="EZ71" s="171"/>
      <c r="FA71" s="68"/>
      <c r="FB71" s="68"/>
      <c r="FC71" s="68"/>
      <c r="FD71" s="167"/>
      <c r="FE71" s="168"/>
      <c r="FF71" s="169"/>
      <c r="FG71" s="168"/>
      <c r="FH71" s="170"/>
      <c r="FI71" s="171"/>
      <c r="FJ71" s="68"/>
      <c r="FK71" s="68"/>
      <c r="FL71" s="68"/>
      <c r="FM71" s="167"/>
      <c r="FN71" s="168"/>
      <c r="FO71" s="169"/>
      <c r="FP71" s="168"/>
      <c r="FQ71" s="170"/>
      <c r="FR71" s="171"/>
      <c r="FS71" s="68"/>
      <c r="FT71" s="68"/>
      <c r="FU71" s="68"/>
      <c r="FV71" s="167"/>
      <c r="FW71" s="168"/>
      <c r="FX71" s="169"/>
      <c r="FY71" s="168"/>
      <c r="FZ71" s="170"/>
      <c r="GA71" s="171"/>
      <c r="GB71" s="68"/>
      <c r="GC71" s="68"/>
      <c r="GD71" s="68"/>
      <c r="GE71" s="167"/>
      <c r="GF71" s="168"/>
      <c r="GG71" s="169"/>
      <c r="GH71" s="168"/>
      <c r="GI71" s="170"/>
      <c r="GJ71" s="171"/>
      <c r="GK71" s="68"/>
      <c r="GL71" s="68"/>
      <c r="GM71" s="68"/>
      <c r="GN71" s="167"/>
      <c r="GO71" s="168"/>
      <c r="GP71" s="169"/>
      <c r="GQ71" s="168"/>
      <c r="GR71" s="170"/>
      <c r="GS71" s="171"/>
      <c r="GT71" s="171"/>
      <c r="GU71" s="64"/>
      <c r="GV71" s="65"/>
      <c r="GW71" s="66"/>
      <c r="GX71" s="66"/>
      <c r="GY71" s="85"/>
      <c r="GZ71" s="86"/>
    </row>
    <row r="72" spans="1:208" x14ac:dyDescent="0.25">
      <c r="A72"/>
      <c r="D72" s="35"/>
      <c r="E72" s="36"/>
      <c r="F72" s="37"/>
      <c r="G72" s="38"/>
      <c r="H72" s="39"/>
      <c r="I72" s="40"/>
      <c r="J72" s="68"/>
      <c r="K72" s="407"/>
      <c r="L72" s="70"/>
      <c r="M72" s="71"/>
      <c r="N72" s="56"/>
      <c r="O72" s="72"/>
      <c r="P72" s="113">
        <f t="shared" si="0"/>
        <v>0</v>
      </c>
      <c r="Q72" s="117"/>
      <c r="R72" s="117"/>
      <c r="S72" s="117"/>
      <c r="T72" s="39">
        <f t="shared" si="1"/>
        <v>0</v>
      </c>
      <c r="U72" s="138"/>
      <c r="V72" s="166"/>
      <c r="W72" s="86"/>
      <c r="X72" s="68"/>
      <c r="Y72" s="167"/>
      <c r="Z72" s="168"/>
      <c r="AA72" s="169"/>
      <c r="AB72" s="168"/>
      <c r="AC72" s="170"/>
      <c r="AD72" s="171"/>
      <c r="AE72" s="68"/>
      <c r="AF72" s="68"/>
      <c r="AG72" s="68"/>
      <c r="AH72" s="167"/>
      <c r="AI72" s="168"/>
      <c r="AJ72" s="169"/>
      <c r="AK72" s="168"/>
      <c r="AL72" s="170"/>
      <c r="AM72" s="171"/>
      <c r="AN72" s="68"/>
      <c r="AO72" s="68"/>
      <c r="AP72" s="68"/>
      <c r="AQ72" s="167"/>
      <c r="AR72" s="168"/>
      <c r="AS72" s="169"/>
      <c r="AT72" s="168"/>
      <c r="AU72" s="170"/>
      <c r="AV72" s="171"/>
      <c r="AW72" s="68"/>
      <c r="AX72" s="68"/>
      <c r="AY72" s="68"/>
      <c r="AZ72" s="167"/>
      <c r="BA72" s="168"/>
      <c r="BB72" s="169"/>
      <c r="BC72" s="168"/>
      <c r="BD72" s="170"/>
      <c r="BE72" s="171"/>
      <c r="BF72" s="68"/>
      <c r="BG72" s="68"/>
      <c r="BH72" s="68"/>
      <c r="BI72" s="167"/>
      <c r="BJ72" s="168"/>
      <c r="BK72" s="169"/>
      <c r="BL72" s="168"/>
      <c r="BM72" s="170"/>
      <c r="BN72" s="171"/>
      <c r="BO72" s="68"/>
      <c r="BP72" s="68"/>
      <c r="BQ72" s="68"/>
      <c r="BR72" s="167"/>
      <c r="BS72" s="168"/>
      <c r="BT72" s="169"/>
      <c r="BU72" s="168"/>
      <c r="BV72" s="170"/>
      <c r="BW72" s="171"/>
      <c r="BX72" s="68"/>
      <c r="BY72" s="68"/>
      <c r="BZ72" s="68"/>
      <c r="CA72" s="167"/>
      <c r="CB72" s="168"/>
      <c r="CC72" s="169"/>
      <c r="CD72" s="168"/>
      <c r="CE72" s="170"/>
      <c r="CF72" s="171"/>
      <c r="CG72" s="68"/>
      <c r="CH72" s="68"/>
      <c r="CI72" s="68"/>
      <c r="CJ72" s="167"/>
      <c r="CK72" s="168"/>
      <c r="CL72" s="169"/>
      <c r="CM72" s="168"/>
      <c r="CN72" s="170"/>
      <c r="CO72" s="171"/>
      <c r="CP72" s="68"/>
      <c r="CQ72" s="68"/>
      <c r="CR72" s="68"/>
      <c r="CS72" s="167"/>
      <c r="CT72" s="168"/>
      <c r="CU72" s="169"/>
      <c r="CV72" s="168"/>
      <c r="CW72" s="170"/>
      <c r="CX72" s="171"/>
      <c r="CY72" s="68"/>
      <c r="CZ72" s="68"/>
      <c r="DA72" s="68"/>
      <c r="DB72" s="167"/>
      <c r="DC72" s="168"/>
      <c r="DD72" s="169"/>
      <c r="DE72" s="168"/>
      <c r="DF72" s="170"/>
      <c r="DG72" s="171"/>
      <c r="DH72" s="68"/>
      <c r="DI72" s="68"/>
      <c r="DJ72" s="68"/>
      <c r="DK72" s="167"/>
      <c r="DL72" s="168"/>
      <c r="DM72" s="169"/>
      <c r="DN72" s="168"/>
      <c r="DO72" s="170"/>
      <c r="DP72" s="171"/>
      <c r="DQ72" s="68"/>
      <c r="DR72" s="68"/>
      <c r="DS72" s="68"/>
      <c r="DT72" s="167"/>
      <c r="DU72" s="168"/>
      <c r="DV72" s="169"/>
      <c r="DW72" s="168"/>
      <c r="DX72" s="170"/>
      <c r="DY72" s="171"/>
      <c r="DZ72" s="68"/>
      <c r="EA72" s="68"/>
      <c r="EB72" s="68"/>
      <c r="EC72" s="167"/>
      <c r="ED72" s="168"/>
      <c r="EE72" s="169"/>
      <c r="EF72" s="168"/>
      <c r="EG72" s="170"/>
      <c r="EH72" s="171"/>
      <c r="EI72" s="68"/>
      <c r="EJ72" s="68"/>
      <c r="EK72" s="68"/>
      <c r="EL72" s="167"/>
      <c r="EM72" s="168"/>
      <c r="EN72" s="169"/>
      <c r="EO72" s="168"/>
      <c r="EP72" s="170"/>
      <c r="EQ72" s="171"/>
      <c r="ER72" s="68"/>
      <c r="ES72" s="68"/>
      <c r="ET72" s="68"/>
      <c r="EU72" s="167"/>
      <c r="EV72" s="168"/>
      <c r="EW72" s="169"/>
      <c r="EX72" s="168"/>
      <c r="EY72" s="170"/>
      <c r="EZ72" s="171"/>
      <c r="FA72" s="68"/>
      <c r="FB72" s="68"/>
      <c r="FC72" s="68"/>
      <c r="FD72" s="167"/>
      <c r="FE72" s="168"/>
      <c r="FF72" s="169"/>
      <c r="FG72" s="168"/>
      <c r="FH72" s="170"/>
      <c r="FI72" s="171"/>
      <c r="FJ72" s="68"/>
      <c r="FK72" s="68"/>
      <c r="FL72" s="68"/>
      <c r="FM72" s="167"/>
      <c r="FN72" s="168"/>
      <c r="FO72" s="169"/>
      <c r="FP72" s="168"/>
      <c r="FQ72" s="170"/>
      <c r="FR72" s="171"/>
      <c r="FS72" s="68"/>
      <c r="FT72" s="68"/>
      <c r="FU72" s="68"/>
      <c r="FV72" s="167"/>
      <c r="FW72" s="168"/>
      <c r="FX72" s="169"/>
      <c r="FY72" s="168"/>
      <c r="FZ72" s="170"/>
      <c r="GA72" s="171"/>
      <c r="GB72" s="68"/>
      <c r="GC72" s="68"/>
      <c r="GD72" s="68"/>
      <c r="GE72" s="167"/>
      <c r="GF72" s="168"/>
      <c r="GG72" s="169"/>
      <c r="GH72" s="168"/>
      <c r="GI72" s="170"/>
      <c r="GJ72" s="171"/>
      <c r="GK72" s="68"/>
      <c r="GL72" s="68"/>
      <c r="GM72" s="68"/>
      <c r="GN72" s="167"/>
      <c r="GO72" s="168"/>
      <c r="GP72" s="169"/>
      <c r="GQ72" s="168"/>
      <c r="GR72" s="170"/>
      <c r="GS72" s="171"/>
      <c r="GT72" s="171"/>
      <c r="GU72" s="64"/>
      <c r="GV72" s="65"/>
      <c r="GW72" s="66"/>
      <c r="GX72" s="66"/>
      <c r="GY72" s="85"/>
      <c r="GZ72" s="86"/>
    </row>
    <row r="73" spans="1:208" x14ac:dyDescent="0.25">
      <c r="A73"/>
      <c r="D73" s="35"/>
      <c r="E73" s="36"/>
      <c r="F73" s="37"/>
      <c r="G73" s="38"/>
      <c r="H73" s="39"/>
      <c r="I73" s="40"/>
      <c r="J73" s="68"/>
      <c r="K73" s="407"/>
      <c r="L73" s="70"/>
      <c r="M73" s="71"/>
      <c r="N73" s="56"/>
      <c r="O73" s="72"/>
      <c r="P73" s="113">
        <f t="shared" ref="P73:P75" si="5">O73-L73</f>
        <v>0</v>
      </c>
      <c r="Q73" s="117"/>
      <c r="R73" s="117"/>
      <c r="S73" s="117"/>
      <c r="T73" s="39">
        <f t="shared" si="1"/>
        <v>0</v>
      </c>
      <c r="U73" s="138"/>
      <c r="V73" s="172"/>
      <c r="W73" s="86"/>
      <c r="X73" s="68"/>
      <c r="Y73" s="167"/>
      <c r="Z73" s="168"/>
      <c r="AA73" s="169"/>
      <c r="AB73" s="168"/>
      <c r="AC73" s="170"/>
      <c r="AD73" s="171"/>
      <c r="AE73" s="68"/>
      <c r="AF73" s="68"/>
      <c r="AG73" s="68"/>
      <c r="AH73" s="167"/>
      <c r="AI73" s="168"/>
      <c r="AJ73" s="169"/>
      <c r="AK73" s="168"/>
      <c r="AL73" s="170"/>
      <c r="AM73" s="171"/>
      <c r="AN73" s="68"/>
      <c r="AO73" s="68"/>
      <c r="AP73" s="68"/>
      <c r="AQ73" s="167"/>
      <c r="AR73" s="168"/>
      <c r="AS73" s="169"/>
      <c r="AT73" s="168"/>
      <c r="AU73" s="170"/>
      <c r="AV73" s="171"/>
      <c r="AW73" s="68"/>
      <c r="AX73" s="68"/>
      <c r="AY73" s="68"/>
      <c r="AZ73" s="167"/>
      <c r="BA73" s="168"/>
      <c r="BB73" s="169"/>
      <c r="BC73" s="168"/>
      <c r="BD73" s="170"/>
      <c r="BE73" s="171"/>
      <c r="BF73" s="68"/>
      <c r="BG73" s="68"/>
      <c r="BH73" s="68"/>
      <c r="BI73" s="167"/>
      <c r="BJ73" s="168"/>
      <c r="BK73" s="169"/>
      <c r="BL73" s="168"/>
      <c r="BM73" s="170"/>
      <c r="BN73" s="171"/>
      <c r="BO73" s="68"/>
      <c r="BP73" s="68"/>
      <c r="BQ73" s="68"/>
      <c r="BR73" s="167"/>
      <c r="BS73" s="168"/>
      <c r="BT73" s="169"/>
      <c r="BU73" s="168"/>
      <c r="BV73" s="170"/>
      <c r="BW73" s="171"/>
      <c r="BX73" s="68"/>
      <c r="BY73" s="68"/>
      <c r="BZ73" s="68"/>
      <c r="CA73" s="167"/>
      <c r="CB73" s="168"/>
      <c r="CC73" s="169"/>
      <c r="CD73" s="168"/>
      <c r="CE73" s="170"/>
      <c r="CF73" s="171"/>
      <c r="CG73" s="68"/>
      <c r="CH73" s="68"/>
      <c r="CI73" s="68"/>
      <c r="CJ73" s="167"/>
      <c r="CK73" s="168"/>
      <c r="CL73" s="169"/>
      <c r="CM73" s="168"/>
      <c r="CN73" s="170"/>
      <c r="CO73" s="171"/>
      <c r="CP73" s="68"/>
      <c r="CQ73" s="68"/>
      <c r="CR73" s="68"/>
      <c r="CS73" s="167"/>
      <c r="CT73" s="168"/>
      <c r="CU73" s="169"/>
      <c r="CV73" s="168"/>
      <c r="CW73" s="170"/>
      <c r="CX73" s="171"/>
      <c r="CY73" s="68"/>
      <c r="CZ73" s="68"/>
      <c r="DA73" s="68"/>
      <c r="DB73" s="167"/>
      <c r="DC73" s="168"/>
      <c r="DD73" s="169"/>
      <c r="DE73" s="168"/>
      <c r="DF73" s="170"/>
      <c r="DG73" s="171"/>
      <c r="DH73" s="68"/>
      <c r="DI73" s="68"/>
      <c r="DJ73" s="68"/>
      <c r="DK73" s="167"/>
      <c r="DL73" s="168"/>
      <c r="DM73" s="169"/>
      <c r="DN73" s="168"/>
      <c r="DO73" s="170"/>
      <c r="DP73" s="171"/>
      <c r="DQ73" s="68"/>
      <c r="DR73" s="68"/>
      <c r="DS73" s="68"/>
      <c r="DT73" s="167"/>
      <c r="DU73" s="168"/>
      <c r="DV73" s="169"/>
      <c r="DW73" s="168"/>
      <c r="DX73" s="170"/>
      <c r="DY73" s="171"/>
      <c r="DZ73" s="68"/>
      <c r="EA73" s="68"/>
      <c r="EB73" s="68"/>
      <c r="EC73" s="167"/>
      <c r="ED73" s="168"/>
      <c r="EE73" s="169"/>
      <c r="EF73" s="168"/>
      <c r="EG73" s="170"/>
      <c r="EH73" s="171"/>
      <c r="EI73" s="68"/>
      <c r="EJ73" s="68"/>
      <c r="EK73" s="68"/>
      <c r="EL73" s="167"/>
      <c r="EM73" s="168"/>
      <c r="EN73" s="169"/>
      <c r="EO73" s="168"/>
      <c r="EP73" s="170"/>
      <c r="EQ73" s="171"/>
      <c r="ER73" s="68"/>
      <c r="ES73" s="68"/>
      <c r="ET73" s="68"/>
      <c r="EU73" s="167"/>
      <c r="EV73" s="168"/>
      <c r="EW73" s="169"/>
      <c r="EX73" s="168"/>
      <c r="EY73" s="170"/>
      <c r="EZ73" s="171"/>
      <c r="FA73" s="68"/>
      <c r="FB73" s="68"/>
      <c r="FC73" s="68"/>
      <c r="FD73" s="167"/>
      <c r="FE73" s="168"/>
      <c r="FF73" s="169"/>
      <c r="FG73" s="168"/>
      <c r="FH73" s="170"/>
      <c r="FI73" s="171"/>
      <c r="FJ73" s="68"/>
      <c r="FK73" s="68"/>
      <c r="FL73" s="68"/>
      <c r="FM73" s="167"/>
      <c r="FN73" s="168"/>
      <c r="FO73" s="169"/>
      <c r="FP73" s="168"/>
      <c r="FQ73" s="170"/>
      <c r="FR73" s="171"/>
      <c r="FS73" s="68"/>
      <c r="FT73" s="68"/>
      <c r="FU73" s="68"/>
      <c r="FV73" s="167"/>
      <c r="FW73" s="168"/>
      <c r="FX73" s="169"/>
      <c r="FY73" s="168"/>
      <c r="FZ73" s="170"/>
      <c r="GA73" s="171"/>
      <c r="GB73" s="68"/>
      <c r="GC73" s="68"/>
      <c r="GD73" s="68"/>
      <c r="GE73" s="167"/>
      <c r="GF73" s="168"/>
      <c r="GG73" s="169"/>
      <c r="GH73" s="168"/>
      <c r="GI73" s="170"/>
      <c r="GJ73" s="171"/>
      <c r="GK73" s="68"/>
      <c r="GL73" s="68"/>
      <c r="GM73" s="68"/>
      <c r="GN73" s="167"/>
      <c r="GO73" s="168"/>
      <c r="GP73" s="169"/>
      <c r="GQ73" s="168"/>
      <c r="GR73" s="170"/>
      <c r="GS73" s="171"/>
      <c r="GT73" s="171"/>
      <c r="GU73" s="64"/>
      <c r="GV73" s="65"/>
      <c r="GW73" s="66"/>
      <c r="GX73" s="66"/>
      <c r="GY73" s="85"/>
      <c r="GZ73" s="86"/>
    </row>
    <row r="74" spans="1:208" x14ac:dyDescent="0.25">
      <c r="A74"/>
      <c r="D74" s="35"/>
      <c r="E74" s="36"/>
      <c r="F74" s="37"/>
      <c r="G74" s="38"/>
      <c r="H74" s="39"/>
      <c r="I74" s="40"/>
      <c r="J74" s="68"/>
      <c r="K74" s="407"/>
      <c r="L74" s="70"/>
      <c r="M74" s="71"/>
      <c r="N74" s="173"/>
      <c r="O74" s="72"/>
      <c r="P74" s="113">
        <f t="shared" si="5"/>
        <v>0</v>
      </c>
      <c r="Q74" s="117"/>
      <c r="R74" s="117"/>
      <c r="S74" s="117"/>
      <c r="T74" s="39">
        <f t="shared" si="1"/>
        <v>0</v>
      </c>
      <c r="U74" s="138"/>
      <c r="V74" s="172"/>
      <c r="W74" s="86"/>
      <c r="X74" s="68"/>
      <c r="Y74" s="167"/>
      <c r="Z74" s="168"/>
      <c r="AA74" s="169"/>
      <c r="AB74" s="168"/>
      <c r="AC74" s="170"/>
      <c r="AD74" s="171"/>
      <c r="AE74" s="68"/>
      <c r="AF74" s="68"/>
      <c r="AG74" s="68"/>
      <c r="AH74" s="167"/>
      <c r="AI74" s="168"/>
      <c r="AJ74" s="169"/>
      <c r="AK74" s="168"/>
      <c r="AL74" s="170"/>
      <c r="AM74" s="171"/>
      <c r="AN74" s="68"/>
      <c r="AO74" s="68"/>
      <c r="AP74" s="68"/>
      <c r="AQ74" s="167"/>
      <c r="AR74" s="168"/>
      <c r="AS74" s="169"/>
      <c r="AT74" s="168"/>
      <c r="AU74" s="170"/>
      <c r="AV74" s="171"/>
      <c r="AW74" s="68"/>
      <c r="AX74" s="68"/>
      <c r="AY74" s="68"/>
      <c r="AZ74" s="167"/>
      <c r="BA74" s="168"/>
      <c r="BB74" s="169"/>
      <c r="BC74" s="168"/>
      <c r="BD74" s="170"/>
      <c r="BE74" s="171"/>
      <c r="BF74" s="68"/>
      <c r="BG74" s="68"/>
      <c r="BH74" s="68"/>
      <c r="BI74" s="167"/>
      <c r="BJ74" s="168"/>
      <c r="BK74" s="169"/>
      <c r="BL74" s="168"/>
      <c r="BM74" s="170"/>
      <c r="BN74" s="171"/>
      <c r="BO74" s="68"/>
      <c r="BP74" s="68"/>
      <c r="BQ74" s="68"/>
      <c r="BR74" s="167"/>
      <c r="BS74" s="168"/>
      <c r="BT74" s="169"/>
      <c r="BU74" s="168"/>
      <c r="BV74" s="170"/>
      <c r="BW74" s="171"/>
      <c r="BX74" s="68"/>
      <c r="BY74" s="68"/>
      <c r="BZ74" s="68"/>
      <c r="CA74" s="167"/>
      <c r="CB74" s="168"/>
      <c r="CC74" s="169"/>
      <c r="CD74" s="168"/>
      <c r="CE74" s="170"/>
      <c r="CF74" s="171"/>
      <c r="CG74" s="68"/>
      <c r="CH74" s="68"/>
      <c r="CI74" s="68"/>
      <c r="CJ74" s="167"/>
      <c r="CK74" s="168"/>
      <c r="CL74" s="169"/>
      <c r="CM74" s="168"/>
      <c r="CN74" s="170"/>
      <c r="CO74" s="171"/>
      <c r="CP74" s="68"/>
      <c r="CQ74" s="68"/>
      <c r="CR74" s="68"/>
      <c r="CS74" s="167"/>
      <c r="CT74" s="168"/>
      <c r="CU74" s="169"/>
      <c r="CV74" s="168"/>
      <c r="CW74" s="170"/>
      <c r="CX74" s="171"/>
      <c r="CY74" s="68"/>
      <c r="CZ74" s="68"/>
      <c r="DA74" s="68"/>
      <c r="DB74" s="167"/>
      <c r="DC74" s="168"/>
      <c r="DD74" s="169"/>
      <c r="DE74" s="168"/>
      <c r="DF74" s="170"/>
      <c r="DG74" s="171"/>
      <c r="DH74" s="68"/>
      <c r="DI74" s="68"/>
      <c r="DJ74" s="68"/>
      <c r="DK74" s="167"/>
      <c r="DL74" s="168"/>
      <c r="DM74" s="169"/>
      <c r="DN74" s="168"/>
      <c r="DO74" s="170"/>
      <c r="DP74" s="171"/>
      <c r="DQ74" s="68"/>
      <c r="DR74" s="68"/>
      <c r="DS74" s="68"/>
      <c r="DT74" s="167"/>
      <c r="DU74" s="168"/>
      <c r="DV74" s="169"/>
      <c r="DW74" s="168"/>
      <c r="DX74" s="170"/>
      <c r="DY74" s="171"/>
      <c r="DZ74" s="68"/>
      <c r="EA74" s="68"/>
      <c r="EB74" s="68"/>
      <c r="EC74" s="167"/>
      <c r="ED74" s="168"/>
      <c r="EE74" s="169"/>
      <c r="EF74" s="168"/>
      <c r="EG74" s="170"/>
      <c r="EH74" s="171"/>
      <c r="EI74" s="68"/>
      <c r="EJ74" s="68"/>
      <c r="EK74" s="68"/>
      <c r="EL74" s="167"/>
      <c r="EM74" s="168"/>
      <c r="EN74" s="169"/>
      <c r="EO74" s="168"/>
      <c r="EP74" s="170"/>
      <c r="EQ74" s="171"/>
      <c r="ER74" s="68"/>
      <c r="ES74" s="68"/>
      <c r="ET74" s="68"/>
      <c r="EU74" s="167"/>
      <c r="EV74" s="168"/>
      <c r="EW74" s="169"/>
      <c r="EX74" s="168"/>
      <c r="EY74" s="170"/>
      <c r="EZ74" s="171"/>
      <c r="FA74" s="68"/>
      <c r="FB74" s="68"/>
      <c r="FC74" s="68"/>
      <c r="FD74" s="167"/>
      <c r="FE74" s="168"/>
      <c r="FF74" s="169"/>
      <c r="FG74" s="168"/>
      <c r="FH74" s="170"/>
      <c r="FI74" s="171"/>
      <c r="FJ74" s="68"/>
      <c r="FK74" s="68"/>
      <c r="FL74" s="68"/>
      <c r="FM74" s="167"/>
      <c r="FN74" s="168"/>
      <c r="FO74" s="169"/>
      <c r="FP74" s="168"/>
      <c r="FQ74" s="170"/>
      <c r="FR74" s="171"/>
      <c r="FS74" s="68"/>
      <c r="FT74" s="68"/>
      <c r="FU74" s="68"/>
      <c r="FV74" s="167"/>
      <c r="FW74" s="168"/>
      <c r="FX74" s="169"/>
      <c r="FY74" s="168"/>
      <c r="FZ74" s="170"/>
      <c r="GA74" s="171"/>
      <c r="GB74" s="68"/>
      <c r="GC74" s="68"/>
      <c r="GD74" s="68"/>
      <c r="GE74" s="167"/>
      <c r="GF74" s="168"/>
      <c r="GG74" s="169"/>
      <c r="GH74" s="168"/>
      <c r="GI74" s="170"/>
      <c r="GJ74" s="171"/>
      <c r="GK74" s="68"/>
      <c r="GL74" s="68"/>
      <c r="GM74" s="68"/>
      <c r="GN74" s="167"/>
      <c r="GO74" s="168"/>
      <c r="GP74" s="169"/>
      <c r="GQ74" s="168"/>
      <c r="GR74" s="170"/>
      <c r="GS74" s="171"/>
      <c r="GT74" s="171"/>
      <c r="GU74" s="64"/>
      <c r="GV74" s="65"/>
      <c r="GW74" s="66"/>
      <c r="GX74" s="66"/>
      <c r="GY74" s="85"/>
      <c r="GZ74" s="86"/>
    </row>
    <row r="75" spans="1:208" x14ac:dyDescent="0.25">
      <c r="A75"/>
      <c r="D75" s="35"/>
      <c r="E75" s="36"/>
      <c r="F75" s="37"/>
      <c r="G75" s="38"/>
      <c r="H75" s="39"/>
      <c r="I75" s="40"/>
      <c r="J75" s="174"/>
      <c r="K75" s="407"/>
      <c r="L75" s="70"/>
      <c r="M75" s="71"/>
      <c r="N75" s="175"/>
      <c r="O75" s="72"/>
      <c r="P75" s="113">
        <f t="shared" si="5"/>
        <v>0</v>
      </c>
      <c r="Q75" s="117"/>
      <c r="R75" s="117"/>
      <c r="S75" s="117"/>
      <c r="T75" s="39">
        <f t="shared" ref="T75:T82" si="6">Q75*O75</f>
        <v>0</v>
      </c>
      <c r="U75" s="138"/>
      <c r="V75" s="172"/>
      <c r="W75" s="86"/>
      <c r="X75" s="68"/>
      <c r="Y75" s="167"/>
      <c r="Z75" s="168"/>
      <c r="AA75" s="169"/>
      <c r="AB75" s="168"/>
      <c r="AC75" s="170"/>
      <c r="AD75" s="171"/>
      <c r="AE75" s="68"/>
      <c r="AF75" s="68"/>
      <c r="AG75" s="68"/>
      <c r="AH75" s="167"/>
      <c r="AI75" s="168"/>
      <c r="AJ75" s="169"/>
      <c r="AK75" s="168"/>
      <c r="AL75" s="170"/>
      <c r="AM75" s="171"/>
      <c r="AN75" s="68"/>
      <c r="AO75" s="68"/>
      <c r="AP75" s="68"/>
      <c r="AQ75" s="167"/>
      <c r="AR75" s="168"/>
      <c r="AS75" s="169"/>
      <c r="AT75" s="168"/>
      <c r="AU75" s="170"/>
      <c r="AV75" s="171"/>
      <c r="AW75" s="68"/>
      <c r="AX75" s="68"/>
      <c r="AY75" s="68"/>
      <c r="AZ75" s="167"/>
      <c r="BA75" s="168"/>
      <c r="BB75" s="169"/>
      <c r="BC75" s="168"/>
      <c r="BD75" s="170"/>
      <c r="BE75" s="171"/>
      <c r="BF75" s="68"/>
      <c r="BG75" s="68"/>
      <c r="BH75" s="68"/>
      <c r="BI75" s="167"/>
      <c r="BJ75" s="168"/>
      <c r="BK75" s="169"/>
      <c r="BL75" s="168"/>
      <c r="BM75" s="170"/>
      <c r="BN75" s="171"/>
      <c r="BO75" s="68"/>
      <c r="BP75" s="68"/>
      <c r="BQ75" s="68"/>
      <c r="BR75" s="167"/>
      <c r="BS75" s="168"/>
      <c r="BT75" s="169"/>
      <c r="BU75" s="168"/>
      <c r="BV75" s="170"/>
      <c r="BW75" s="171"/>
      <c r="BX75" s="68"/>
      <c r="BY75" s="68"/>
      <c r="BZ75" s="68"/>
      <c r="CA75" s="167"/>
      <c r="CB75" s="168"/>
      <c r="CC75" s="169"/>
      <c r="CD75" s="168"/>
      <c r="CE75" s="170"/>
      <c r="CF75" s="171"/>
      <c r="CG75" s="68"/>
      <c r="CH75" s="68"/>
      <c r="CI75" s="68"/>
      <c r="CJ75" s="167"/>
      <c r="CK75" s="168"/>
      <c r="CL75" s="169"/>
      <c r="CM75" s="168"/>
      <c r="CN75" s="170"/>
      <c r="CO75" s="171"/>
      <c r="CP75" s="68"/>
      <c r="CQ75" s="68"/>
      <c r="CR75" s="68"/>
      <c r="CS75" s="167"/>
      <c r="CT75" s="168"/>
      <c r="CU75" s="169"/>
      <c r="CV75" s="168"/>
      <c r="CW75" s="170"/>
      <c r="CX75" s="171"/>
      <c r="CY75" s="68"/>
      <c r="CZ75" s="68"/>
      <c r="DA75" s="68"/>
      <c r="DB75" s="167"/>
      <c r="DC75" s="168"/>
      <c r="DD75" s="169"/>
      <c r="DE75" s="168"/>
      <c r="DF75" s="170"/>
      <c r="DG75" s="171"/>
      <c r="DH75" s="68"/>
      <c r="DI75" s="68"/>
      <c r="DJ75" s="68"/>
      <c r="DK75" s="167"/>
      <c r="DL75" s="168"/>
      <c r="DM75" s="169"/>
      <c r="DN75" s="168"/>
      <c r="DO75" s="170"/>
      <c r="DP75" s="171"/>
      <c r="DQ75" s="68"/>
      <c r="DR75" s="68"/>
      <c r="DS75" s="68"/>
      <c r="DT75" s="167"/>
      <c r="DU75" s="168"/>
      <c r="DV75" s="169"/>
      <c r="DW75" s="168"/>
      <c r="DX75" s="170"/>
      <c r="DY75" s="171"/>
      <c r="DZ75" s="68"/>
      <c r="EA75" s="68"/>
      <c r="EB75" s="68"/>
      <c r="EC75" s="167"/>
      <c r="ED75" s="168"/>
      <c r="EE75" s="169"/>
      <c r="EF75" s="168"/>
      <c r="EG75" s="170"/>
      <c r="EH75" s="171"/>
      <c r="EI75" s="68"/>
      <c r="EJ75" s="68"/>
      <c r="EK75" s="68"/>
      <c r="EL75" s="167"/>
      <c r="EM75" s="168"/>
      <c r="EN75" s="169"/>
      <c r="EO75" s="168"/>
      <c r="EP75" s="170"/>
      <c r="EQ75" s="171"/>
      <c r="ER75" s="68"/>
      <c r="ES75" s="68"/>
      <c r="ET75" s="68"/>
      <c r="EU75" s="167"/>
      <c r="EV75" s="168"/>
      <c r="EW75" s="169"/>
      <c r="EX75" s="168"/>
      <c r="EY75" s="170"/>
      <c r="EZ75" s="171"/>
      <c r="FA75" s="68"/>
      <c r="FB75" s="68"/>
      <c r="FC75" s="68"/>
      <c r="FD75" s="167"/>
      <c r="FE75" s="168"/>
      <c r="FF75" s="169"/>
      <c r="FG75" s="168"/>
      <c r="FH75" s="170"/>
      <c r="FI75" s="171"/>
      <c r="FJ75" s="68"/>
      <c r="FK75" s="68"/>
      <c r="FL75" s="68"/>
      <c r="FM75" s="167"/>
      <c r="FN75" s="168"/>
      <c r="FO75" s="169"/>
      <c r="FP75" s="168"/>
      <c r="FQ75" s="170"/>
      <c r="FR75" s="171"/>
      <c r="FS75" s="68"/>
      <c r="FT75" s="68"/>
      <c r="FU75" s="68"/>
      <c r="FV75" s="167"/>
      <c r="FW75" s="168"/>
      <c r="FX75" s="169"/>
      <c r="FY75" s="168"/>
      <c r="FZ75" s="170"/>
      <c r="GA75" s="171"/>
      <c r="GB75" s="68"/>
      <c r="GC75" s="68"/>
      <c r="GD75" s="68"/>
      <c r="GE75" s="167"/>
      <c r="GF75" s="168"/>
      <c r="GG75" s="169"/>
      <c r="GH75" s="168"/>
      <c r="GI75" s="170"/>
      <c r="GJ75" s="171"/>
      <c r="GK75" s="68"/>
      <c r="GL75" s="68"/>
      <c r="GM75" s="68"/>
      <c r="GN75" s="167"/>
      <c r="GO75" s="168"/>
      <c r="GP75" s="169"/>
      <c r="GQ75" s="168"/>
      <c r="GR75" s="170"/>
      <c r="GS75" s="171"/>
      <c r="GT75" s="171"/>
      <c r="GU75" s="64"/>
      <c r="GV75" s="65"/>
      <c r="GW75" s="66"/>
      <c r="GX75" s="66"/>
      <c r="GY75" s="176"/>
      <c r="GZ75" s="67"/>
    </row>
    <row r="76" spans="1:208" x14ac:dyDescent="0.25">
      <c r="A76"/>
      <c r="D76" s="35"/>
      <c r="E76" s="36"/>
      <c r="F76" s="37"/>
      <c r="G76" s="38"/>
      <c r="H76" s="39"/>
      <c r="I76" s="40"/>
      <c r="J76" s="177"/>
      <c r="K76" s="452"/>
      <c r="N76" s="179"/>
      <c r="P76" s="27"/>
      <c r="Q76" s="180"/>
      <c r="R76" s="180"/>
      <c r="S76" s="180"/>
      <c r="T76" s="39">
        <f t="shared" si="6"/>
        <v>0</v>
      </c>
      <c r="U76" s="181"/>
      <c r="V76" s="182"/>
      <c r="W76" s="30"/>
      <c r="X76" s="8"/>
      <c r="Y76" s="183"/>
      <c r="Z76" s="184"/>
      <c r="AA76" s="185"/>
      <c r="AB76" s="184"/>
      <c r="AC76" s="186"/>
      <c r="AD76" s="187"/>
      <c r="AE76" s="8"/>
      <c r="AF76" s="8"/>
      <c r="AG76" s="188"/>
      <c r="AH76" s="183"/>
      <c r="AI76" s="184"/>
      <c r="AJ76" s="185"/>
      <c r="AK76" s="28"/>
      <c r="AL76" s="186"/>
      <c r="AM76" s="187"/>
      <c r="AN76" s="8"/>
      <c r="AO76" s="8"/>
      <c r="AP76" s="188"/>
      <c r="AQ76" s="183"/>
      <c r="AR76" s="184"/>
      <c r="AS76" s="185"/>
      <c r="AT76" s="184"/>
      <c r="AU76" s="186"/>
      <c r="AV76" s="187"/>
      <c r="AW76" s="8"/>
      <c r="AX76" s="8"/>
      <c r="AY76" s="188"/>
      <c r="AZ76" s="183"/>
      <c r="BA76" s="184"/>
      <c r="BB76" s="185"/>
      <c r="BC76" s="28"/>
      <c r="BD76" s="186"/>
      <c r="BE76" s="187"/>
      <c r="BF76" s="8"/>
      <c r="BG76" s="8"/>
      <c r="BH76" s="188"/>
      <c r="BI76" s="183"/>
      <c r="BJ76" s="184"/>
      <c r="BK76" s="185"/>
      <c r="BL76" s="28"/>
      <c r="BM76" s="186"/>
      <c r="BN76" s="187"/>
      <c r="BO76" s="8"/>
      <c r="BP76" s="8"/>
      <c r="BQ76" s="188"/>
      <c r="BR76" s="183"/>
      <c r="BS76" s="184"/>
      <c r="BT76" s="185"/>
      <c r="BU76" s="184"/>
      <c r="BV76" s="186"/>
      <c r="BW76" s="187"/>
      <c r="BX76" s="8"/>
      <c r="BY76" s="8"/>
      <c r="BZ76" s="188"/>
      <c r="CA76" s="183"/>
      <c r="CB76" s="184"/>
      <c r="CC76" s="185"/>
      <c r="CD76" s="184"/>
      <c r="CE76" s="186"/>
      <c r="CF76" s="187"/>
      <c r="CG76" s="8"/>
      <c r="CH76" s="8"/>
      <c r="CI76" s="188"/>
      <c r="CJ76" s="183"/>
      <c r="CK76" s="184"/>
      <c r="CL76" s="185"/>
      <c r="CM76" s="184"/>
      <c r="CN76" s="186"/>
      <c r="CO76" s="187"/>
      <c r="CP76" s="8"/>
      <c r="CQ76" s="8"/>
      <c r="CR76" s="188"/>
      <c r="CS76" s="183"/>
      <c r="CT76" s="184"/>
      <c r="CU76" s="189"/>
      <c r="CV76" s="28"/>
      <c r="CW76" s="190"/>
      <c r="CX76" s="187"/>
      <c r="CY76" s="8"/>
      <c r="CZ76" s="8"/>
      <c r="DA76" s="188"/>
      <c r="DB76" s="183"/>
      <c r="DC76" s="184"/>
      <c r="DD76" s="185"/>
      <c r="DE76" s="184"/>
      <c r="DF76" s="186"/>
      <c r="DG76" s="187"/>
      <c r="DH76" s="8"/>
      <c r="DI76" s="8"/>
      <c r="DJ76" s="188"/>
      <c r="DK76" s="183"/>
      <c r="DL76" s="184"/>
      <c r="DM76" s="189"/>
      <c r="DN76" s="28"/>
      <c r="DO76" s="190"/>
      <c r="DP76" s="187"/>
      <c r="DQ76" s="8"/>
      <c r="DR76" s="8"/>
      <c r="DS76" s="188"/>
      <c r="DT76" s="183"/>
      <c r="DU76" s="184"/>
      <c r="DV76" s="185"/>
      <c r="DW76" s="184"/>
      <c r="DX76" s="186"/>
      <c r="DY76" s="187"/>
      <c r="DZ76" s="8"/>
      <c r="EA76" s="8"/>
      <c r="EB76" s="188"/>
      <c r="EC76" s="183"/>
      <c r="ED76" s="184"/>
      <c r="EE76" s="189"/>
      <c r="EF76" s="28"/>
      <c r="EG76" s="190"/>
      <c r="EH76" s="187"/>
      <c r="EI76" s="8"/>
      <c r="EJ76" s="8"/>
      <c r="EK76" s="188"/>
      <c r="EL76" s="183"/>
      <c r="EM76" s="184"/>
      <c r="EN76" s="189"/>
      <c r="EO76" s="28"/>
      <c r="EP76" s="190"/>
      <c r="EQ76" s="187"/>
      <c r="ER76" s="8"/>
      <c r="ES76" s="8"/>
      <c r="ET76" s="188"/>
      <c r="EU76" s="183"/>
      <c r="EV76" s="184"/>
      <c r="EW76" s="185"/>
      <c r="EX76" s="184"/>
      <c r="EY76" s="186"/>
      <c r="EZ76" s="187"/>
      <c r="FA76" s="8"/>
      <c r="FB76" s="8"/>
      <c r="FC76" s="188"/>
      <c r="FD76" s="183"/>
      <c r="FE76" s="184"/>
      <c r="FF76" s="185"/>
      <c r="FG76" s="184"/>
      <c r="FH76" s="186"/>
      <c r="FI76" s="187"/>
      <c r="FJ76" s="8"/>
      <c r="FK76" s="8"/>
      <c r="FL76" s="188"/>
      <c r="FM76" s="183"/>
      <c r="FN76" s="184"/>
      <c r="FO76" s="185"/>
      <c r="FP76" s="184"/>
      <c r="FQ76" s="186"/>
      <c r="FR76" s="187"/>
      <c r="FS76" s="8"/>
      <c r="FT76" s="8"/>
      <c r="FU76" s="188"/>
      <c r="FV76" s="183"/>
      <c r="FW76" s="184"/>
      <c r="FX76" s="185"/>
      <c r="FY76" s="184"/>
      <c r="FZ76" s="186"/>
      <c r="GA76" s="187"/>
      <c r="GB76" s="8"/>
      <c r="GC76" s="8"/>
      <c r="GD76" s="188"/>
      <c r="GE76" s="183"/>
      <c r="GF76" s="184"/>
      <c r="GG76" s="185"/>
      <c r="GH76" s="184"/>
      <c r="GI76" s="186"/>
      <c r="GJ76" s="187"/>
      <c r="GK76" s="8"/>
      <c r="GL76" s="8"/>
      <c r="GM76" s="188"/>
      <c r="GN76" s="183"/>
      <c r="GO76" s="184"/>
      <c r="GP76" s="185"/>
      <c r="GQ76" s="184"/>
      <c r="GR76" s="186"/>
      <c r="GS76" s="187"/>
      <c r="GT76" s="187"/>
      <c r="GU76" s="29"/>
      <c r="GV76" s="191"/>
      <c r="GW76" s="31"/>
      <c r="GX76" s="31"/>
      <c r="GY76" s="32"/>
      <c r="GZ76" s="33"/>
    </row>
    <row r="77" spans="1:208" x14ac:dyDescent="0.25">
      <c r="A77"/>
      <c r="D77" s="35"/>
      <c r="E77" s="36"/>
      <c r="F77" s="37"/>
      <c r="G77" s="38"/>
      <c r="H77" s="39"/>
      <c r="I77" s="40"/>
      <c r="J77" s="177"/>
      <c r="K77" s="452"/>
      <c r="P77" s="27"/>
      <c r="Q77" s="180"/>
      <c r="R77" s="180"/>
      <c r="S77" s="180"/>
      <c r="T77" s="39">
        <f t="shared" si="6"/>
        <v>0</v>
      </c>
      <c r="U77" s="181"/>
      <c r="V77" s="182"/>
      <c r="W77" s="30"/>
      <c r="X77" s="8"/>
      <c r="Y77" s="183"/>
      <c r="Z77" s="184"/>
      <c r="AA77" s="185"/>
      <c r="AB77" s="184"/>
      <c r="AC77" s="186"/>
      <c r="AD77" s="187"/>
      <c r="AE77" s="8"/>
      <c r="AF77" s="8"/>
      <c r="AG77" s="188"/>
      <c r="AH77" s="183"/>
      <c r="AI77" s="184"/>
      <c r="AJ77" s="185"/>
      <c r="AK77" s="28"/>
      <c r="AL77" s="186"/>
      <c r="AM77" s="187"/>
      <c r="AN77" s="8"/>
      <c r="AO77" s="8"/>
      <c r="AP77" s="188"/>
      <c r="AQ77" s="183"/>
      <c r="AR77" s="184"/>
      <c r="AS77" s="185"/>
      <c r="AT77" s="184"/>
      <c r="AU77" s="186"/>
      <c r="AV77" s="187"/>
      <c r="AW77" s="8"/>
      <c r="AX77" s="8"/>
      <c r="AY77" s="188"/>
      <c r="AZ77" s="183"/>
      <c r="BA77" s="184"/>
      <c r="BB77" s="185"/>
      <c r="BC77" s="28"/>
      <c r="BD77" s="186"/>
      <c r="BE77" s="187"/>
      <c r="BF77" s="8"/>
      <c r="BG77" s="8"/>
      <c r="BH77" s="188"/>
      <c r="BI77" s="183"/>
      <c r="BJ77" s="184"/>
      <c r="BK77" s="185"/>
      <c r="BL77" s="28"/>
      <c r="BM77" s="186"/>
      <c r="BN77" s="187"/>
      <c r="BO77" s="8"/>
      <c r="BP77" s="8"/>
      <c r="BQ77" s="188"/>
      <c r="BR77" s="183"/>
      <c r="BS77" s="184"/>
      <c r="BT77" s="185"/>
      <c r="BU77" s="184"/>
      <c r="BV77" s="186"/>
      <c r="BW77" s="187"/>
      <c r="BX77" s="8"/>
      <c r="BY77" s="8"/>
      <c r="BZ77" s="188"/>
      <c r="CA77" s="183"/>
      <c r="CB77" s="184"/>
      <c r="CC77" s="185"/>
      <c r="CD77" s="184"/>
      <c r="CE77" s="186"/>
      <c r="CF77" s="187"/>
      <c r="CG77" s="8"/>
      <c r="CH77" s="8"/>
      <c r="CI77" s="188"/>
      <c r="CJ77" s="183"/>
      <c r="CK77" s="184"/>
      <c r="CL77" s="185"/>
      <c r="CM77" s="184"/>
      <c r="CN77" s="186"/>
      <c r="CO77" s="187"/>
      <c r="CP77" s="8"/>
      <c r="CQ77" s="8"/>
      <c r="CR77" s="188"/>
      <c r="CS77" s="183"/>
      <c r="CT77" s="184"/>
      <c r="CU77" s="189"/>
      <c r="CV77" s="28"/>
      <c r="CW77" s="190"/>
      <c r="CX77" s="187"/>
      <c r="CY77" s="8"/>
      <c r="CZ77" s="8"/>
      <c r="DA77" s="188"/>
      <c r="DB77" s="183"/>
      <c r="DC77" s="184"/>
      <c r="DD77" s="185"/>
      <c r="DE77" s="184"/>
      <c r="DF77" s="186"/>
      <c r="DG77" s="187"/>
      <c r="DH77" s="8"/>
      <c r="DI77" s="8"/>
      <c r="DJ77" s="188"/>
      <c r="DK77" s="183"/>
      <c r="DL77" s="184"/>
      <c r="DM77" s="189"/>
      <c r="DN77" s="28"/>
      <c r="DO77" s="190"/>
      <c r="DP77" s="187"/>
      <c r="DQ77" s="8"/>
      <c r="DR77" s="8"/>
      <c r="DS77" s="188"/>
      <c r="DT77" s="183"/>
      <c r="DU77" s="184"/>
      <c r="DV77" s="185"/>
      <c r="DW77" s="184"/>
      <c r="DX77" s="186"/>
      <c r="DY77" s="187"/>
      <c r="DZ77" s="8"/>
      <c r="EA77" s="8"/>
      <c r="EB77" s="188"/>
      <c r="EC77" s="183"/>
      <c r="ED77" s="184"/>
      <c r="EE77" s="189"/>
      <c r="EF77" s="28"/>
      <c r="EG77" s="190"/>
      <c r="EH77" s="187"/>
      <c r="EI77" s="8"/>
      <c r="EJ77" s="8"/>
      <c r="EK77" s="188"/>
      <c r="EL77" s="183"/>
      <c r="EM77" s="184"/>
      <c r="EN77" s="189"/>
      <c r="EO77" s="28"/>
      <c r="EP77" s="190"/>
      <c r="EQ77" s="187"/>
      <c r="ER77" s="8"/>
      <c r="ES77" s="8"/>
      <c r="ET77" s="188"/>
      <c r="EU77" s="183"/>
      <c r="EV77" s="184"/>
      <c r="EW77" s="185"/>
      <c r="EX77" s="184"/>
      <c r="EY77" s="186"/>
      <c r="EZ77" s="187"/>
      <c r="FA77" s="8"/>
      <c r="FB77" s="8"/>
      <c r="FC77" s="188"/>
      <c r="FD77" s="183"/>
      <c r="FE77" s="184"/>
      <c r="FF77" s="185"/>
      <c r="FG77" s="184"/>
      <c r="FH77" s="186"/>
      <c r="FI77" s="187"/>
      <c r="FJ77" s="8"/>
      <c r="FK77" s="8"/>
      <c r="FL77" s="188"/>
      <c r="FM77" s="183"/>
      <c r="FN77" s="184"/>
      <c r="FO77" s="185"/>
      <c r="FP77" s="184"/>
      <c r="FQ77" s="186"/>
      <c r="FR77" s="187"/>
      <c r="FS77" s="8"/>
      <c r="FT77" s="8"/>
      <c r="FU77" s="188"/>
      <c r="FV77" s="183"/>
      <c r="FW77" s="184"/>
      <c r="FX77" s="185"/>
      <c r="FY77" s="184"/>
      <c r="FZ77" s="186"/>
      <c r="GA77" s="187"/>
      <c r="GB77" s="8"/>
      <c r="GC77" s="8"/>
      <c r="GD77" s="188"/>
      <c r="GE77" s="183"/>
      <c r="GF77" s="184"/>
      <c r="GG77" s="185"/>
      <c r="GH77" s="184"/>
      <c r="GI77" s="186"/>
      <c r="GJ77" s="187"/>
      <c r="GK77" s="8"/>
      <c r="GL77" s="8"/>
      <c r="GM77" s="188"/>
      <c r="GN77" s="183"/>
      <c r="GO77" s="184"/>
      <c r="GP77" s="185"/>
      <c r="GQ77" s="184"/>
      <c r="GR77" s="186"/>
      <c r="GS77" s="187"/>
      <c r="GT77" s="187"/>
      <c r="GU77" s="29"/>
      <c r="GV77" s="191"/>
      <c r="GW77" s="31"/>
      <c r="GX77" s="31"/>
      <c r="GY77" s="32"/>
      <c r="GZ77" s="33"/>
    </row>
    <row r="78" spans="1:208" ht="16.5" thickBot="1" x14ac:dyDescent="0.3">
      <c r="A78"/>
      <c r="D78" s="35"/>
      <c r="E78" s="36"/>
      <c r="F78" s="37"/>
      <c r="G78" s="38"/>
      <c r="H78" s="39"/>
      <c r="I78" s="40"/>
      <c r="J78" s="177"/>
      <c r="K78" s="452"/>
      <c r="O78" s="192"/>
      <c r="P78" s="27"/>
      <c r="Q78" s="180"/>
      <c r="R78" s="180"/>
      <c r="S78" s="180"/>
      <c r="T78" s="39">
        <f t="shared" si="6"/>
        <v>0</v>
      </c>
      <c r="U78" s="181"/>
      <c r="V78" s="182"/>
      <c r="W78" s="30"/>
      <c r="X78" s="8"/>
      <c r="Y78" s="183"/>
      <c r="Z78" s="184"/>
      <c r="AA78" s="185"/>
      <c r="AB78" s="184"/>
      <c r="AC78" s="186"/>
      <c r="AD78" s="187"/>
      <c r="AE78" s="8"/>
      <c r="AF78" s="8"/>
      <c r="AG78" s="188"/>
      <c r="AH78" s="183"/>
      <c r="AI78" s="184"/>
      <c r="AJ78" s="185"/>
      <c r="AK78" s="28"/>
      <c r="AL78" s="186"/>
      <c r="AM78" s="187"/>
      <c r="AN78" s="8"/>
      <c r="AO78" s="8"/>
      <c r="AP78" s="188"/>
      <c r="AQ78" s="183"/>
      <c r="AR78" s="184"/>
      <c r="AS78" s="185"/>
      <c r="AT78" s="184"/>
      <c r="AU78" s="186"/>
      <c r="AV78" s="187"/>
      <c r="AW78" s="8"/>
      <c r="AX78" s="8"/>
      <c r="AY78" s="188"/>
      <c r="AZ78" s="183"/>
      <c r="BA78" s="184"/>
      <c r="BB78" s="185"/>
      <c r="BC78" s="28"/>
      <c r="BD78" s="186"/>
      <c r="BE78" s="187"/>
      <c r="BF78" s="8"/>
      <c r="BG78" s="8"/>
      <c r="BH78" s="188"/>
      <c r="BI78" s="183"/>
      <c r="BJ78" s="184"/>
      <c r="BK78" s="185"/>
      <c r="BL78" s="28"/>
      <c r="BM78" s="186"/>
      <c r="BN78" s="187"/>
      <c r="BO78" s="8"/>
      <c r="BP78" s="8"/>
      <c r="BQ78" s="188"/>
      <c r="BR78" s="183"/>
      <c r="BS78" s="184"/>
      <c r="BT78" s="185"/>
      <c r="BU78" s="184"/>
      <c r="BV78" s="186"/>
      <c r="BW78" s="187"/>
      <c r="BX78" s="8"/>
      <c r="BY78" s="8"/>
      <c r="BZ78" s="188"/>
      <c r="CA78" s="183"/>
      <c r="CB78" s="184"/>
      <c r="CC78" s="185"/>
      <c r="CD78" s="184"/>
      <c r="CE78" s="186"/>
      <c r="CF78" s="187"/>
      <c r="CG78" s="8"/>
      <c r="CH78" s="8"/>
      <c r="CI78" s="188"/>
      <c r="CJ78" s="183"/>
      <c r="CK78" s="184"/>
      <c r="CL78" s="185"/>
      <c r="CM78" s="184"/>
      <c r="CN78" s="186"/>
      <c r="CO78" s="187"/>
      <c r="CP78" s="8"/>
      <c r="CQ78" s="8"/>
      <c r="CR78" s="188"/>
      <c r="CS78" s="183"/>
      <c r="CT78" s="184"/>
      <c r="CU78" s="189"/>
      <c r="CV78" s="28"/>
      <c r="CW78" s="190"/>
      <c r="CX78" s="187"/>
      <c r="CY78" s="8"/>
      <c r="CZ78" s="8"/>
      <c r="DA78" s="188"/>
      <c r="DB78" s="183"/>
      <c r="DC78" s="184"/>
      <c r="DD78" s="185"/>
      <c r="DE78" s="184"/>
      <c r="DF78" s="186"/>
      <c r="DG78" s="187"/>
      <c r="DH78" s="8"/>
      <c r="DI78" s="8"/>
      <c r="DJ78" s="188"/>
      <c r="DK78" s="183"/>
      <c r="DL78" s="184"/>
      <c r="DM78" s="189"/>
      <c r="DN78" s="28"/>
      <c r="DO78" s="190"/>
      <c r="DP78" s="187"/>
      <c r="DQ78" s="8"/>
      <c r="DR78" s="8"/>
      <c r="DS78" s="188"/>
      <c r="DT78" s="183"/>
      <c r="DU78" s="184"/>
      <c r="DV78" s="185"/>
      <c r="DW78" s="184"/>
      <c r="DX78" s="186"/>
      <c r="DY78" s="187"/>
      <c r="DZ78" s="8"/>
      <c r="EA78" s="8"/>
      <c r="EB78" s="188"/>
      <c r="EC78" s="183"/>
      <c r="ED78" s="184"/>
      <c r="EE78" s="189"/>
      <c r="EF78" s="28"/>
      <c r="EG78" s="190"/>
      <c r="EH78" s="187"/>
      <c r="EI78" s="8"/>
      <c r="EJ78" s="8"/>
      <c r="EK78" s="188"/>
      <c r="EL78" s="183"/>
      <c r="EM78" s="184"/>
      <c r="EN78" s="189"/>
      <c r="EO78" s="28"/>
      <c r="EP78" s="190"/>
      <c r="EQ78" s="187"/>
      <c r="ER78" s="8"/>
      <c r="ES78" s="8"/>
      <c r="ET78" s="188"/>
      <c r="EU78" s="183"/>
      <c r="EV78" s="184"/>
      <c r="EW78" s="185"/>
      <c r="EX78" s="184"/>
      <c r="EY78" s="186"/>
      <c r="EZ78" s="187"/>
      <c r="FA78" s="8"/>
      <c r="FB78" s="8"/>
      <c r="FC78" s="188"/>
      <c r="FD78" s="183"/>
      <c r="FE78" s="184"/>
      <c r="FF78" s="185"/>
      <c r="FG78" s="184"/>
      <c r="FH78" s="186"/>
      <c r="FI78" s="187"/>
      <c r="FJ78" s="8"/>
      <c r="FK78" s="8"/>
      <c r="FL78" s="188"/>
      <c r="FM78" s="183"/>
      <c r="FN78" s="184"/>
      <c r="FO78" s="185"/>
      <c r="FP78" s="184"/>
      <c r="FQ78" s="186"/>
      <c r="FR78" s="187"/>
      <c r="FS78" s="8"/>
      <c r="FT78" s="8"/>
      <c r="FU78" s="188"/>
      <c r="FV78" s="183"/>
      <c r="FW78" s="184"/>
      <c r="FX78" s="185"/>
      <c r="FY78" s="184"/>
      <c r="FZ78" s="186"/>
      <c r="GA78" s="187"/>
      <c r="GB78" s="8"/>
      <c r="GC78" s="8"/>
      <c r="GD78" s="188"/>
      <c r="GE78" s="183"/>
      <c r="GF78" s="184"/>
      <c r="GG78" s="185"/>
      <c r="GH78" s="184"/>
      <c r="GI78" s="186"/>
      <c r="GJ78" s="187"/>
      <c r="GK78" s="8"/>
      <c r="GL78" s="8"/>
      <c r="GM78" s="188"/>
      <c r="GN78" s="183"/>
      <c r="GO78" s="184"/>
      <c r="GP78" s="185"/>
      <c r="GQ78" s="184"/>
      <c r="GR78" s="186"/>
      <c r="GS78" s="187"/>
      <c r="GT78" s="187"/>
      <c r="GU78" s="29"/>
      <c r="GV78" s="191"/>
      <c r="GW78" s="31"/>
      <c r="GX78" s="31"/>
      <c r="GY78" s="32"/>
      <c r="GZ78" s="33"/>
    </row>
    <row r="79" spans="1:208" ht="20.25" thickTop="1" thickBot="1" x14ac:dyDescent="0.35">
      <c r="A79"/>
      <c r="D79" s="35"/>
      <c r="E79" s="36"/>
      <c r="F79" s="37"/>
      <c r="G79" s="38"/>
      <c r="H79" s="39"/>
      <c r="I79" s="40"/>
      <c r="J79" s="177"/>
      <c r="K79" s="452"/>
      <c r="M79" s="870" t="s">
        <v>28</v>
      </c>
      <c r="N79" s="871"/>
      <c r="O79" s="872">
        <f>SUM(O9:O78)</f>
        <v>744027.33000000007</v>
      </c>
      <c r="P79" s="193"/>
      <c r="Q79" s="180"/>
      <c r="R79" s="194"/>
      <c r="S79" s="180"/>
      <c r="T79" s="39">
        <f t="shared" si="6"/>
        <v>0</v>
      </c>
      <c r="U79" s="181"/>
      <c r="V79" s="182"/>
      <c r="W79" s="30"/>
      <c r="X79" s="195"/>
      <c r="Y79" s="196"/>
      <c r="Z79" s="197"/>
      <c r="AA79" s="198"/>
      <c r="AB79" s="197"/>
      <c r="AC79" s="199"/>
      <c r="AD79" s="200"/>
      <c r="AE79" s="195"/>
      <c r="AF79" s="195"/>
      <c r="AG79" s="201"/>
      <c r="AH79" s="196"/>
      <c r="AI79" s="197"/>
      <c r="AJ79" s="198"/>
      <c r="AK79" s="202"/>
      <c r="AL79" s="199"/>
      <c r="AM79" s="200"/>
      <c r="AN79" s="195"/>
      <c r="AO79" s="195"/>
      <c r="AP79" s="201"/>
      <c r="AQ79" s="196"/>
      <c r="AR79" s="197"/>
      <c r="AS79" s="198"/>
      <c r="AT79" s="197"/>
      <c r="AU79" s="199"/>
      <c r="AV79" s="200"/>
      <c r="AW79" s="195"/>
      <c r="AX79" s="195"/>
      <c r="AY79" s="201"/>
      <c r="AZ79" s="196"/>
      <c r="BA79" s="197"/>
      <c r="BB79" s="198"/>
      <c r="BC79" s="202"/>
      <c r="BD79" s="199"/>
      <c r="BE79" s="200"/>
      <c r="BF79" s="195"/>
      <c r="BG79" s="195"/>
      <c r="BH79" s="201"/>
      <c r="BI79" s="196"/>
      <c r="BJ79" s="197"/>
      <c r="BK79" s="198"/>
      <c r="BL79" s="202"/>
      <c r="BM79" s="199"/>
      <c r="BN79" s="200"/>
      <c r="BO79" s="195"/>
      <c r="BP79" s="195"/>
      <c r="BQ79" s="201"/>
      <c r="BR79" s="196"/>
      <c r="BS79" s="197"/>
      <c r="BT79" s="198"/>
      <c r="BU79" s="197"/>
      <c r="BV79" s="199"/>
      <c r="BW79" s="200"/>
      <c r="BX79" s="195"/>
      <c r="BY79" s="195"/>
      <c r="BZ79" s="201"/>
      <c r="CA79" s="196"/>
      <c r="CB79" s="197"/>
      <c r="CC79" s="198"/>
      <c r="CD79" s="197"/>
      <c r="CE79" s="199"/>
      <c r="CF79" s="200"/>
      <c r="CG79" s="195"/>
      <c r="CH79" s="195"/>
      <c r="CI79" s="201"/>
      <c r="CJ79" s="196"/>
      <c r="CK79" s="197"/>
      <c r="CL79" s="198"/>
      <c r="CM79" s="197"/>
      <c r="CN79" s="199"/>
      <c r="CO79" s="200"/>
      <c r="CP79" s="195"/>
      <c r="CQ79" s="195"/>
      <c r="CR79" s="201"/>
      <c r="CS79" s="196"/>
      <c r="CT79" s="197"/>
      <c r="CU79" s="203"/>
      <c r="CV79" s="202"/>
      <c r="CW79" s="204"/>
      <c r="CX79" s="200"/>
      <c r="CY79" s="195"/>
      <c r="CZ79" s="195"/>
      <c r="DA79" s="201"/>
      <c r="DB79" s="196"/>
      <c r="DC79" s="197"/>
      <c r="DD79" s="198"/>
      <c r="DE79" s="197"/>
      <c r="DF79" s="199"/>
      <c r="DG79" s="200"/>
      <c r="DH79" s="195"/>
      <c r="DI79" s="195"/>
      <c r="DJ79" s="201"/>
      <c r="DK79" s="196"/>
      <c r="DL79" s="197"/>
      <c r="DM79" s="203"/>
      <c r="DN79" s="202"/>
      <c r="DO79" s="204"/>
      <c r="DP79" s="200"/>
      <c r="DQ79" s="195"/>
      <c r="DR79" s="195"/>
      <c r="DS79" s="201"/>
      <c r="DT79" s="196"/>
      <c r="DU79" s="197"/>
      <c r="DV79" s="198"/>
      <c r="DW79" s="197"/>
      <c r="DX79" s="199"/>
      <c r="DY79" s="200"/>
      <c r="DZ79" s="195"/>
      <c r="EA79" s="195"/>
      <c r="EB79" s="201"/>
      <c r="EC79" s="196"/>
      <c r="ED79" s="197"/>
      <c r="EE79" s="203"/>
      <c r="EF79" s="202"/>
      <c r="EG79" s="204"/>
      <c r="EH79" s="200"/>
      <c r="EI79" s="195"/>
      <c r="EJ79" s="195"/>
      <c r="EK79" s="201"/>
      <c r="EL79" s="196"/>
      <c r="EM79" s="197"/>
      <c r="EN79" s="203"/>
      <c r="EO79" s="202"/>
      <c r="EP79" s="204"/>
      <c r="EQ79" s="200"/>
      <c r="ER79" s="195"/>
      <c r="ES79" s="195"/>
      <c r="ET79" s="201"/>
      <c r="EU79" s="196"/>
      <c r="EV79" s="197"/>
      <c r="EW79" s="198"/>
      <c r="EX79" s="197"/>
      <c r="EY79" s="199"/>
      <c r="EZ79" s="200"/>
      <c r="FA79" s="195"/>
      <c r="FB79" s="195"/>
      <c r="FC79" s="201"/>
      <c r="FD79" s="196"/>
      <c r="FE79" s="197"/>
      <c r="FF79" s="198"/>
      <c r="FG79" s="197"/>
      <c r="FH79" s="199"/>
      <c r="FI79" s="200"/>
      <c r="FJ79" s="195"/>
      <c r="FK79" s="195"/>
      <c r="FL79" s="201"/>
      <c r="FM79" s="196"/>
      <c r="FN79" s="197"/>
      <c r="FO79" s="198"/>
      <c r="FP79" s="197"/>
      <c r="FQ79" s="199"/>
      <c r="FR79" s="200"/>
      <c r="FS79" s="195"/>
      <c r="FT79" s="195"/>
      <c r="FU79" s="201"/>
      <c r="FV79" s="196"/>
      <c r="FW79" s="197"/>
      <c r="FX79" s="198"/>
      <c r="FY79" s="197"/>
      <c r="FZ79" s="199"/>
      <c r="GA79" s="200"/>
      <c r="GB79" s="195"/>
      <c r="GC79" s="195"/>
      <c r="GD79" s="201"/>
      <c r="GE79" s="196"/>
      <c r="GF79" s="197"/>
      <c r="GG79" s="198"/>
      <c r="GH79" s="197"/>
      <c r="GI79" s="199"/>
      <c r="GJ79" s="200"/>
      <c r="GK79" s="195"/>
      <c r="GL79" s="195"/>
      <c r="GM79" s="201"/>
      <c r="GN79" s="196"/>
      <c r="GO79" s="197"/>
      <c r="GP79" s="198"/>
      <c r="GQ79" s="197"/>
      <c r="GR79" s="199"/>
      <c r="GS79" s="200"/>
      <c r="GT79" s="187"/>
      <c r="GU79" s="29"/>
      <c r="GV79" s="205"/>
      <c r="GZ79" s="33"/>
    </row>
    <row r="80" spans="1:208" ht="19.5" thickBot="1" x14ac:dyDescent="0.3">
      <c r="A80"/>
      <c r="D80" s="35"/>
      <c r="E80" s="36"/>
      <c r="F80" s="37"/>
      <c r="G80" s="38"/>
      <c r="H80" s="39"/>
      <c r="I80" s="40"/>
      <c r="J80" s="208"/>
      <c r="K80" s="452"/>
      <c r="O80" s="873"/>
      <c r="P80" s="193"/>
      <c r="Q80" s="180"/>
      <c r="R80" s="194"/>
      <c r="S80" s="180"/>
      <c r="T80" s="39">
        <f t="shared" si="6"/>
        <v>0</v>
      </c>
      <c r="U80" s="181"/>
      <c r="V80" s="182"/>
      <c r="W80" s="30"/>
      <c r="X80" s="195"/>
      <c r="Y80" s="196"/>
      <c r="Z80" s="197"/>
      <c r="AA80" s="198"/>
      <c r="AB80" s="197"/>
      <c r="AC80" s="199"/>
      <c r="AD80" s="200"/>
      <c r="AE80" s="195"/>
      <c r="AF80" s="195"/>
      <c r="AG80" s="201"/>
      <c r="AH80" s="196"/>
      <c r="AI80" s="197"/>
      <c r="AJ80" s="198"/>
      <c r="AK80" s="202"/>
      <c r="AL80" s="199"/>
      <c r="AM80" s="200"/>
      <c r="AN80" s="195"/>
      <c r="AO80" s="195"/>
      <c r="AP80" s="201"/>
      <c r="AQ80" s="196"/>
      <c r="AR80" s="197"/>
      <c r="AS80" s="198"/>
      <c r="AT80" s="197"/>
      <c r="AU80" s="199"/>
      <c r="AV80" s="200"/>
      <c r="AW80" s="195"/>
      <c r="AX80" s="195"/>
      <c r="AY80" s="201"/>
      <c r="AZ80" s="196"/>
      <c r="BA80" s="197"/>
      <c r="BB80" s="198"/>
      <c r="BC80" s="202"/>
      <c r="BD80" s="199"/>
      <c r="BE80" s="200"/>
      <c r="BF80" s="195"/>
      <c r="BG80" s="195"/>
      <c r="BH80" s="201"/>
      <c r="BI80" s="196"/>
      <c r="BJ80" s="197"/>
      <c r="BK80" s="198"/>
      <c r="BL80" s="202"/>
      <c r="BM80" s="199"/>
      <c r="BN80" s="200"/>
      <c r="BO80" s="195"/>
      <c r="BP80" s="195"/>
      <c r="BQ80" s="201"/>
      <c r="BR80" s="196"/>
      <c r="BS80" s="197"/>
      <c r="BT80" s="198"/>
      <c r="BU80" s="197"/>
      <c r="BV80" s="199"/>
      <c r="BW80" s="200"/>
      <c r="BX80" s="195"/>
      <c r="BY80" s="195"/>
      <c r="BZ80" s="201"/>
      <c r="CA80" s="196"/>
      <c r="CB80" s="197"/>
      <c r="CC80" s="198"/>
      <c r="CD80" s="197"/>
      <c r="CE80" s="199"/>
      <c r="CF80" s="200"/>
      <c r="CG80" s="195"/>
      <c r="CH80" s="195"/>
      <c r="CI80" s="201"/>
      <c r="CJ80" s="196"/>
      <c r="CK80" s="197"/>
      <c r="CL80" s="198"/>
      <c r="CM80" s="197"/>
      <c r="CN80" s="199"/>
      <c r="CO80" s="200"/>
      <c r="CP80" s="195"/>
      <c r="CQ80" s="195"/>
      <c r="CR80" s="201"/>
      <c r="CS80" s="196"/>
      <c r="CT80" s="197"/>
      <c r="CU80" s="203"/>
      <c r="CV80" s="202"/>
      <c r="CW80" s="204"/>
      <c r="CX80" s="200"/>
      <c r="CY80" s="195"/>
      <c r="CZ80" s="195"/>
      <c r="DA80" s="201"/>
      <c r="DB80" s="196"/>
      <c r="DC80" s="197"/>
      <c r="DD80" s="198"/>
      <c r="DE80" s="197"/>
      <c r="DF80" s="199"/>
      <c r="DG80" s="200"/>
      <c r="DH80" s="195"/>
      <c r="DI80" s="195"/>
      <c r="DJ80" s="201"/>
      <c r="DK80" s="196"/>
      <c r="DL80" s="197"/>
      <c r="DM80" s="203"/>
      <c r="DN80" s="202"/>
      <c r="DO80" s="204"/>
      <c r="DP80" s="200"/>
      <c r="DQ80" s="195"/>
      <c r="DR80" s="195"/>
      <c r="DS80" s="201"/>
      <c r="DT80" s="196"/>
      <c r="DU80" s="197"/>
      <c r="DV80" s="198"/>
      <c r="DW80" s="197"/>
      <c r="DX80" s="199"/>
      <c r="DY80" s="200"/>
      <c r="DZ80" s="195"/>
      <c r="EA80" s="195"/>
      <c r="EB80" s="201"/>
      <c r="EC80" s="196"/>
      <c r="ED80" s="197"/>
      <c r="EE80" s="203"/>
      <c r="EF80" s="202"/>
      <c r="EG80" s="204"/>
      <c r="EH80" s="200"/>
      <c r="EI80" s="195"/>
      <c r="EJ80" s="195"/>
      <c r="EK80" s="201"/>
      <c r="EL80" s="196"/>
      <c r="EM80" s="197"/>
      <c r="EN80" s="203"/>
      <c r="EO80" s="202"/>
      <c r="EP80" s="204"/>
      <c r="EQ80" s="200"/>
      <c r="ER80" s="195"/>
      <c r="ES80" s="195"/>
      <c r="ET80" s="201"/>
      <c r="EU80" s="196"/>
      <c r="EV80" s="197"/>
      <c r="EW80" s="198"/>
      <c r="EX80" s="197"/>
      <c r="EY80" s="199"/>
      <c r="EZ80" s="200"/>
      <c r="FA80" s="195"/>
      <c r="FB80" s="195"/>
      <c r="FC80" s="201"/>
      <c r="FD80" s="196"/>
      <c r="FE80" s="197"/>
      <c r="FF80" s="198"/>
      <c r="FG80" s="197"/>
      <c r="FH80" s="199"/>
      <c r="FI80" s="200"/>
      <c r="FJ80" s="195"/>
      <c r="FK80" s="195"/>
      <c r="FL80" s="201"/>
      <c r="FM80" s="196"/>
      <c r="FN80" s="197"/>
      <c r="FO80" s="198"/>
      <c r="FP80" s="197"/>
      <c r="FQ80" s="199"/>
      <c r="FR80" s="200"/>
      <c r="FS80" s="195"/>
      <c r="FT80" s="195"/>
      <c r="FU80" s="201"/>
      <c r="FV80" s="196"/>
      <c r="FW80" s="197"/>
      <c r="FX80" s="198"/>
      <c r="FY80" s="197"/>
      <c r="FZ80" s="199"/>
      <c r="GA80" s="200"/>
      <c r="GB80" s="195"/>
      <c r="GC80" s="195"/>
      <c r="GD80" s="201"/>
      <c r="GE80" s="196"/>
      <c r="GF80" s="197"/>
      <c r="GG80" s="198"/>
      <c r="GH80" s="197"/>
      <c r="GI80" s="199"/>
      <c r="GJ80" s="200"/>
      <c r="GK80" s="195"/>
      <c r="GL80" s="195"/>
      <c r="GM80" s="201"/>
      <c r="GN80" s="196"/>
      <c r="GO80" s="197"/>
      <c r="GP80" s="198"/>
      <c r="GQ80" s="197"/>
      <c r="GR80" s="199"/>
      <c r="GS80" s="200"/>
      <c r="GT80" s="187"/>
      <c r="GU80" s="29"/>
      <c r="GV80" s="205"/>
      <c r="GZ80" s="33"/>
    </row>
    <row r="81" spans="1:208" ht="16.5" thickTop="1" x14ac:dyDescent="0.25">
      <c r="A81"/>
      <c r="D81" s="35"/>
      <c r="E81" s="36"/>
      <c r="F81" s="37"/>
      <c r="G81" s="38"/>
      <c r="H81" s="39"/>
      <c r="I81" s="40"/>
      <c r="J81" s="177"/>
      <c r="K81" s="452"/>
      <c r="P81" s="27"/>
      <c r="Q81" s="180"/>
      <c r="R81" s="180"/>
      <c r="S81" s="180"/>
      <c r="T81" s="39">
        <f t="shared" si="6"/>
        <v>0</v>
      </c>
      <c r="U81" s="181"/>
      <c r="V81" s="182"/>
      <c r="W81" s="30"/>
      <c r="X81" s="195"/>
      <c r="Y81" s="196"/>
      <c r="Z81" s="197"/>
      <c r="AA81" s="198"/>
      <c r="AB81" s="197"/>
      <c r="AC81" s="199"/>
      <c r="AD81" s="200"/>
      <c r="AE81" s="195"/>
      <c r="AF81" s="195"/>
      <c r="AG81" s="201"/>
      <c r="AH81" s="196"/>
      <c r="AI81" s="197"/>
      <c r="AJ81" s="198"/>
      <c r="AK81" s="202"/>
      <c r="AL81" s="199"/>
      <c r="AM81" s="200"/>
      <c r="AN81" s="195"/>
      <c r="AO81" s="195"/>
      <c r="AP81" s="201"/>
      <c r="AQ81" s="196"/>
      <c r="AR81" s="197"/>
      <c r="AS81" s="198"/>
      <c r="AT81" s="197"/>
      <c r="AU81" s="199"/>
      <c r="AV81" s="200"/>
      <c r="AW81" s="195"/>
      <c r="AX81" s="195"/>
      <c r="AY81" s="201"/>
      <c r="AZ81" s="196"/>
      <c r="BA81" s="197"/>
      <c r="BB81" s="198"/>
      <c r="BC81" s="202"/>
      <c r="BD81" s="199"/>
      <c r="BE81" s="200"/>
      <c r="BF81" s="195"/>
      <c r="BG81" s="195"/>
      <c r="BH81" s="201"/>
      <c r="BI81" s="196"/>
      <c r="BJ81" s="197"/>
      <c r="BK81" s="198"/>
      <c r="BL81" s="202"/>
      <c r="BM81" s="199"/>
      <c r="BN81" s="200"/>
      <c r="BO81" s="195"/>
      <c r="BP81" s="195"/>
      <c r="BQ81" s="201"/>
      <c r="BR81" s="196"/>
      <c r="BS81" s="197"/>
      <c r="BT81" s="198"/>
      <c r="BU81" s="197"/>
      <c r="BV81" s="199"/>
      <c r="BW81" s="200"/>
      <c r="BX81" s="195"/>
      <c r="BY81" s="195"/>
      <c r="BZ81" s="201"/>
      <c r="CA81" s="196"/>
      <c r="CB81" s="197"/>
      <c r="CC81" s="198"/>
      <c r="CD81" s="197"/>
      <c r="CE81" s="199"/>
      <c r="CF81" s="200"/>
      <c r="CG81" s="195"/>
      <c r="CH81" s="195"/>
      <c r="CI81" s="201"/>
      <c r="CJ81" s="196"/>
      <c r="CK81" s="197"/>
      <c r="CL81" s="198"/>
      <c r="CM81" s="197"/>
      <c r="CN81" s="199"/>
      <c r="CO81" s="200"/>
      <c r="CP81" s="195"/>
      <c r="CQ81" s="195"/>
      <c r="CR81" s="201"/>
      <c r="CS81" s="196"/>
      <c r="CT81" s="197"/>
      <c r="CU81" s="203"/>
      <c r="CV81" s="202"/>
      <c r="CW81" s="204"/>
      <c r="CX81" s="200"/>
      <c r="CY81" s="195"/>
      <c r="CZ81" s="195"/>
      <c r="DA81" s="201"/>
      <c r="DB81" s="196"/>
      <c r="DC81" s="197"/>
      <c r="DD81" s="198"/>
      <c r="DE81" s="197"/>
      <c r="DF81" s="199"/>
      <c r="DG81" s="200"/>
      <c r="DH81" s="195"/>
      <c r="DI81" s="195"/>
      <c r="DJ81" s="201"/>
      <c r="DK81" s="196"/>
      <c r="DL81" s="197"/>
      <c r="DM81" s="203"/>
      <c r="DN81" s="202"/>
      <c r="DO81" s="204"/>
      <c r="DP81" s="200"/>
      <c r="DQ81" s="195"/>
      <c r="DR81" s="195"/>
      <c r="DS81" s="201"/>
      <c r="DT81" s="196"/>
      <c r="DU81" s="197"/>
      <c r="DV81" s="198"/>
      <c r="DW81" s="197"/>
      <c r="DX81" s="199"/>
      <c r="DY81" s="200"/>
      <c r="DZ81" s="195"/>
      <c r="EA81" s="195"/>
      <c r="EB81" s="201"/>
      <c r="EC81" s="196"/>
      <c r="ED81" s="197"/>
      <c r="EE81" s="203"/>
      <c r="EF81" s="202"/>
      <c r="EG81" s="204"/>
      <c r="EH81" s="200"/>
      <c r="EI81" s="195"/>
      <c r="EJ81" s="195"/>
      <c r="EK81" s="201"/>
      <c r="EL81" s="196"/>
      <c r="EM81" s="197"/>
      <c r="EN81" s="203"/>
      <c r="EO81" s="202"/>
      <c r="EP81" s="204"/>
      <c r="EQ81" s="200"/>
      <c r="ER81" s="195"/>
      <c r="ES81" s="195"/>
      <c r="ET81" s="201"/>
      <c r="EU81" s="196"/>
      <c r="EV81" s="197"/>
      <c r="EW81" s="198"/>
      <c r="EX81" s="197"/>
      <c r="EY81" s="199"/>
      <c r="EZ81" s="200"/>
      <c r="FA81" s="195"/>
      <c r="FB81" s="195"/>
      <c r="FC81" s="201"/>
      <c r="FD81" s="196"/>
      <c r="FE81" s="197"/>
      <c r="FF81" s="198"/>
      <c r="FG81" s="197"/>
      <c r="FH81" s="199"/>
      <c r="FI81" s="200"/>
      <c r="FJ81" s="195"/>
      <c r="FK81" s="195"/>
      <c r="FL81" s="201"/>
      <c r="FM81" s="196"/>
      <c r="FN81" s="197"/>
      <c r="FO81" s="198"/>
      <c r="FP81" s="197"/>
      <c r="FQ81" s="199"/>
      <c r="FR81" s="200"/>
      <c r="FS81" s="195"/>
      <c r="FT81" s="195"/>
      <c r="FU81" s="201"/>
      <c r="FV81" s="196"/>
      <c r="FW81" s="197"/>
      <c r="FX81" s="198"/>
      <c r="FY81" s="197"/>
      <c r="FZ81" s="199"/>
      <c r="GA81" s="200"/>
      <c r="GB81" s="195"/>
      <c r="GC81" s="195"/>
      <c r="GD81" s="201"/>
      <c r="GE81" s="196"/>
      <c r="GF81" s="197"/>
      <c r="GG81" s="198"/>
      <c r="GH81" s="197"/>
      <c r="GI81" s="199"/>
      <c r="GJ81" s="200"/>
      <c r="GK81" s="195"/>
      <c r="GL81" s="195"/>
      <c r="GM81" s="201"/>
      <c r="GN81" s="196"/>
      <c r="GO81" s="197"/>
      <c r="GP81" s="198"/>
      <c r="GQ81" s="197"/>
      <c r="GR81" s="199"/>
      <c r="GS81" s="200"/>
      <c r="GT81" s="187"/>
      <c r="GU81" s="29"/>
      <c r="GV81" s="205"/>
      <c r="GZ81" s="33"/>
    </row>
    <row r="82" spans="1:208" ht="16.5" thickBot="1" x14ac:dyDescent="0.3">
      <c r="A82"/>
      <c r="D82" s="35"/>
      <c r="E82" s="36"/>
      <c r="F82" s="37"/>
      <c r="G82" s="38"/>
      <c r="H82" s="39"/>
      <c r="I82" s="40"/>
      <c r="J82" s="177"/>
      <c r="K82" s="452"/>
      <c r="P82" s="27"/>
      <c r="Q82" s="209"/>
      <c r="T82" s="39">
        <f t="shared" si="6"/>
        <v>0</v>
      </c>
      <c r="U82" s="210"/>
      <c r="W82" s="30"/>
      <c r="X82" s="195"/>
      <c r="Y82" s="183"/>
      <c r="Z82" s="197"/>
      <c r="AA82" s="198"/>
      <c r="AB82" s="197"/>
      <c r="AC82" s="199"/>
      <c r="AD82" s="200"/>
      <c r="AE82" s="195"/>
      <c r="AF82" s="195"/>
      <c r="AG82" s="201"/>
      <c r="AH82" s="183"/>
      <c r="AI82" s="197"/>
      <c r="AJ82" s="198"/>
      <c r="AK82" s="202"/>
      <c r="AL82" s="199"/>
      <c r="AM82" s="200"/>
      <c r="AN82" s="195"/>
      <c r="AO82" s="195"/>
      <c r="AP82" s="201"/>
      <c r="AQ82" s="183"/>
      <c r="AR82" s="197"/>
      <c r="AS82" s="198"/>
      <c r="AT82" s="197"/>
      <c r="AU82" s="199"/>
      <c r="AV82" s="200"/>
      <c r="AW82" s="195"/>
      <c r="AX82" s="195"/>
      <c r="AY82" s="201"/>
      <c r="AZ82" s="183"/>
      <c r="BA82" s="197"/>
      <c r="BB82" s="198"/>
      <c r="BC82" s="202"/>
      <c r="BD82" s="199"/>
      <c r="BE82" s="200"/>
      <c r="BF82" s="195"/>
      <c r="BG82" s="195"/>
      <c r="BH82" s="201"/>
      <c r="BI82" s="183"/>
      <c r="BJ82" s="197"/>
      <c r="BK82" s="198"/>
      <c r="BL82" s="202"/>
      <c r="BM82" s="199"/>
      <c r="BN82" s="200"/>
      <c r="BO82" s="195"/>
      <c r="BP82" s="195"/>
      <c r="BQ82" s="201"/>
      <c r="BR82" s="183"/>
      <c r="BS82" s="197"/>
      <c r="BT82" s="198"/>
      <c r="BU82" s="197"/>
      <c r="BV82" s="199"/>
      <c r="BW82" s="200"/>
      <c r="BX82" s="195"/>
      <c r="BY82" s="195"/>
      <c r="BZ82" s="201"/>
      <c r="CA82" s="183"/>
      <c r="CB82" s="197"/>
      <c r="CC82" s="198"/>
      <c r="CD82" s="197"/>
      <c r="CE82" s="199"/>
      <c r="CF82" s="200"/>
      <c r="CG82" s="195"/>
      <c r="CH82" s="195"/>
      <c r="CI82" s="201"/>
      <c r="CJ82" s="183"/>
      <c r="CK82" s="197"/>
      <c r="CL82" s="198"/>
      <c r="CM82" s="197"/>
      <c r="CN82" s="199"/>
      <c r="CO82" s="200"/>
      <c r="CP82" s="195"/>
      <c r="CQ82" s="195"/>
      <c r="CR82" s="201"/>
      <c r="CS82" s="183"/>
      <c r="CT82" s="197"/>
      <c r="CU82" s="203"/>
      <c r="CV82" s="202"/>
      <c r="CW82" s="204"/>
      <c r="CX82" s="200"/>
      <c r="CY82" s="195"/>
      <c r="CZ82" s="195"/>
      <c r="DA82" s="201"/>
      <c r="DB82" s="183"/>
      <c r="DC82" s="197"/>
      <c r="DD82" s="198"/>
      <c r="DE82" s="197"/>
      <c r="DF82" s="199"/>
      <c r="DG82" s="200"/>
      <c r="DH82" s="195"/>
      <c r="DI82" s="195"/>
      <c r="DJ82" s="201"/>
      <c r="DK82" s="183"/>
      <c r="DL82" s="197"/>
      <c r="DM82" s="203"/>
      <c r="DN82" s="202"/>
      <c r="DO82" s="204"/>
      <c r="DP82" s="200"/>
      <c r="DQ82" s="195"/>
      <c r="DR82" s="195"/>
      <c r="DS82" s="201"/>
      <c r="DT82" s="183"/>
      <c r="DU82" s="197"/>
      <c r="DV82" s="198"/>
      <c r="DW82" s="197"/>
      <c r="DX82" s="199"/>
      <c r="DY82" s="200"/>
      <c r="DZ82" s="195"/>
      <c r="EA82" s="195"/>
      <c r="EB82" s="201"/>
      <c r="EC82" s="183"/>
      <c r="ED82" s="197"/>
      <c r="EE82" s="203"/>
      <c r="EF82" s="202"/>
      <c r="EG82" s="204"/>
      <c r="EH82" s="200"/>
      <c r="EI82" s="195"/>
      <c r="EJ82" s="195"/>
      <c r="EK82" s="201"/>
      <c r="EL82" s="183"/>
      <c r="EM82" s="197"/>
      <c r="EN82" s="203"/>
      <c r="EO82" s="202"/>
      <c r="EP82" s="204"/>
      <c r="EQ82" s="200"/>
      <c r="ER82" s="195"/>
      <c r="ES82" s="195"/>
      <c r="ET82" s="201"/>
      <c r="EU82" s="183"/>
      <c r="EV82" s="197"/>
      <c r="EW82" s="198"/>
      <c r="EX82" s="197"/>
      <c r="EY82" s="199"/>
      <c r="EZ82" s="200"/>
      <c r="FA82" s="195"/>
      <c r="FB82" s="195"/>
      <c r="FC82" s="201"/>
      <c r="FD82" s="183"/>
      <c r="FE82" s="197"/>
      <c r="FF82" s="198"/>
      <c r="FG82" s="197"/>
      <c r="FH82" s="199"/>
      <c r="FI82" s="200"/>
      <c r="FJ82" s="195"/>
      <c r="FK82" s="195"/>
      <c r="FL82" s="201"/>
      <c r="FM82" s="183"/>
      <c r="FN82" s="197"/>
      <c r="FO82" s="198"/>
      <c r="FP82" s="197"/>
      <c r="FQ82" s="199"/>
      <c r="FR82" s="200"/>
      <c r="FS82" s="195"/>
      <c r="FT82" s="195"/>
      <c r="FU82" s="201"/>
      <c r="FV82" s="183"/>
      <c r="FW82" s="197"/>
      <c r="FX82" s="198"/>
      <c r="FY82" s="197"/>
      <c r="FZ82" s="199"/>
      <c r="GA82" s="200"/>
      <c r="GB82" s="195"/>
      <c r="GC82" s="195"/>
      <c r="GD82" s="201"/>
      <c r="GE82" s="183"/>
      <c r="GF82" s="197"/>
      <c r="GG82" s="198"/>
      <c r="GH82" s="197"/>
      <c r="GI82" s="199"/>
      <c r="GJ82" s="200"/>
      <c r="GK82" s="195"/>
      <c r="GL82" s="195"/>
      <c r="GM82" s="201"/>
      <c r="GN82" s="183"/>
      <c r="GO82" s="197"/>
      <c r="GP82" s="198"/>
      <c r="GQ82" s="197"/>
      <c r="GR82" s="199"/>
      <c r="GS82" s="200"/>
      <c r="GT82" s="187"/>
      <c r="GU82" s="29"/>
      <c r="GV82" s="211"/>
      <c r="GZ82" s="33"/>
    </row>
    <row r="83" spans="1:208" ht="17.25" thickTop="1" thickBot="1" x14ac:dyDescent="0.3">
      <c r="A83"/>
      <c r="D83" s="35"/>
      <c r="E83" s="36"/>
      <c r="F83" s="37"/>
      <c r="G83" s="38"/>
      <c r="H83" s="39"/>
      <c r="I83" s="40"/>
      <c r="J83" s="177"/>
      <c r="M83" s="212"/>
      <c r="N83" s="213"/>
      <c r="O83" s="874" t="s">
        <v>29</v>
      </c>
      <c r="P83" s="875"/>
      <c r="Q83" s="875"/>
      <c r="R83" s="214">
        <f>SUM(R9:R82)</f>
        <v>0</v>
      </c>
      <c r="S83" s="215"/>
      <c r="T83" s="216">
        <f>SUM(T9:T82)</f>
        <v>18528817.73</v>
      </c>
      <c r="U83" s="217"/>
      <c r="W83" s="218">
        <f t="shared" ref="W83:CH83" si="7">SUM(W9:W82)</f>
        <v>489250.8</v>
      </c>
      <c r="X83" s="219">
        <f t="shared" si="7"/>
        <v>0</v>
      </c>
      <c r="Y83" s="219">
        <f t="shared" si="7"/>
        <v>0</v>
      </c>
      <c r="Z83" s="219">
        <f t="shared" si="7"/>
        <v>0</v>
      </c>
      <c r="AA83" s="219">
        <f t="shared" si="7"/>
        <v>0</v>
      </c>
      <c r="AB83" s="219">
        <f t="shared" si="7"/>
        <v>0</v>
      </c>
      <c r="AC83" s="219">
        <f t="shared" si="7"/>
        <v>0</v>
      </c>
      <c r="AD83" s="219">
        <f t="shared" si="7"/>
        <v>0</v>
      </c>
      <c r="AE83" s="219">
        <f t="shared" si="7"/>
        <v>0</v>
      </c>
      <c r="AF83" s="219">
        <f t="shared" si="7"/>
        <v>0</v>
      </c>
      <c r="AG83" s="219">
        <f t="shared" si="7"/>
        <v>0</v>
      </c>
      <c r="AH83" s="219">
        <f t="shared" si="7"/>
        <v>0</v>
      </c>
      <c r="AI83" s="219">
        <f t="shared" si="7"/>
        <v>0</v>
      </c>
      <c r="AJ83" s="219">
        <f t="shared" si="7"/>
        <v>0</v>
      </c>
      <c r="AK83" s="219">
        <f t="shared" si="7"/>
        <v>0</v>
      </c>
      <c r="AL83" s="219">
        <f t="shared" si="7"/>
        <v>0</v>
      </c>
      <c r="AM83" s="219">
        <f t="shared" si="7"/>
        <v>0</v>
      </c>
      <c r="AN83" s="219">
        <f t="shared" si="7"/>
        <v>0</v>
      </c>
      <c r="AO83" s="219">
        <f t="shared" si="7"/>
        <v>0</v>
      </c>
      <c r="AP83" s="219">
        <f t="shared" si="7"/>
        <v>0</v>
      </c>
      <c r="AQ83" s="219">
        <f t="shared" si="7"/>
        <v>0</v>
      </c>
      <c r="AR83" s="219">
        <f t="shared" si="7"/>
        <v>0</v>
      </c>
      <c r="AS83" s="219">
        <f t="shared" si="7"/>
        <v>0</v>
      </c>
      <c r="AT83" s="219">
        <f t="shared" si="7"/>
        <v>0</v>
      </c>
      <c r="AU83" s="219">
        <f t="shared" si="7"/>
        <v>0</v>
      </c>
      <c r="AV83" s="219">
        <f t="shared" si="7"/>
        <v>0</v>
      </c>
      <c r="AW83" s="219">
        <f t="shared" si="7"/>
        <v>0</v>
      </c>
      <c r="AX83" s="219">
        <f t="shared" si="7"/>
        <v>0</v>
      </c>
      <c r="AY83" s="219">
        <f t="shared" si="7"/>
        <v>0</v>
      </c>
      <c r="AZ83" s="219">
        <f t="shared" si="7"/>
        <v>0</v>
      </c>
      <c r="BA83" s="219">
        <f t="shared" si="7"/>
        <v>0</v>
      </c>
      <c r="BB83" s="219">
        <f t="shared" si="7"/>
        <v>0</v>
      </c>
      <c r="BC83" s="219">
        <f t="shared" si="7"/>
        <v>0</v>
      </c>
      <c r="BD83" s="219">
        <f t="shared" si="7"/>
        <v>0</v>
      </c>
      <c r="BE83" s="219">
        <f t="shared" si="7"/>
        <v>0</v>
      </c>
      <c r="BF83" s="219">
        <f t="shared" si="7"/>
        <v>0</v>
      </c>
      <c r="BG83" s="219">
        <f t="shared" si="7"/>
        <v>0</v>
      </c>
      <c r="BH83" s="219">
        <f t="shared" si="7"/>
        <v>0</v>
      </c>
      <c r="BI83" s="219">
        <f t="shared" si="7"/>
        <v>0</v>
      </c>
      <c r="BJ83" s="219">
        <f t="shared" si="7"/>
        <v>0</v>
      </c>
      <c r="BK83" s="219">
        <f t="shared" si="7"/>
        <v>0</v>
      </c>
      <c r="BL83" s="219">
        <f t="shared" si="7"/>
        <v>0</v>
      </c>
      <c r="BM83" s="219">
        <f t="shared" si="7"/>
        <v>0</v>
      </c>
      <c r="BN83" s="219">
        <f t="shared" si="7"/>
        <v>0</v>
      </c>
      <c r="BO83" s="219">
        <f t="shared" si="7"/>
        <v>0</v>
      </c>
      <c r="BP83" s="219">
        <f t="shared" si="7"/>
        <v>0</v>
      </c>
      <c r="BQ83" s="219">
        <f t="shared" si="7"/>
        <v>0</v>
      </c>
      <c r="BR83" s="219">
        <f t="shared" si="7"/>
        <v>0</v>
      </c>
      <c r="BS83" s="219">
        <f t="shared" si="7"/>
        <v>0</v>
      </c>
      <c r="BT83" s="219">
        <f t="shared" si="7"/>
        <v>0</v>
      </c>
      <c r="BU83" s="219">
        <f t="shared" si="7"/>
        <v>0</v>
      </c>
      <c r="BV83" s="219">
        <f t="shared" si="7"/>
        <v>0</v>
      </c>
      <c r="BW83" s="219">
        <f t="shared" si="7"/>
        <v>0</v>
      </c>
      <c r="BX83" s="219">
        <f t="shared" si="7"/>
        <v>0</v>
      </c>
      <c r="BY83" s="219">
        <f t="shared" si="7"/>
        <v>0</v>
      </c>
      <c r="BZ83" s="219">
        <f t="shared" si="7"/>
        <v>0</v>
      </c>
      <c r="CA83" s="219">
        <f t="shared" si="7"/>
        <v>0</v>
      </c>
      <c r="CB83" s="219">
        <f t="shared" si="7"/>
        <v>0</v>
      </c>
      <c r="CC83" s="219">
        <f t="shared" si="7"/>
        <v>0</v>
      </c>
      <c r="CD83" s="219">
        <f t="shared" si="7"/>
        <v>0</v>
      </c>
      <c r="CE83" s="219">
        <f t="shared" si="7"/>
        <v>0</v>
      </c>
      <c r="CF83" s="219">
        <f t="shared" si="7"/>
        <v>0</v>
      </c>
      <c r="CG83" s="219">
        <f t="shared" si="7"/>
        <v>0</v>
      </c>
      <c r="CH83" s="219">
        <f t="shared" si="7"/>
        <v>0</v>
      </c>
      <c r="CI83" s="219">
        <f t="shared" ref="CI83:ET83" si="8">SUM(CI9:CI82)</f>
        <v>0</v>
      </c>
      <c r="CJ83" s="219">
        <f t="shared" si="8"/>
        <v>0</v>
      </c>
      <c r="CK83" s="219">
        <f t="shared" si="8"/>
        <v>0</v>
      </c>
      <c r="CL83" s="219">
        <f t="shared" si="8"/>
        <v>0</v>
      </c>
      <c r="CM83" s="219">
        <f t="shared" si="8"/>
        <v>0</v>
      </c>
      <c r="CN83" s="219">
        <f t="shared" si="8"/>
        <v>0</v>
      </c>
      <c r="CO83" s="219">
        <f t="shared" si="8"/>
        <v>0</v>
      </c>
      <c r="CP83" s="219">
        <f t="shared" si="8"/>
        <v>0</v>
      </c>
      <c r="CQ83" s="219">
        <f t="shared" si="8"/>
        <v>0</v>
      </c>
      <c r="CR83" s="219">
        <f t="shared" si="8"/>
        <v>0</v>
      </c>
      <c r="CS83" s="219">
        <f t="shared" si="8"/>
        <v>0</v>
      </c>
      <c r="CT83" s="219">
        <f t="shared" si="8"/>
        <v>0</v>
      </c>
      <c r="CU83" s="219">
        <f t="shared" si="8"/>
        <v>0</v>
      </c>
      <c r="CV83" s="219">
        <f t="shared" si="8"/>
        <v>0</v>
      </c>
      <c r="CW83" s="219">
        <f t="shared" si="8"/>
        <v>0</v>
      </c>
      <c r="CX83" s="219">
        <f t="shared" si="8"/>
        <v>0</v>
      </c>
      <c r="CY83" s="219">
        <f t="shared" si="8"/>
        <v>0</v>
      </c>
      <c r="CZ83" s="219">
        <f t="shared" si="8"/>
        <v>0</v>
      </c>
      <c r="DA83" s="219">
        <f t="shared" si="8"/>
        <v>0</v>
      </c>
      <c r="DB83" s="219">
        <f t="shared" si="8"/>
        <v>0</v>
      </c>
      <c r="DC83" s="219">
        <f t="shared" si="8"/>
        <v>0</v>
      </c>
      <c r="DD83" s="219">
        <f t="shared" si="8"/>
        <v>0</v>
      </c>
      <c r="DE83" s="219">
        <f t="shared" si="8"/>
        <v>0</v>
      </c>
      <c r="DF83" s="219">
        <f t="shared" si="8"/>
        <v>0</v>
      </c>
      <c r="DG83" s="219">
        <f t="shared" si="8"/>
        <v>0</v>
      </c>
      <c r="DH83" s="219">
        <f t="shared" si="8"/>
        <v>0</v>
      </c>
      <c r="DI83" s="219">
        <f t="shared" si="8"/>
        <v>0</v>
      </c>
      <c r="DJ83" s="219">
        <f t="shared" si="8"/>
        <v>0</v>
      </c>
      <c r="DK83" s="219">
        <f t="shared" si="8"/>
        <v>0</v>
      </c>
      <c r="DL83" s="219">
        <f t="shared" si="8"/>
        <v>0</v>
      </c>
      <c r="DM83" s="219">
        <f t="shared" si="8"/>
        <v>0</v>
      </c>
      <c r="DN83" s="219">
        <f t="shared" si="8"/>
        <v>0</v>
      </c>
      <c r="DO83" s="219">
        <f t="shared" si="8"/>
        <v>0</v>
      </c>
      <c r="DP83" s="219">
        <f t="shared" si="8"/>
        <v>0</v>
      </c>
      <c r="DQ83" s="219">
        <f t="shared" si="8"/>
        <v>0</v>
      </c>
      <c r="DR83" s="219">
        <f t="shared" si="8"/>
        <v>0</v>
      </c>
      <c r="DS83" s="219">
        <f t="shared" si="8"/>
        <v>0</v>
      </c>
      <c r="DT83" s="219">
        <f t="shared" si="8"/>
        <v>0</v>
      </c>
      <c r="DU83" s="219">
        <f t="shared" si="8"/>
        <v>0</v>
      </c>
      <c r="DV83" s="219">
        <f t="shared" si="8"/>
        <v>0</v>
      </c>
      <c r="DW83" s="219">
        <f t="shared" si="8"/>
        <v>0</v>
      </c>
      <c r="DX83" s="219">
        <f t="shared" si="8"/>
        <v>0</v>
      </c>
      <c r="DY83" s="219">
        <f t="shared" si="8"/>
        <v>0</v>
      </c>
      <c r="DZ83" s="219">
        <f t="shared" si="8"/>
        <v>0</v>
      </c>
      <c r="EA83" s="219">
        <f t="shared" si="8"/>
        <v>0</v>
      </c>
      <c r="EB83" s="219">
        <f t="shared" si="8"/>
        <v>0</v>
      </c>
      <c r="EC83" s="219">
        <f t="shared" si="8"/>
        <v>0</v>
      </c>
      <c r="ED83" s="219">
        <f t="shared" si="8"/>
        <v>0</v>
      </c>
      <c r="EE83" s="219">
        <f t="shared" si="8"/>
        <v>0</v>
      </c>
      <c r="EF83" s="219">
        <f t="shared" si="8"/>
        <v>0</v>
      </c>
      <c r="EG83" s="219">
        <f t="shared" si="8"/>
        <v>0</v>
      </c>
      <c r="EH83" s="219">
        <f t="shared" si="8"/>
        <v>0</v>
      </c>
      <c r="EI83" s="219">
        <f t="shared" si="8"/>
        <v>0</v>
      </c>
      <c r="EJ83" s="219">
        <f t="shared" si="8"/>
        <v>0</v>
      </c>
      <c r="EK83" s="219">
        <f t="shared" si="8"/>
        <v>0</v>
      </c>
      <c r="EL83" s="219">
        <f t="shared" si="8"/>
        <v>0</v>
      </c>
      <c r="EM83" s="219">
        <f t="shared" si="8"/>
        <v>0</v>
      </c>
      <c r="EN83" s="219">
        <f t="shared" si="8"/>
        <v>0</v>
      </c>
      <c r="EO83" s="219">
        <f t="shared" si="8"/>
        <v>0</v>
      </c>
      <c r="EP83" s="219">
        <f t="shared" si="8"/>
        <v>0</v>
      </c>
      <c r="EQ83" s="219">
        <f t="shared" si="8"/>
        <v>0</v>
      </c>
      <c r="ER83" s="219">
        <f t="shared" si="8"/>
        <v>0</v>
      </c>
      <c r="ES83" s="219">
        <f t="shared" si="8"/>
        <v>0</v>
      </c>
      <c r="ET83" s="219">
        <f t="shared" si="8"/>
        <v>0</v>
      </c>
      <c r="EU83" s="219">
        <f t="shared" ref="EU83:GS83" si="9">SUM(EU9:EU82)</f>
        <v>0</v>
      </c>
      <c r="EV83" s="219">
        <f t="shared" si="9"/>
        <v>0</v>
      </c>
      <c r="EW83" s="219">
        <f t="shared" si="9"/>
        <v>0</v>
      </c>
      <c r="EX83" s="219">
        <f t="shared" si="9"/>
        <v>0</v>
      </c>
      <c r="EY83" s="219">
        <f t="shared" si="9"/>
        <v>0</v>
      </c>
      <c r="EZ83" s="219">
        <f t="shared" si="9"/>
        <v>0</v>
      </c>
      <c r="FA83" s="219">
        <f t="shared" si="9"/>
        <v>0</v>
      </c>
      <c r="FB83" s="219">
        <f t="shared" si="9"/>
        <v>0</v>
      </c>
      <c r="FC83" s="219">
        <f t="shared" si="9"/>
        <v>0</v>
      </c>
      <c r="FD83" s="219">
        <f t="shared" si="9"/>
        <v>0</v>
      </c>
      <c r="FE83" s="219">
        <f t="shared" si="9"/>
        <v>0</v>
      </c>
      <c r="FF83" s="219">
        <f t="shared" si="9"/>
        <v>0</v>
      </c>
      <c r="FG83" s="219">
        <f t="shared" si="9"/>
        <v>0</v>
      </c>
      <c r="FH83" s="219">
        <f t="shared" si="9"/>
        <v>0</v>
      </c>
      <c r="FI83" s="219">
        <f t="shared" si="9"/>
        <v>0</v>
      </c>
      <c r="FJ83" s="219">
        <f t="shared" si="9"/>
        <v>0</v>
      </c>
      <c r="FK83" s="219">
        <f t="shared" si="9"/>
        <v>0</v>
      </c>
      <c r="FL83" s="219">
        <f t="shared" si="9"/>
        <v>0</v>
      </c>
      <c r="FM83" s="219">
        <f t="shared" si="9"/>
        <v>0</v>
      </c>
      <c r="FN83" s="219">
        <f t="shared" si="9"/>
        <v>0</v>
      </c>
      <c r="FO83" s="219">
        <f t="shared" si="9"/>
        <v>0</v>
      </c>
      <c r="FP83" s="219">
        <f t="shared" si="9"/>
        <v>0</v>
      </c>
      <c r="FQ83" s="219">
        <f t="shared" si="9"/>
        <v>0</v>
      </c>
      <c r="FR83" s="219">
        <f t="shared" si="9"/>
        <v>0</v>
      </c>
      <c r="FS83" s="219">
        <f t="shared" si="9"/>
        <v>0</v>
      </c>
      <c r="FT83" s="219">
        <f t="shared" si="9"/>
        <v>0</v>
      </c>
      <c r="FU83" s="219">
        <f t="shared" si="9"/>
        <v>0</v>
      </c>
      <c r="FV83" s="219">
        <f t="shared" si="9"/>
        <v>0</v>
      </c>
      <c r="FW83" s="219">
        <f t="shared" si="9"/>
        <v>0</v>
      </c>
      <c r="FX83" s="219">
        <f t="shared" si="9"/>
        <v>0</v>
      </c>
      <c r="FY83" s="219">
        <f t="shared" si="9"/>
        <v>0</v>
      </c>
      <c r="FZ83" s="219">
        <f t="shared" si="9"/>
        <v>0</v>
      </c>
      <c r="GA83" s="219">
        <f t="shared" si="9"/>
        <v>0</v>
      </c>
      <c r="GB83" s="219">
        <f t="shared" si="9"/>
        <v>0</v>
      </c>
      <c r="GC83" s="219">
        <f t="shared" si="9"/>
        <v>0</v>
      </c>
      <c r="GD83" s="219">
        <f t="shared" si="9"/>
        <v>0</v>
      </c>
      <c r="GE83" s="219">
        <f t="shared" si="9"/>
        <v>0</v>
      </c>
      <c r="GF83" s="219">
        <f t="shared" si="9"/>
        <v>0</v>
      </c>
      <c r="GG83" s="219">
        <f t="shared" si="9"/>
        <v>0</v>
      </c>
      <c r="GH83" s="219">
        <f t="shared" si="9"/>
        <v>0</v>
      </c>
      <c r="GI83" s="219">
        <f t="shared" si="9"/>
        <v>0</v>
      </c>
      <c r="GJ83" s="219">
        <f t="shared" si="9"/>
        <v>0</v>
      </c>
      <c r="GK83" s="219">
        <f t="shared" si="9"/>
        <v>0</v>
      </c>
      <c r="GL83" s="219">
        <f t="shared" si="9"/>
        <v>0</v>
      </c>
      <c r="GM83" s="219">
        <f t="shared" si="9"/>
        <v>0</v>
      </c>
      <c r="GN83" s="219">
        <f t="shared" si="9"/>
        <v>0</v>
      </c>
      <c r="GO83" s="219">
        <f t="shared" si="9"/>
        <v>0</v>
      </c>
      <c r="GP83" s="219">
        <f t="shared" si="9"/>
        <v>0</v>
      </c>
      <c r="GQ83" s="219">
        <f t="shared" si="9"/>
        <v>0</v>
      </c>
      <c r="GR83" s="219">
        <f t="shared" si="9"/>
        <v>0</v>
      </c>
      <c r="GS83" s="219">
        <f t="shared" si="9"/>
        <v>0</v>
      </c>
      <c r="GT83" s="219"/>
      <c r="GU83" s="220">
        <f>SUM(GU9:GU82)</f>
        <v>640112</v>
      </c>
      <c r="GV83" s="221"/>
      <c r="GW83" s="62"/>
      <c r="GX83" s="62"/>
      <c r="GY83" s="222"/>
      <c r="GZ83" s="223">
        <f>SUM(GZ9:GZ82)</f>
        <v>170520</v>
      </c>
    </row>
    <row r="84" spans="1:208" x14ac:dyDescent="0.25">
      <c r="D84" s="35"/>
      <c r="E84" s="36"/>
      <c r="F84" s="37"/>
      <c r="G84" s="38"/>
      <c r="H84" s="39"/>
      <c r="I84" s="40"/>
      <c r="J84" s="177"/>
      <c r="M84" s="212"/>
      <c r="N84" s="213"/>
      <c r="O84" s="224"/>
      <c r="P84" s="225"/>
      <c r="Q84" s="226"/>
      <c r="R84" s="226"/>
      <c r="S84" s="226"/>
      <c r="T84" s="39"/>
      <c r="U84" s="217"/>
      <c r="X84" s="227"/>
      <c r="Y84" s="228"/>
      <c r="Z84" s="229"/>
      <c r="AA84" s="36"/>
      <c r="AB84" s="229"/>
      <c r="AC84" s="230"/>
      <c r="AD84" s="87"/>
      <c r="AG84" s="227"/>
      <c r="AH84" s="228"/>
      <c r="AI84" s="229"/>
      <c r="AJ84" s="36"/>
      <c r="AK84" s="231"/>
      <c r="AL84" s="230"/>
      <c r="AM84" s="87"/>
      <c r="AP84" s="227"/>
      <c r="AQ84" s="228"/>
      <c r="AR84" s="229"/>
      <c r="AS84" s="36"/>
      <c r="AT84" s="229"/>
      <c r="AU84" s="230"/>
      <c r="AV84" s="87"/>
      <c r="AY84" s="227"/>
      <c r="AZ84" s="228"/>
      <c r="BA84" s="229"/>
      <c r="BB84" s="36"/>
      <c r="BC84" s="231"/>
      <c r="BD84" s="230"/>
      <c r="BE84" s="87"/>
      <c r="BH84" s="227"/>
      <c r="BI84" s="228"/>
      <c r="BJ84" s="229"/>
      <c r="BK84" s="36"/>
      <c r="BL84" s="231"/>
      <c r="BM84" s="230"/>
      <c r="BN84" s="87"/>
      <c r="BQ84" s="227"/>
      <c r="BR84" s="228"/>
      <c r="BS84" s="229"/>
      <c r="BT84" s="36"/>
      <c r="BU84" s="229"/>
      <c r="BV84" s="230"/>
      <c r="BW84" s="87"/>
      <c r="BZ84" s="227"/>
      <c r="CA84" s="228"/>
      <c r="CB84" s="229"/>
      <c r="CC84" s="36"/>
      <c r="CD84" s="229"/>
      <c r="CE84" s="230"/>
      <c r="CF84" s="87"/>
      <c r="CI84" s="227"/>
      <c r="CJ84" s="228"/>
      <c r="CK84" s="229"/>
      <c r="CL84" s="36"/>
      <c r="CM84" s="229"/>
      <c r="CN84" s="230"/>
      <c r="CO84" s="87"/>
      <c r="CR84" s="227"/>
      <c r="CS84" s="228"/>
      <c r="CT84" s="229"/>
      <c r="CU84" s="232"/>
      <c r="CV84" s="231"/>
      <c r="CW84" s="233"/>
      <c r="CX84" s="87"/>
      <c r="DA84" s="227"/>
      <c r="DB84" s="228"/>
      <c r="DC84" s="229"/>
      <c r="DD84" s="36"/>
      <c r="DE84" s="229"/>
      <c r="DF84" s="230"/>
      <c r="DG84" s="87"/>
      <c r="DJ84" s="227"/>
      <c r="DK84" s="228"/>
      <c r="DL84" s="229"/>
      <c r="DM84" s="232"/>
      <c r="DN84" s="231"/>
      <c r="DO84" s="233"/>
      <c r="DP84" s="87"/>
      <c r="DS84" s="227"/>
      <c r="DT84" s="228"/>
      <c r="DU84" s="229"/>
      <c r="DV84" s="36"/>
      <c r="DW84" s="229"/>
      <c r="DX84" s="230"/>
      <c r="DY84" s="87"/>
      <c r="EB84" s="227"/>
      <c r="EC84" s="228"/>
      <c r="ED84" s="229"/>
      <c r="EE84" s="232"/>
      <c r="EF84" s="231"/>
      <c r="EG84" s="233"/>
      <c r="EH84" s="87"/>
      <c r="EK84" s="227"/>
      <c r="EL84" s="228"/>
      <c r="EM84" s="229"/>
      <c r="EN84" s="232"/>
      <c r="EO84" s="231"/>
      <c r="EP84" s="233"/>
      <c r="EQ84" s="87"/>
      <c r="ET84" s="227"/>
      <c r="EU84" s="228"/>
      <c r="EV84" s="229"/>
      <c r="EW84" s="36"/>
      <c r="EX84" s="229"/>
      <c r="EY84" s="230"/>
      <c r="EZ84" s="87"/>
      <c r="FC84" s="227"/>
      <c r="FD84" s="228"/>
      <c r="FE84" s="229"/>
      <c r="FF84" s="36"/>
      <c r="FG84" s="229"/>
      <c r="FH84" s="230"/>
      <c r="FI84" s="87"/>
      <c r="FL84" s="227"/>
      <c r="FM84" s="228"/>
      <c r="FN84" s="229"/>
      <c r="FO84" s="36"/>
      <c r="FP84" s="229"/>
      <c r="FQ84" s="230"/>
      <c r="FR84" s="87"/>
      <c r="FU84" s="227"/>
      <c r="FV84" s="228"/>
      <c r="FW84" s="229"/>
      <c r="FX84" s="36"/>
      <c r="FY84" s="229"/>
      <c r="FZ84" s="230"/>
      <c r="GA84" s="87"/>
      <c r="GD84" s="227"/>
      <c r="GE84" s="228"/>
      <c r="GF84" s="229"/>
      <c r="GG84" s="36"/>
      <c r="GH84" s="229"/>
      <c r="GI84" s="230"/>
      <c r="GJ84" s="87"/>
      <c r="GM84" s="227"/>
      <c r="GN84" s="228"/>
      <c r="GO84" s="229"/>
      <c r="GP84" s="36"/>
      <c r="GQ84" s="229"/>
      <c r="GR84" s="230"/>
      <c r="GS84" s="87"/>
      <c r="GT84" s="187"/>
      <c r="GU84"/>
      <c r="GW84" s="235"/>
      <c r="GX84" s="235"/>
      <c r="GY84" s="236"/>
      <c r="GZ84"/>
    </row>
    <row r="85" spans="1:208" ht="16.5" thickBot="1" x14ac:dyDescent="0.3">
      <c r="D85" s="35"/>
      <c r="E85" s="36"/>
      <c r="F85" s="37"/>
      <c r="G85" s="38"/>
      <c r="H85" s="39"/>
      <c r="I85" s="40"/>
      <c r="J85" s="177"/>
      <c r="M85" s="212"/>
      <c r="N85" s="213"/>
      <c r="O85" s="224"/>
      <c r="P85" s="225"/>
      <c r="Q85" s="226"/>
      <c r="R85" s="226"/>
      <c r="S85" s="226"/>
      <c r="T85" s="39"/>
      <c r="U85" s="217"/>
      <c r="X85" s="227"/>
      <c r="Y85" s="228"/>
      <c r="Z85" s="229"/>
      <c r="AA85" s="36"/>
      <c r="AB85" s="229"/>
      <c r="AC85" s="230"/>
      <c r="AD85" s="87"/>
      <c r="AG85" s="227"/>
      <c r="AH85" s="228"/>
      <c r="AI85" s="229"/>
      <c r="AJ85" s="36"/>
      <c r="AK85" s="231"/>
      <c r="AL85" s="230"/>
      <c r="AM85" s="87"/>
      <c r="AP85" s="227"/>
      <c r="AQ85" s="228"/>
      <c r="AR85" s="229"/>
      <c r="AS85" s="36"/>
      <c r="AT85" s="229"/>
      <c r="AU85" s="230"/>
      <c r="AV85" s="87"/>
      <c r="AY85" s="227"/>
      <c r="AZ85" s="228"/>
      <c r="BA85" s="229"/>
      <c r="BB85" s="36"/>
      <c r="BC85" s="231"/>
      <c r="BD85" s="230"/>
      <c r="BE85" s="87"/>
      <c r="BH85" s="227"/>
      <c r="BI85" s="228"/>
      <c r="BJ85" s="229"/>
      <c r="BK85" s="36"/>
      <c r="BL85" s="231"/>
      <c r="BM85" s="230"/>
      <c r="BN85" s="87"/>
      <c r="BQ85" s="227"/>
      <c r="BR85" s="228"/>
      <c r="BS85" s="229"/>
      <c r="BT85" s="36"/>
      <c r="BU85" s="229"/>
      <c r="BV85" s="230"/>
      <c r="BW85" s="87"/>
      <c r="BZ85" s="227"/>
      <c r="CA85" s="228"/>
      <c r="CB85" s="229"/>
      <c r="CC85" s="36"/>
      <c r="CD85" s="229"/>
      <c r="CE85" s="230"/>
      <c r="CF85" s="87"/>
      <c r="CI85" s="227"/>
      <c r="CJ85" s="228"/>
      <c r="CK85" s="229"/>
      <c r="CL85" s="36"/>
      <c r="CM85" s="229"/>
      <c r="CN85" s="230"/>
      <c r="CO85" s="87"/>
      <c r="CR85" s="227"/>
      <c r="CS85" s="228"/>
      <c r="CT85" s="229"/>
      <c r="CU85" s="232"/>
      <c r="CV85" s="231"/>
      <c r="CW85" s="233"/>
      <c r="CX85" s="87"/>
      <c r="DA85" s="227"/>
      <c r="DB85" s="228"/>
      <c r="DC85" s="229"/>
      <c r="DD85" s="36"/>
      <c r="DE85" s="229"/>
      <c r="DF85" s="230"/>
      <c r="DG85" s="87"/>
      <c r="DJ85" s="227"/>
      <c r="DK85" s="228"/>
      <c r="DL85" s="229"/>
      <c r="DM85" s="232"/>
      <c r="DN85" s="231"/>
      <c r="DO85" s="233"/>
      <c r="DP85" s="87"/>
      <c r="DS85" s="227"/>
      <c r="DT85" s="228"/>
      <c r="DU85" s="229"/>
      <c r="DV85" s="36"/>
      <c r="DW85" s="229"/>
      <c r="DX85" s="230"/>
      <c r="DY85" s="87"/>
      <c r="EB85" s="227"/>
      <c r="EC85" s="228"/>
      <c r="ED85" s="229"/>
      <c r="EE85" s="232"/>
      <c r="EF85" s="231"/>
      <c r="EG85" s="233"/>
      <c r="EH85" s="87"/>
      <c r="EK85" s="227"/>
      <c r="EL85" s="228"/>
      <c r="EM85" s="229"/>
      <c r="EN85" s="232"/>
      <c r="EO85" s="231"/>
      <c r="EP85" s="233"/>
      <c r="EQ85" s="87"/>
      <c r="ET85" s="227"/>
      <c r="EU85" s="228"/>
      <c r="EV85" s="229"/>
      <c r="EW85" s="36"/>
      <c r="EX85" s="229"/>
      <c r="EY85" s="230"/>
      <c r="EZ85" s="87"/>
      <c r="FC85" s="227"/>
      <c r="FD85" s="228"/>
      <c r="FE85" s="229"/>
      <c r="FF85" s="36"/>
      <c r="FG85" s="229"/>
      <c r="FH85" s="230"/>
      <c r="FI85" s="87"/>
      <c r="FL85" s="227"/>
      <c r="FM85" s="228"/>
      <c r="FN85" s="229"/>
      <c r="FO85" s="36"/>
      <c r="FP85" s="229"/>
      <c r="FQ85" s="230"/>
      <c r="FR85" s="87"/>
      <c r="FU85" s="227"/>
      <c r="FV85" s="228"/>
      <c r="FW85" s="229"/>
      <c r="FX85" s="36"/>
      <c r="FY85" s="229"/>
      <c r="FZ85" s="230"/>
      <c r="GA85" s="87"/>
      <c r="GD85" s="227"/>
      <c r="GE85" s="228"/>
      <c r="GF85" s="229"/>
      <c r="GG85" s="36"/>
      <c r="GH85" s="229"/>
      <c r="GI85" s="230"/>
      <c r="GJ85" s="87"/>
      <c r="GM85" s="227"/>
      <c r="GN85" s="228"/>
      <c r="GO85" s="229"/>
      <c r="GP85" s="36"/>
      <c r="GQ85" s="229"/>
      <c r="GR85" s="230"/>
      <c r="GS85" s="87"/>
      <c r="GT85" s="187"/>
      <c r="GU85"/>
      <c r="GW85" s="235"/>
      <c r="GX85" s="235"/>
      <c r="GY85" s="236"/>
      <c r="GZ85"/>
    </row>
    <row r="86" spans="1:208" ht="16.5" thickTop="1" x14ac:dyDescent="0.25">
      <c r="D86" s="35"/>
      <c r="E86" s="36"/>
      <c r="F86" s="37"/>
      <c r="G86" s="38"/>
      <c r="H86" s="39"/>
      <c r="I86" s="40"/>
      <c r="J86" s="177"/>
      <c r="M86" s="212"/>
      <c r="O86" s="876" t="s">
        <v>30</v>
      </c>
      <c r="P86" s="877"/>
      <c r="Q86" s="877"/>
      <c r="R86" s="237"/>
      <c r="S86" s="237"/>
      <c r="T86" s="880">
        <f>GZ83+GU83+W83+T83+R83</f>
        <v>19828700.530000001</v>
      </c>
      <c r="U86" s="881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36"/>
      <c r="AK86" s="231"/>
      <c r="AL86" s="230"/>
      <c r="AM86" s="87"/>
      <c r="AP86" s="227"/>
      <c r="AQ86" s="228"/>
      <c r="AR86" s="229"/>
      <c r="AS86" s="36"/>
      <c r="AT86" s="229"/>
      <c r="AU86" s="230"/>
      <c r="AV86" s="87"/>
      <c r="AY86" s="227"/>
      <c r="AZ86" s="228"/>
      <c r="BA86" s="229"/>
      <c r="BB86" s="36"/>
      <c r="BC86" s="231"/>
      <c r="BD86" s="230"/>
      <c r="BE86" s="87"/>
      <c r="BH86" s="227"/>
      <c r="BI86" s="228"/>
      <c r="BJ86" s="229"/>
      <c r="BK86" s="36"/>
      <c r="BL86" s="231"/>
      <c r="BM86" s="230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/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/>
      <c r="DC86" s="229"/>
      <c r="DD86" s="36"/>
      <c r="DE86" s="229"/>
      <c r="DF86" s="230"/>
      <c r="DG86" s="87"/>
      <c r="DJ86" s="227"/>
      <c r="DK86" s="228"/>
      <c r="DL86" s="229"/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/>
      <c r="ED86" s="229"/>
      <c r="EE86" s="232"/>
      <c r="EF86" s="231"/>
      <c r="EG86" s="233"/>
      <c r="EH86" s="87"/>
      <c r="EK86" s="227"/>
      <c r="EL86" s="228"/>
      <c r="EM86" s="229"/>
      <c r="EN86" s="232"/>
      <c r="EO86" s="231"/>
      <c r="EP86" s="233"/>
      <c r="EQ86" s="87"/>
      <c r="ET86" s="227"/>
      <c r="EU86" s="228"/>
      <c r="EV86" s="229"/>
      <c r="EW86" s="36"/>
      <c r="EX86" s="229"/>
      <c r="EY86" s="230"/>
      <c r="EZ86" s="87"/>
      <c r="FC86" s="227"/>
      <c r="FD86" s="228"/>
      <c r="FE86" s="229"/>
      <c r="FF86" s="36"/>
      <c r="FG86" s="229"/>
      <c r="FH86" s="230"/>
      <c r="FI86" s="87"/>
      <c r="FL86" s="227"/>
      <c r="FM86" s="228"/>
      <c r="FN86" s="229"/>
      <c r="FO86" s="36"/>
      <c r="FP86" s="229"/>
      <c r="FQ86" s="230"/>
      <c r="FR86" s="87"/>
      <c r="FU86" s="227"/>
      <c r="FV86" s="228"/>
      <c r="FW86" s="229"/>
      <c r="FX86" s="36"/>
      <c r="FY86" s="229"/>
      <c r="FZ86" s="230"/>
      <c r="GA86" s="87"/>
      <c r="GD86" s="227"/>
      <c r="GE86" s="228"/>
      <c r="GF86" s="229"/>
      <c r="GG86" s="36"/>
      <c r="GH86" s="229"/>
      <c r="GI86" s="230"/>
      <c r="GJ86" s="87"/>
      <c r="GM86" s="227"/>
      <c r="GN86" s="228"/>
      <c r="GO86" s="229"/>
      <c r="GP86" s="36"/>
      <c r="GQ86" s="229"/>
      <c r="GR86" s="230"/>
      <c r="GS86" s="87"/>
      <c r="GT86" s="187"/>
      <c r="GU86"/>
      <c r="GW86" s="235"/>
      <c r="GX86" s="235"/>
      <c r="GY86" s="236"/>
      <c r="GZ86"/>
    </row>
    <row r="87" spans="1:208" ht="16.5" thickBot="1" x14ac:dyDescent="0.3">
      <c r="D87" s="35"/>
      <c r="E87" s="36"/>
      <c r="F87" s="37"/>
      <c r="G87" s="38"/>
      <c r="H87" s="39"/>
      <c r="I87" s="40"/>
      <c r="J87" s="238"/>
      <c r="M87" s="212"/>
      <c r="O87" s="878"/>
      <c r="P87" s="879"/>
      <c r="Q87" s="879"/>
      <c r="R87" s="239"/>
      <c r="S87" s="239"/>
      <c r="T87" s="882"/>
      <c r="U87" s="883"/>
      <c r="X87" s="227"/>
      <c r="Y87" s="228"/>
      <c r="Z87" s="229"/>
      <c r="AA87" s="36"/>
      <c r="AB87" s="229"/>
      <c r="AC87" s="230"/>
      <c r="AD87" s="87"/>
      <c r="AG87" s="227"/>
      <c r="AH87" s="228"/>
      <c r="AI87" s="229"/>
      <c r="AJ87" s="36"/>
      <c r="AK87" s="231"/>
      <c r="AL87" s="230"/>
      <c r="AM87" s="87"/>
      <c r="AP87" s="227"/>
      <c r="AQ87" s="228"/>
      <c r="AR87" s="229"/>
      <c r="AS87" s="36"/>
      <c r="AT87" s="229"/>
      <c r="AU87" s="230"/>
      <c r="AV87" s="87"/>
      <c r="AY87" s="227"/>
      <c r="AZ87" s="228"/>
      <c r="BA87" s="229"/>
      <c r="BB87" s="36"/>
      <c r="BC87" s="231"/>
      <c r="BD87" s="230"/>
      <c r="BE87" s="87"/>
      <c r="BH87" s="227"/>
      <c r="BI87" s="228"/>
      <c r="BJ87" s="229"/>
      <c r="BK87" s="36"/>
      <c r="BL87" s="231"/>
      <c r="BM87" s="230"/>
      <c r="BN87" s="87"/>
      <c r="BQ87" s="227"/>
      <c r="BR87" s="228"/>
      <c r="BS87" s="229"/>
      <c r="BT87" s="36"/>
      <c r="BU87" s="229"/>
      <c r="BV87" s="230"/>
      <c r="BW87" s="87"/>
      <c r="BZ87" s="227"/>
      <c r="CA87" s="228"/>
      <c r="CB87" s="229"/>
      <c r="CC87" s="36"/>
      <c r="CD87" s="229"/>
      <c r="CE87" s="230"/>
      <c r="CF87" s="87"/>
      <c r="CI87" s="227"/>
      <c r="CJ87" s="228"/>
      <c r="CK87" s="229"/>
      <c r="CL87" s="36"/>
      <c r="CM87" s="229"/>
      <c r="CN87" s="230"/>
      <c r="CO87" s="87"/>
      <c r="CR87" s="227"/>
      <c r="CS87" s="228"/>
      <c r="CT87" s="229"/>
      <c r="CU87" s="232"/>
      <c r="CV87" s="231"/>
      <c r="CW87" s="233"/>
      <c r="CX87" s="87"/>
      <c r="DA87" s="227"/>
      <c r="DB87" s="228"/>
      <c r="DC87" s="229"/>
      <c r="DD87" s="36"/>
      <c r="DE87" s="229"/>
      <c r="DF87" s="230"/>
      <c r="DG87" s="87"/>
      <c r="DJ87" s="227"/>
      <c r="DK87" s="228"/>
      <c r="DL87" s="229"/>
      <c r="DM87" s="232"/>
      <c r="DN87" s="231"/>
      <c r="DO87" s="233"/>
      <c r="DP87" s="87"/>
      <c r="DS87" s="227"/>
      <c r="DT87" s="228"/>
      <c r="DU87" s="229"/>
      <c r="DV87" s="36"/>
      <c r="DW87" s="229"/>
      <c r="DX87" s="230"/>
      <c r="DY87" s="87"/>
      <c r="EB87" s="227"/>
      <c r="EC87" s="228"/>
      <c r="ED87" s="229"/>
      <c r="EE87" s="232"/>
      <c r="EF87" s="231"/>
      <c r="EG87" s="233"/>
      <c r="EH87" s="87"/>
      <c r="EK87" s="227"/>
      <c r="EL87" s="228"/>
      <c r="EM87" s="229"/>
      <c r="EN87" s="232"/>
      <c r="EO87" s="231"/>
      <c r="EP87" s="233"/>
      <c r="EQ87" s="87"/>
      <c r="ET87" s="227"/>
      <c r="EU87" s="228"/>
      <c r="EV87" s="229"/>
      <c r="EW87" s="36"/>
      <c r="EX87" s="229"/>
      <c r="EY87" s="230"/>
      <c r="EZ87" s="87"/>
      <c r="FC87" s="227"/>
      <c r="FD87" s="228"/>
      <c r="FE87" s="229"/>
      <c r="FF87" s="36"/>
      <c r="FG87" s="229"/>
      <c r="FH87" s="230"/>
      <c r="FI87" s="87"/>
      <c r="FL87" s="227"/>
      <c r="FM87" s="228"/>
      <c r="FN87" s="229"/>
      <c r="FO87" s="36"/>
      <c r="FP87" s="229"/>
      <c r="FQ87" s="230"/>
      <c r="FR87" s="87"/>
      <c r="FU87" s="227"/>
      <c r="FV87" s="228"/>
      <c r="FW87" s="229"/>
      <c r="FX87" s="36"/>
      <c r="FY87" s="229"/>
      <c r="FZ87" s="230"/>
      <c r="GA87" s="87"/>
      <c r="GD87" s="227"/>
      <c r="GE87" s="228"/>
      <c r="GF87" s="229"/>
      <c r="GG87" s="36"/>
      <c r="GH87" s="229"/>
      <c r="GI87" s="230"/>
      <c r="GJ87" s="87"/>
      <c r="GM87" s="227"/>
      <c r="GN87" s="228"/>
      <c r="GO87" s="229"/>
      <c r="GP87" s="36"/>
      <c r="GQ87" s="229"/>
      <c r="GR87" s="230"/>
      <c r="GS87" s="87"/>
      <c r="GT87" s="187"/>
      <c r="GU87"/>
      <c r="GW87" s="235"/>
      <c r="GX87" s="235"/>
      <c r="GY87" s="236"/>
      <c r="GZ87"/>
    </row>
    <row r="88" spans="1:208" ht="16.5" thickTop="1" x14ac:dyDescent="0.25">
      <c r="D88" s="35"/>
      <c r="E88" s="36"/>
      <c r="F88" s="37"/>
      <c r="G88" s="38"/>
      <c r="H88" s="39"/>
      <c r="I88" s="40"/>
      <c r="J88" s="238"/>
      <c r="M88" s="212"/>
      <c r="O88" s="224"/>
      <c r="P88" s="225"/>
      <c r="Q88" s="226"/>
      <c r="R88" s="226"/>
      <c r="S88" s="226"/>
      <c r="T88" s="39"/>
      <c r="U88" s="217"/>
      <c r="X88" s="227"/>
      <c r="Y88" s="228"/>
      <c r="Z88" s="229"/>
      <c r="AA88" s="36"/>
      <c r="AB88" s="229"/>
      <c r="AC88" s="230"/>
      <c r="AD88" s="87"/>
      <c r="AG88" s="227"/>
      <c r="AH88" s="228"/>
      <c r="AI88" s="229"/>
      <c r="AJ88" s="36"/>
      <c r="AK88" s="231"/>
      <c r="AL88" s="230"/>
      <c r="AM88" s="87"/>
      <c r="AP88" s="227"/>
      <c r="AQ88" s="228"/>
      <c r="AR88" s="229"/>
      <c r="AS88" s="36"/>
      <c r="AT88" s="229"/>
      <c r="AU88" s="230"/>
      <c r="AV88" s="87"/>
      <c r="AY88" s="227"/>
      <c r="AZ88" s="228"/>
      <c r="BA88" s="229"/>
      <c r="BB88" s="36"/>
      <c r="BC88" s="231"/>
      <c r="BD88" s="230"/>
      <c r="BE88" s="87"/>
      <c r="BH88" s="227"/>
      <c r="BI88" s="228"/>
      <c r="BJ88" s="229"/>
      <c r="BK88" s="36"/>
      <c r="BL88" s="231"/>
      <c r="BM88" s="230"/>
      <c r="BN88" s="87"/>
      <c r="BQ88" s="227"/>
      <c r="BR88" s="228"/>
      <c r="BS88" s="229"/>
      <c r="BT88" s="36"/>
      <c r="BU88" s="229"/>
      <c r="BV88" s="230"/>
      <c r="BW88" s="87"/>
      <c r="BZ88" s="227"/>
      <c r="CA88" s="228"/>
      <c r="CB88" s="229"/>
      <c r="CC88" s="36"/>
      <c r="CD88" s="229"/>
      <c r="CE88" s="230"/>
      <c r="CF88" s="87"/>
      <c r="CI88" s="227"/>
      <c r="CJ88" s="228"/>
      <c r="CK88" s="229"/>
      <c r="CL88" s="36"/>
      <c r="CM88" s="229"/>
      <c r="CN88" s="230"/>
      <c r="CO88" s="87"/>
      <c r="CR88" s="227"/>
      <c r="CS88" s="228"/>
      <c r="CT88" s="229"/>
      <c r="CU88" s="232"/>
      <c r="CV88" s="231"/>
      <c r="CW88" s="233"/>
      <c r="CX88" s="87"/>
      <c r="DA88" s="227"/>
      <c r="DB88" s="228"/>
      <c r="DC88" s="229"/>
      <c r="DD88" s="36"/>
      <c r="DE88" s="229"/>
      <c r="DF88" s="230"/>
      <c r="DG88" s="87"/>
      <c r="DJ88" s="227"/>
      <c r="DK88" s="228"/>
      <c r="DL88" s="229"/>
      <c r="DM88" s="232"/>
      <c r="DN88" s="231"/>
      <c r="DO88" s="233"/>
      <c r="DP88" s="87"/>
      <c r="DS88" s="227"/>
      <c r="DT88" s="228"/>
      <c r="DU88" s="229"/>
      <c r="DV88" s="36"/>
      <c r="DW88" s="229"/>
      <c r="DX88" s="230"/>
      <c r="DY88" s="87"/>
      <c r="EB88" s="227"/>
      <c r="EC88" s="228"/>
      <c r="ED88" s="229"/>
      <c r="EE88" s="232"/>
      <c r="EF88" s="231"/>
      <c r="EG88" s="233"/>
      <c r="EH88" s="87"/>
      <c r="EK88" s="227"/>
      <c r="EL88" s="228"/>
      <c r="EM88" s="229"/>
      <c r="EN88" s="232"/>
      <c r="EO88" s="231"/>
      <c r="EP88" s="233"/>
      <c r="EQ88" s="87"/>
      <c r="ET88" s="227"/>
      <c r="EU88" s="228"/>
      <c r="EV88" s="229"/>
      <c r="EW88" s="36"/>
      <c r="EX88" s="229"/>
      <c r="EY88" s="230"/>
      <c r="EZ88" s="87"/>
      <c r="FC88" s="227"/>
      <c r="FD88" s="228"/>
      <c r="FE88" s="229"/>
      <c r="FF88" s="36"/>
      <c r="FG88" s="229"/>
      <c r="FH88" s="230"/>
      <c r="FI88" s="87"/>
      <c r="FL88" s="227"/>
      <c r="FM88" s="228"/>
      <c r="FN88" s="229"/>
      <c r="FO88" s="36"/>
      <c r="FP88" s="229"/>
      <c r="FQ88" s="230"/>
      <c r="FR88" s="87"/>
      <c r="FU88" s="227"/>
      <c r="FV88" s="228"/>
      <c r="FW88" s="229"/>
      <c r="FX88" s="36"/>
      <c r="FY88" s="229"/>
      <c r="FZ88" s="230"/>
      <c r="GA88" s="87"/>
      <c r="GD88" s="227"/>
      <c r="GE88" s="228"/>
      <c r="GF88" s="229"/>
      <c r="GG88" s="36"/>
      <c r="GH88" s="229"/>
      <c r="GI88" s="230"/>
      <c r="GJ88" s="87"/>
      <c r="GM88" s="227"/>
      <c r="GN88" s="228"/>
      <c r="GO88" s="229"/>
      <c r="GP88" s="36"/>
      <c r="GQ88" s="229"/>
      <c r="GR88" s="230"/>
      <c r="GS88" s="87"/>
      <c r="GT88" s="187"/>
      <c r="GU88"/>
      <c r="GW88" s="235"/>
      <c r="GX88" s="235"/>
      <c r="GY88" s="236"/>
      <c r="GZ88"/>
    </row>
    <row r="89" spans="1:208" x14ac:dyDescent="0.25">
      <c r="D89" s="35"/>
      <c r="E89" s="36"/>
      <c r="F89" s="37"/>
      <c r="G89" s="38"/>
      <c r="H89" s="39"/>
      <c r="I89" s="40"/>
      <c r="J89" s="177"/>
      <c r="M89" s="212"/>
      <c r="O89" s="224"/>
      <c r="P89" s="225"/>
      <c r="Q89" s="226"/>
      <c r="R89" s="226"/>
      <c r="S89" s="226"/>
      <c r="T89" s="39"/>
      <c r="U89" s="217"/>
      <c r="X89" s="227"/>
      <c r="Y89" s="228"/>
      <c r="Z89" s="229"/>
      <c r="AA89" s="36"/>
      <c r="AB89" s="229"/>
      <c r="AC89" s="230"/>
      <c r="AD89" s="87"/>
      <c r="AG89" s="227"/>
      <c r="AH89" s="228"/>
      <c r="AI89" s="229"/>
      <c r="AJ89" s="36"/>
      <c r="AK89" s="231"/>
      <c r="AL89" s="230"/>
      <c r="AM89" s="87"/>
      <c r="AP89" s="227"/>
      <c r="AQ89" s="228"/>
      <c r="AR89" s="229"/>
      <c r="AS89" s="36"/>
      <c r="AT89" s="229"/>
      <c r="AU89" s="230"/>
      <c r="AV89" s="87"/>
      <c r="AY89" s="227"/>
      <c r="AZ89" s="228"/>
      <c r="BA89" s="229"/>
      <c r="BB89" s="36"/>
      <c r="BC89" s="231"/>
      <c r="BD89" s="230"/>
      <c r="BE89" s="87"/>
      <c r="BH89" s="227"/>
      <c r="BI89" s="228"/>
      <c r="BJ89" s="229"/>
      <c r="BK89" s="36"/>
      <c r="BL89" s="231"/>
      <c r="BM89" s="230"/>
      <c r="BN89" s="87"/>
      <c r="BQ89" s="227"/>
      <c r="BR89" s="228"/>
      <c r="BS89" s="229"/>
      <c r="BT89" s="36"/>
      <c r="BU89" s="229"/>
      <c r="BV89" s="230"/>
      <c r="BW89" s="87"/>
      <c r="BZ89" s="227"/>
      <c r="CA89" s="228"/>
      <c r="CB89" s="229"/>
      <c r="CC89" s="36"/>
      <c r="CD89" s="229"/>
      <c r="CE89" s="230"/>
      <c r="CF89" s="87"/>
      <c r="CI89" s="227"/>
      <c r="CJ89" s="228"/>
      <c r="CK89" s="229"/>
      <c r="CL89" s="36"/>
      <c r="CM89" s="229"/>
      <c r="CN89" s="230"/>
      <c r="CO89" s="87"/>
      <c r="CR89" s="227"/>
      <c r="CS89" s="228"/>
      <c r="CT89" s="229"/>
      <c r="CU89" s="232"/>
      <c r="CV89" s="231"/>
      <c r="CW89" s="233"/>
      <c r="CX89" s="87"/>
      <c r="DA89" s="227"/>
      <c r="DB89" s="228"/>
      <c r="DC89" s="229"/>
      <c r="DD89" s="36"/>
      <c r="DE89" s="229"/>
      <c r="DF89" s="230"/>
      <c r="DG89" s="87"/>
      <c r="DJ89" s="227"/>
      <c r="DK89" s="228"/>
      <c r="DL89" s="229"/>
      <c r="DM89" s="232"/>
      <c r="DN89" s="231"/>
      <c r="DO89" s="233"/>
      <c r="DP89" s="87"/>
      <c r="DS89" s="227"/>
      <c r="DT89" s="228"/>
      <c r="DU89" s="229"/>
      <c r="DV89" s="36"/>
      <c r="DW89" s="229"/>
      <c r="DX89" s="230"/>
      <c r="DY89" s="87"/>
      <c r="EB89" s="227"/>
      <c r="EC89" s="228"/>
      <c r="ED89" s="229"/>
      <c r="EE89" s="232"/>
      <c r="EF89" s="231"/>
      <c r="EG89" s="233"/>
      <c r="EH89" s="87"/>
      <c r="EK89" s="227"/>
      <c r="EL89" s="228"/>
      <c r="EM89" s="229"/>
      <c r="EN89" s="232"/>
      <c r="EO89" s="231"/>
      <c r="EP89" s="233"/>
      <c r="EQ89" s="87"/>
      <c r="ET89" s="227"/>
      <c r="EU89" s="228"/>
      <c r="EV89" s="229"/>
      <c r="EW89" s="36"/>
      <c r="EX89" s="229"/>
      <c r="EY89" s="230"/>
      <c r="EZ89" s="87"/>
      <c r="FC89" s="227"/>
      <c r="FD89" s="228"/>
      <c r="FE89" s="229"/>
      <c r="FF89" s="36"/>
      <c r="FG89" s="229"/>
      <c r="FH89" s="230"/>
      <c r="FI89" s="87"/>
      <c r="FL89" s="227"/>
      <c r="FM89" s="228"/>
      <c r="FN89" s="229"/>
      <c r="FO89" s="36"/>
      <c r="FP89" s="229"/>
      <c r="FQ89" s="230"/>
      <c r="FR89" s="87"/>
      <c r="FU89" s="227"/>
      <c r="FV89" s="228"/>
      <c r="FW89" s="229"/>
      <c r="FX89" s="36"/>
      <c r="FY89" s="229"/>
      <c r="FZ89" s="230"/>
      <c r="GA89" s="87"/>
      <c r="GD89" s="227"/>
      <c r="GE89" s="228"/>
      <c r="GF89" s="229"/>
      <c r="GG89" s="36"/>
      <c r="GH89" s="229"/>
      <c r="GI89" s="230"/>
      <c r="GJ89" s="87"/>
      <c r="GM89" s="227"/>
      <c r="GN89" s="228"/>
      <c r="GO89" s="229"/>
      <c r="GP89" s="36"/>
      <c r="GQ89" s="229"/>
      <c r="GR89" s="230"/>
      <c r="GS89" s="87"/>
      <c r="GT89" s="187"/>
      <c r="GU89"/>
      <c r="GW89" s="235"/>
      <c r="GX89" s="235"/>
      <c r="GY89" s="236"/>
      <c r="GZ89"/>
    </row>
    <row r="90" spans="1:208" x14ac:dyDescent="0.25">
      <c r="A90" s="1">
        <v>25</v>
      </c>
      <c r="B90" t="e">
        <f>#REF!</f>
        <v>#REF!</v>
      </c>
      <c r="C90" t="e">
        <f>#REF!</f>
        <v>#REF!</v>
      </c>
      <c r="D90" s="35" t="e">
        <f>#REF!</f>
        <v>#REF!</v>
      </c>
      <c r="E90" s="36" t="e">
        <f>#REF!</f>
        <v>#REF!</v>
      </c>
      <c r="F90" s="37" t="e">
        <f>#REF!</f>
        <v>#REF!</v>
      </c>
      <c r="G90" s="38" t="e">
        <f>#REF!</f>
        <v>#REF!</v>
      </c>
      <c r="H90" s="39" t="e">
        <f>#REF!</f>
        <v>#REF!</v>
      </c>
      <c r="I90" s="40" t="e">
        <f>#REF!</f>
        <v>#REF!</v>
      </c>
      <c r="J90" s="177"/>
      <c r="M90" s="212"/>
      <c r="O90" s="224"/>
      <c r="P90" s="240"/>
      <c r="Q90" s="226"/>
      <c r="R90" s="226"/>
      <c r="S90" s="226"/>
      <c r="T90" s="39"/>
      <c r="U90" s="241"/>
      <c r="X90" s="227"/>
      <c r="Y90" s="228"/>
      <c r="Z90" s="229"/>
      <c r="AA90" s="198"/>
      <c r="AB90" s="197"/>
      <c r="AC90" s="199"/>
      <c r="AD90" s="200"/>
      <c r="AG90" s="227"/>
      <c r="AH90" s="228"/>
      <c r="AI90" s="229"/>
      <c r="AJ90" s="232"/>
      <c r="AK90" s="231"/>
      <c r="AL90" s="233"/>
      <c r="AM90" s="87"/>
      <c r="AP90" s="227"/>
      <c r="AQ90" s="228">
        <v>21</v>
      </c>
      <c r="AR90" s="229"/>
      <c r="AS90" s="232"/>
      <c r="AT90" s="229"/>
      <c r="AU90" s="233"/>
      <c r="AV90" s="87"/>
      <c r="AY90" s="227"/>
      <c r="AZ90" s="228">
        <v>21</v>
      </c>
      <c r="BA90" s="229"/>
      <c r="BB90" s="232"/>
      <c r="BC90" s="231"/>
      <c r="BD90" s="233"/>
      <c r="BE90" s="87"/>
      <c r="BH90" s="227"/>
      <c r="BI90" s="228"/>
      <c r="BJ90" s="229"/>
      <c r="BK90" s="232"/>
      <c r="BL90" s="231"/>
      <c r="BM90" s="233"/>
      <c r="BN90" s="87"/>
      <c r="BQ90" s="227"/>
      <c r="BR90" s="228"/>
      <c r="BS90" s="229"/>
      <c r="BT90" s="36"/>
      <c r="BU90" s="229"/>
      <c r="BV90" s="230"/>
      <c r="BW90" s="87"/>
      <c r="BZ90" s="227"/>
      <c r="CA90" s="228"/>
      <c r="CB90" s="229"/>
      <c r="CC90" s="36"/>
      <c r="CD90" s="229"/>
      <c r="CE90" s="230"/>
      <c r="CF90" s="87"/>
      <c r="CI90" s="227"/>
      <c r="CJ90" s="228">
        <v>21</v>
      </c>
      <c r="CK90" s="229"/>
      <c r="CL90" s="36"/>
      <c r="CM90" s="229"/>
      <c r="CN90" s="230"/>
      <c r="CO90" s="87"/>
      <c r="CR90" s="227"/>
      <c r="CS90" s="228"/>
      <c r="CT90" s="229"/>
      <c r="CU90" s="232"/>
      <c r="CV90" s="231"/>
      <c r="CW90" s="233"/>
      <c r="CX90" s="87"/>
      <c r="DA90" s="227"/>
      <c r="DB90" s="228">
        <v>21</v>
      </c>
      <c r="DC90" s="229"/>
      <c r="DD90" s="36"/>
      <c r="DE90" s="229"/>
      <c r="DF90" s="230"/>
      <c r="DG90" s="87"/>
      <c r="DJ90" s="227"/>
      <c r="DK90" s="228"/>
      <c r="DL90" s="229"/>
      <c r="DM90" s="232"/>
      <c r="DN90" s="231"/>
      <c r="DO90" s="233"/>
      <c r="DP90" s="87"/>
      <c r="DS90" s="227"/>
      <c r="DT90" s="228"/>
      <c r="DU90" s="229"/>
      <c r="DV90" s="36"/>
      <c r="DW90" s="229"/>
      <c r="DX90" s="230"/>
      <c r="DY90" s="87"/>
      <c r="EB90" s="227"/>
      <c r="EC90" s="228">
        <v>21</v>
      </c>
      <c r="ED90" s="229"/>
      <c r="EE90" s="232"/>
      <c r="EF90" s="231"/>
      <c r="EG90" s="233"/>
      <c r="EH90" s="87"/>
      <c r="EK90" s="227"/>
      <c r="EL90" s="228">
        <v>21</v>
      </c>
      <c r="EM90" s="229"/>
      <c r="EN90" s="232"/>
      <c r="EO90" s="231"/>
      <c r="EP90" s="233"/>
      <c r="EQ90" s="87"/>
      <c r="ET90" s="227"/>
      <c r="EU90" s="228">
        <v>21</v>
      </c>
      <c r="EV90" s="229"/>
      <c r="EW90" s="36"/>
      <c r="EX90" s="229"/>
      <c r="EY90" s="230"/>
      <c r="EZ90" s="87"/>
      <c r="FC90" s="227"/>
      <c r="FD90" s="228">
        <v>21</v>
      </c>
      <c r="FE90" s="229"/>
      <c r="FF90" s="36"/>
      <c r="FG90" s="229"/>
      <c r="FH90" s="230"/>
      <c r="FI90" s="87"/>
      <c r="FL90" s="227"/>
      <c r="FM90" s="228">
        <v>21</v>
      </c>
      <c r="FN90" s="229"/>
      <c r="FO90" s="36"/>
      <c r="FP90" s="229"/>
      <c r="FQ90" s="230"/>
      <c r="FR90" s="87"/>
      <c r="FU90" s="227"/>
      <c r="FV90" s="228">
        <v>21</v>
      </c>
      <c r="FW90" s="229"/>
      <c r="FX90" s="36"/>
      <c r="FY90" s="229"/>
      <c r="FZ90" s="230"/>
      <c r="GA90" s="87"/>
      <c r="GD90" s="227"/>
      <c r="GE90" s="228">
        <v>21</v>
      </c>
      <c r="GF90" s="229"/>
      <c r="GG90" s="36"/>
      <c r="GH90" s="229"/>
      <c r="GI90" s="230"/>
      <c r="GJ90" s="87"/>
      <c r="GM90" s="227"/>
      <c r="GN90" s="228">
        <v>21</v>
      </c>
      <c r="GO90" s="229"/>
      <c r="GP90" s="36"/>
      <c r="GQ90" s="229"/>
      <c r="GR90" s="230"/>
      <c r="GS90" s="87"/>
      <c r="GT90" s="187"/>
      <c r="GU90"/>
      <c r="GW90" s="235"/>
      <c r="GX90" s="235"/>
      <c r="GY90" s="236"/>
      <c r="GZ90"/>
    </row>
    <row r="91" spans="1:208" x14ac:dyDescent="0.25">
      <c r="A91" s="1">
        <v>26</v>
      </c>
      <c r="B91" t="e">
        <f>#REF!</f>
        <v>#REF!</v>
      </c>
      <c r="C91" t="e">
        <f>#REF!</f>
        <v>#REF!</v>
      </c>
      <c r="D91" s="35" t="e">
        <f>#REF!</f>
        <v>#REF!</v>
      </c>
      <c r="E91" s="36" t="e">
        <f>#REF!</f>
        <v>#REF!</v>
      </c>
      <c r="F91" s="37" t="e">
        <f>#REF!</f>
        <v>#REF!</v>
      </c>
      <c r="G91" s="38" t="e">
        <f>#REF!</f>
        <v>#REF!</v>
      </c>
      <c r="H91" s="39" t="e">
        <f>#REF!</f>
        <v>#REF!</v>
      </c>
      <c r="I91" s="40" t="e">
        <f>#REF!</f>
        <v>#REF!</v>
      </c>
      <c r="J91" s="238"/>
      <c r="M91" s="212"/>
      <c r="T91" s="39"/>
      <c r="U91" s="242"/>
      <c r="X91" s="227"/>
      <c r="Y91" s="228"/>
      <c r="Z91" s="229"/>
      <c r="AA91" s="36"/>
      <c r="AB91" s="229"/>
      <c r="AC91" s="230"/>
      <c r="AD91" s="87"/>
      <c r="AG91" s="227"/>
      <c r="AH91" s="228"/>
      <c r="AI91" s="229"/>
      <c r="AJ91" s="232"/>
      <c r="AK91" s="231"/>
      <c r="AL91" s="233"/>
      <c r="AM91" s="87"/>
      <c r="AP91" s="227"/>
      <c r="AQ91" s="228">
        <v>22</v>
      </c>
      <c r="AR91" s="231"/>
      <c r="AS91" s="232"/>
      <c r="AT91" s="229"/>
      <c r="AU91" s="233"/>
      <c r="AV91" s="87"/>
      <c r="AY91" s="227"/>
      <c r="AZ91" s="228">
        <v>22</v>
      </c>
      <c r="BA91" s="229"/>
      <c r="BB91" s="232"/>
      <c r="BC91" s="231"/>
      <c r="BD91" s="233"/>
      <c r="BE91" s="87"/>
      <c r="BH91" s="227"/>
      <c r="BI91" s="228"/>
      <c r="BJ91" s="229"/>
      <c r="BK91" s="232"/>
      <c r="BL91" s="231"/>
      <c r="BM91" s="233"/>
      <c r="BN91" s="87"/>
      <c r="BQ91" s="227"/>
      <c r="BR91" s="228"/>
      <c r="BS91" s="229"/>
      <c r="BT91" s="36"/>
      <c r="BU91" s="229"/>
      <c r="BV91" s="230"/>
      <c r="BW91" s="87"/>
      <c r="BZ91" s="227"/>
      <c r="CA91" s="228"/>
      <c r="CB91" s="229"/>
      <c r="CC91" s="36"/>
      <c r="CD91" s="229"/>
      <c r="CE91" s="230"/>
      <c r="CF91" s="87"/>
      <c r="CI91" s="227"/>
      <c r="CJ91" s="228">
        <v>22</v>
      </c>
      <c r="CK91" s="229"/>
      <c r="CL91" s="36"/>
      <c r="CM91" s="229"/>
      <c r="CN91" s="230"/>
      <c r="CO91" s="87"/>
      <c r="CR91" s="227"/>
      <c r="CS91" s="228"/>
      <c r="CT91" s="229"/>
      <c r="CU91" s="232"/>
      <c r="CV91" s="231"/>
      <c r="CW91" s="233"/>
      <c r="CX91" s="87"/>
      <c r="DA91" s="227"/>
      <c r="DB91" s="228">
        <v>22</v>
      </c>
      <c r="DC91" s="229"/>
      <c r="DD91" s="232"/>
      <c r="DE91" s="231"/>
      <c r="DF91" s="233"/>
      <c r="DG91" s="87"/>
      <c r="DJ91" s="227"/>
      <c r="DK91" s="228"/>
      <c r="DL91" s="229">
        <v>0</v>
      </c>
      <c r="DM91" s="232"/>
      <c r="DN91" s="231"/>
      <c r="DO91" s="233"/>
      <c r="DP91" s="87"/>
      <c r="DS91" s="227"/>
      <c r="DT91" s="228"/>
      <c r="DU91" s="229"/>
      <c r="DV91" s="36"/>
      <c r="DW91" s="229"/>
      <c r="DX91" s="230"/>
      <c r="DY91" s="87"/>
      <c r="EB91" s="227"/>
      <c r="EC91" s="228">
        <v>22</v>
      </c>
      <c r="ED91" s="229"/>
      <c r="EE91" s="232"/>
      <c r="EF91" s="231"/>
      <c r="EG91" s="233"/>
      <c r="EH91" s="87"/>
      <c r="EK91" s="227"/>
      <c r="EL91" s="228">
        <v>22</v>
      </c>
      <c r="EM91" s="229"/>
      <c r="EN91" s="232"/>
      <c r="EO91" s="231"/>
      <c r="EP91" s="233"/>
      <c r="EQ91" s="87"/>
      <c r="ET91" s="227"/>
      <c r="EU91" s="228">
        <v>22</v>
      </c>
      <c r="EV91" s="229"/>
      <c r="EW91" s="36"/>
      <c r="EX91" s="229"/>
      <c r="EY91" s="230"/>
      <c r="EZ91" s="87"/>
      <c r="FC91" s="227"/>
      <c r="FD91" s="228">
        <v>22</v>
      </c>
      <c r="FE91" s="229"/>
      <c r="FF91" s="36"/>
      <c r="FG91" s="229"/>
      <c r="FH91" s="230"/>
      <c r="FI91" s="87"/>
      <c r="FL91" s="227"/>
      <c r="FM91" s="228">
        <v>22</v>
      </c>
      <c r="FN91" s="229"/>
      <c r="FO91" s="36"/>
      <c r="FP91" s="229"/>
      <c r="FQ91" s="230"/>
      <c r="FR91" s="87"/>
      <c r="FU91" s="227"/>
      <c r="FV91" s="228">
        <v>22</v>
      </c>
      <c r="FW91" s="229"/>
      <c r="FX91" s="36"/>
      <c r="FY91" s="229"/>
      <c r="FZ91" s="230"/>
      <c r="GA91" s="87"/>
      <c r="GD91" s="227"/>
      <c r="GE91" s="228">
        <v>22</v>
      </c>
      <c r="GF91" s="229"/>
      <c r="GG91" s="36"/>
      <c r="GH91" s="229"/>
      <c r="GI91" s="230"/>
      <c r="GJ91" s="87"/>
      <c r="GM91" s="227"/>
      <c r="GN91" s="228">
        <v>22</v>
      </c>
      <c r="GO91" s="229"/>
      <c r="GP91" s="36"/>
      <c r="GQ91" s="229"/>
      <c r="GR91" s="230"/>
      <c r="GS91" s="87"/>
      <c r="GT91" s="187"/>
      <c r="GU91"/>
      <c r="GW91" s="235"/>
      <c r="GX91" s="235"/>
      <c r="GY91" s="236"/>
      <c r="GZ91"/>
    </row>
    <row r="92" spans="1:208" ht="16.5" thickBot="1" x14ac:dyDescent="0.3">
      <c r="A92" s="1">
        <v>27</v>
      </c>
      <c r="B92" t="e">
        <f>#REF!</f>
        <v>#REF!</v>
      </c>
      <c r="C92" t="e">
        <f>#REF!</f>
        <v>#REF!</v>
      </c>
      <c r="D92" s="35" t="e">
        <f>#REF!</f>
        <v>#REF!</v>
      </c>
      <c r="E92" s="36" t="e">
        <f>#REF!</f>
        <v>#REF!</v>
      </c>
      <c r="F92" s="37" t="e">
        <f>#REF!</f>
        <v>#REF!</v>
      </c>
      <c r="G92" s="38" t="e">
        <f>#REF!</f>
        <v>#REF!</v>
      </c>
      <c r="H92" s="39" t="e">
        <f>#REF!</f>
        <v>#REF!</v>
      </c>
      <c r="I92" s="40" t="e">
        <f>#REF!</f>
        <v>#REF!</v>
      </c>
      <c r="J92" s="238"/>
      <c r="U92" s="242"/>
      <c r="X92" s="227"/>
      <c r="Y92" s="228"/>
      <c r="Z92" s="231"/>
      <c r="AA92" s="36"/>
      <c r="AB92" s="229"/>
      <c r="AC92" s="230"/>
      <c r="AD92" s="87"/>
      <c r="AG92" s="243"/>
      <c r="AH92" s="244"/>
      <c r="AI92" s="245"/>
      <c r="AJ92" s="246"/>
      <c r="AK92" s="247"/>
      <c r="AL92" s="248"/>
      <c r="AP92" s="227"/>
      <c r="AQ92" s="228">
        <v>23</v>
      </c>
      <c r="AR92" s="231"/>
      <c r="AS92" s="232"/>
      <c r="AT92" s="229"/>
      <c r="AU92" s="230"/>
      <c r="AV92" s="87"/>
      <c r="AY92" s="227"/>
      <c r="AZ92" s="228"/>
      <c r="BA92" s="231"/>
      <c r="BB92" s="232"/>
      <c r="BC92" s="249"/>
      <c r="BD92" s="230"/>
      <c r="BE92" s="87"/>
      <c r="BH92" s="243"/>
      <c r="BI92" s="250"/>
      <c r="BJ92" s="245"/>
      <c r="BK92" s="251"/>
      <c r="BL92" s="247"/>
      <c r="BM92" s="252"/>
      <c r="BN92" s="87"/>
      <c r="BR92" s="228"/>
      <c r="BS92" s="231"/>
      <c r="BT92" s="36"/>
      <c r="BU92" s="231"/>
      <c r="BV92" s="230"/>
      <c r="BW92" s="87"/>
      <c r="BZ92" s="243"/>
      <c r="CA92" s="253"/>
      <c r="CB92" s="245"/>
      <c r="CC92" s="246"/>
      <c r="CD92" s="247"/>
      <c r="CE92" s="248"/>
      <c r="CI92" s="227"/>
      <c r="CJ92" s="228">
        <v>23</v>
      </c>
      <c r="CK92" s="231"/>
      <c r="CM92" s="231"/>
      <c r="CR92" s="243"/>
      <c r="CS92" s="253"/>
      <c r="CT92" s="245">
        <v>0</v>
      </c>
      <c r="CU92" s="246"/>
      <c r="CV92" s="247">
        <v>0</v>
      </c>
      <c r="CW92" s="248"/>
      <c r="DA92" s="243"/>
      <c r="DB92" s="253"/>
      <c r="DC92" s="245">
        <v>0</v>
      </c>
      <c r="DD92" s="246"/>
      <c r="DE92" s="247">
        <v>0</v>
      </c>
      <c r="DF92" s="248"/>
      <c r="DJ92" s="243"/>
      <c r="DK92" s="253"/>
      <c r="DL92" s="245">
        <v>0</v>
      </c>
      <c r="DM92" s="246"/>
      <c r="DN92" s="247">
        <v>0</v>
      </c>
      <c r="DO92" s="248"/>
      <c r="DS92" s="243"/>
      <c r="DT92" s="253"/>
      <c r="DU92" s="245">
        <v>0</v>
      </c>
      <c r="DV92" s="246"/>
      <c r="DW92" s="247">
        <v>0</v>
      </c>
      <c r="DX92" s="248"/>
      <c r="EB92" s="243"/>
      <c r="EC92" s="253"/>
      <c r="ED92" s="245">
        <v>0</v>
      </c>
      <c r="EE92" s="246"/>
      <c r="EF92" s="247">
        <v>0</v>
      </c>
      <c r="EG92" s="248"/>
      <c r="EK92" s="243"/>
      <c r="EL92" s="253"/>
      <c r="EM92" s="245">
        <v>0</v>
      </c>
      <c r="EN92" s="246"/>
      <c r="EO92" s="247">
        <v>0</v>
      </c>
      <c r="EP92" s="248"/>
      <c r="ET92" s="243"/>
      <c r="EU92" s="253"/>
      <c r="EV92" s="245">
        <v>0</v>
      </c>
      <c r="EW92" s="246"/>
      <c r="EX92" s="247">
        <v>0</v>
      </c>
      <c r="EY92" s="248"/>
      <c r="FC92" s="243"/>
      <c r="FD92" s="253"/>
      <c r="FE92" s="245">
        <v>0</v>
      </c>
      <c r="FF92" s="246"/>
      <c r="FG92" s="247">
        <v>0</v>
      </c>
      <c r="FH92" s="248"/>
      <c r="FL92" s="243"/>
      <c r="FM92" s="253"/>
      <c r="FN92" s="245">
        <v>0</v>
      </c>
      <c r="FO92" s="246"/>
      <c r="FP92" s="247">
        <v>0</v>
      </c>
      <c r="FQ92" s="248"/>
      <c r="FU92" s="243"/>
      <c r="FV92" s="253"/>
      <c r="FW92" s="245">
        <v>0</v>
      </c>
      <c r="FX92" s="246"/>
      <c r="FY92" s="247">
        <v>0</v>
      </c>
      <c r="FZ92" s="248"/>
      <c r="GD92" s="243"/>
      <c r="GE92" s="253"/>
      <c r="GF92" s="245">
        <v>0</v>
      </c>
      <c r="GG92" s="246"/>
      <c r="GH92" s="247">
        <v>0</v>
      </c>
      <c r="GI92" s="248"/>
      <c r="GM92" s="243"/>
      <c r="GN92" s="253"/>
      <c r="GO92" s="245">
        <v>0</v>
      </c>
      <c r="GP92" s="246"/>
      <c r="GQ92" s="247">
        <v>0</v>
      </c>
      <c r="GR92" s="248"/>
      <c r="GU92"/>
      <c r="GW92" s="235"/>
      <c r="GX92" s="235"/>
      <c r="GY92" s="236"/>
      <c r="GZ92"/>
    </row>
    <row r="93" spans="1:208" x14ac:dyDescent="0.25">
      <c r="J93" s="177"/>
      <c r="K93" s="452"/>
      <c r="T93" s="39"/>
      <c r="U93" s="217"/>
      <c r="GU93"/>
      <c r="GW93" s="235"/>
      <c r="GX93" s="235"/>
      <c r="GY93" s="236"/>
      <c r="GZ93"/>
    </row>
    <row r="94" spans="1:208" x14ac:dyDescent="0.25">
      <c r="J94" s="238"/>
      <c r="K94" s="452"/>
      <c r="T94" s="39"/>
      <c r="U94" s="217"/>
      <c r="GU94"/>
      <c r="GW94" s="235"/>
      <c r="GX94" s="235"/>
      <c r="GY94" s="236"/>
      <c r="GZ94"/>
    </row>
    <row r="95" spans="1:208" x14ac:dyDescent="0.25">
      <c r="J95" s="177"/>
      <c r="K95" s="452"/>
      <c r="O95" s="224"/>
      <c r="P95" s="225"/>
      <c r="Q95" s="226"/>
      <c r="R95" s="226"/>
      <c r="S95" s="226"/>
      <c r="T95" s="39"/>
      <c r="U95" s="217"/>
      <c r="GU95"/>
      <c r="GW95" s="235"/>
      <c r="GX95" s="235"/>
      <c r="GY95" s="236"/>
      <c r="GZ95"/>
    </row>
    <row r="96" spans="1:208" x14ac:dyDescent="0.25">
      <c r="J96" s="238"/>
      <c r="K96" s="452"/>
      <c r="M96" s="212"/>
      <c r="O96" s="224"/>
      <c r="P96" s="225"/>
      <c r="Q96" s="226"/>
      <c r="R96" s="226"/>
      <c r="S96" s="226"/>
      <c r="T96" s="39"/>
      <c r="U96" s="217"/>
      <c r="GU96"/>
      <c r="GW96" s="235"/>
      <c r="GX96" s="235"/>
      <c r="GY96" s="236"/>
      <c r="GZ96"/>
    </row>
    <row r="97" spans="1:208" x14ac:dyDescent="0.25">
      <c r="J97" s="177"/>
      <c r="K97" s="452"/>
      <c r="M97" s="212"/>
      <c r="O97" s="884"/>
      <c r="P97" s="884"/>
      <c r="Q97" s="884"/>
      <c r="T97" s="39"/>
      <c r="U97" s="217"/>
      <c r="GU97"/>
      <c r="GW97" s="235"/>
      <c r="GX97" s="235"/>
      <c r="GY97" s="236"/>
      <c r="GZ97"/>
    </row>
    <row r="98" spans="1:208" x14ac:dyDescent="0.25">
      <c r="J98" s="238"/>
      <c r="GU98"/>
      <c r="GW98" s="235"/>
      <c r="GX98" s="235"/>
      <c r="GY98" s="236"/>
      <c r="GZ98"/>
    </row>
    <row r="99" spans="1:208" x14ac:dyDescent="0.25">
      <c r="J99" s="177"/>
      <c r="GU99"/>
      <c r="GW99" s="235"/>
      <c r="GX99" s="235"/>
      <c r="GY99" s="236"/>
      <c r="GZ99"/>
    </row>
    <row r="100" spans="1:208" x14ac:dyDescent="0.25">
      <c r="A100"/>
      <c r="F100"/>
      <c r="J100" s="177"/>
      <c r="K100" s="453"/>
      <c r="L100"/>
      <c r="M100"/>
      <c r="N100"/>
      <c r="O100" s="37"/>
      <c r="P100"/>
      <c r="Q100"/>
      <c r="R100"/>
      <c r="S100"/>
      <c r="V100"/>
      <c r="W100"/>
      <c r="GU100"/>
      <c r="GW100" s="235"/>
      <c r="GX100" s="235"/>
      <c r="GY100" s="236"/>
      <c r="GZ100"/>
    </row>
    <row r="101" spans="1:208" x14ac:dyDescent="0.25">
      <c r="A101"/>
      <c r="F101"/>
      <c r="J101" s="238"/>
      <c r="K101" s="453"/>
      <c r="L101"/>
      <c r="M101"/>
      <c r="N101"/>
      <c r="O101" s="37"/>
      <c r="P101"/>
      <c r="Q101"/>
      <c r="R101"/>
      <c r="S101"/>
      <c r="V101"/>
      <c r="W101"/>
      <c r="GU101"/>
      <c r="GW101" s="235"/>
      <c r="GX101" s="235"/>
      <c r="GY101" s="236"/>
      <c r="GZ101"/>
    </row>
    <row r="102" spans="1:208" x14ac:dyDescent="0.25">
      <c r="A102"/>
      <c r="F102"/>
      <c r="J102" s="238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236"/>
      <c r="GZ102"/>
    </row>
    <row r="103" spans="1:208" x14ac:dyDescent="0.25">
      <c r="A103"/>
      <c r="F103"/>
      <c r="J103" s="238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236"/>
      <c r="GZ103"/>
    </row>
    <row r="104" spans="1:208" x14ac:dyDescent="0.25">
      <c r="A104"/>
      <c r="F104"/>
      <c r="J104" s="255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236"/>
      <c r="GZ104"/>
    </row>
    <row r="105" spans="1:208" x14ac:dyDescent="0.25">
      <c r="A105"/>
      <c r="F105"/>
      <c r="J105" s="208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236"/>
      <c r="GZ105"/>
    </row>
    <row r="106" spans="1:208" x14ac:dyDescent="0.25">
      <c r="A106"/>
      <c r="F106"/>
      <c r="J106" s="177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236"/>
      <c r="GZ106"/>
    </row>
    <row r="107" spans="1:208" x14ac:dyDescent="0.25">
      <c r="A107"/>
      <c r="F107"/>
      <c r="J107" s="177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236"/>
      <c r="GZ107"/>
    </row>
    <row r="108" spans="1:208" x14ac:dyDescent="0.25">
      <c r="A108"/>
      <c r="F108"/>
      <c r="J108" s="177"/>
      <c r="K108" s="453"/>
      <c r="L108"/>
      <c r="M108"/>
      <c r="N108"/>
      <c r="O108" s="37"/>
      <c r="P108"/>
      <c r="Q108"/>
      <c r="R108"/>
      <c r="S108"/>
      <c r="V108"/>
      <c r="W108"/>
      <c r="GU108"/>
      <c r="GW108" s="235"/>
      <c r="GX108" s="235"/>
      <c r="GY108" s="236"/>
      <c r="GZ108"/>
    </row>
    <row r="109" spans="1:208" x14ac:dyDescent="0.25">
      <c r="A109"/>
      <c r="F109"/>
      <c r="J109" s="177"/>
      <c r="K109" s="453"/>
      <c r="L109"/>
      <c r="M109"/>
      <c r="N109"/>
      <c r="O109" s="37"/>
      <c r="P109"/>
      <c r="Q109"/>
      <c r="R109"/>
      <c r="S109"/>
      <c r="V109"/>
      <c r="W109"/>
      <c r="GU109"/>
      <c r="GW109" s="235"/>
      <c r="GX109" s="235"/>
      <c r="GY109" s="236"/>
      <c r="GZ109"/>
    </row>
    <row r="110" spans="1:208" x14ac:dyDescent="0.25">
      <c r="A110"/>
      <c r="F110"/>
      <c r="J110" s="177"/>
      <c r="K110" s="453"/>
      <c r="L110"/>
      <c r="M110"/>
      <c r="N110"/>
      <c r="O110" s="37"/>
      <c r="P110"/>
      <c r="Q110"/>
      <c r="R110"/>
      <c r="S110"/>
      <c r="V110"/>
      <c r="W110"/>
      <c r="GU110"/>
      <c r="GW110" s="235"/>
      <c r="GX110" s="235"/>
      <c r="GY110" s="236"/>
      <c r="GZ110"/>
    </row>
    <row r="111" spans="1:208" x14ac:dyDescent="0.25">
      <c r="A111"/>
      <c r="F111"/>
      <c r="J111" s="177"/>
      <c r="K111" s="453"/>
      <c r="L111"/>
      <c r="M111"/>
      <c r="N111"/>
      <c r="O111" s="37"/>
      <c r="P111"/>
      <c r="Q111"/>
      <c r="R111"/>
      <c r="S111"/>
      <c r="V111"/>
      <c r="W111"/>
      <c r="GU111"/>
      <c r="GW111" s="235"/>
      <c r="GX111" s="235"/>
      <c r="GY111" s="236"/>
      <c r="GZ111"/>
    </row>
    <row r="112" spans="1:208" x14ac:dyDescent="0.25">
      <c r="A112"/>
      <c r="F112"/>
      <c r="J112" s="177"/>
      <c r="K112" s="453"/>
      <c r="L112"/>
      <c r="M112"/>
      <c r="N112"/>
      <c r="O112" s="37"/>
      <c r="P112"/>
      <c r="Q112"/>
      <c r="R112"/>
      <c r="S112"/>
      <c r="V112"/>
      <c r="W112"/>
      <c r="GU112"/>
      <c r="GW112" s="235"/>
      <c r="GX112" s="235"/>
      <c r="GY112" s="236"/>
      <c r="GZ112"/>
    </row>
  </sheetData>
  <mergeCells count="33"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86:U87"/>
    <mergeCell ref="FT1:FZ1"/>
    <mergeCell ref="GC1:GI1"/>
    <mergeCell ref="GL1:GR1"/>
    <mergeCell ref="R16:S16"/>
    <mergeCell ref="R20:S20"/>
    <mergeCell ref="R30:S3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R25:S25"/>
    <mergeCell ref="R26:S26"/>
    <mergeCell ref="O97:Q97"/>
    <mergeCell ref="R44:S44"/>
    <mergeCell ref="M79:N79"/>
    <mergeCell ref="O79:O80"/>
    <mergeCell ref="O83:Q83"/>
    <mergeCell ref="O86:Q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143"/>
  <sheetViews>
    <sheetView workbookViewId="0">
      <selection activeCell="B107" sqref="B107"/>
    </sheetView>
  </sheetViews>
  <sheetFormatPr baseColWidth="10" defaultRowHeight="15" x14ac:dyDescent="0.25"/>
  <cols>
    <col min="1" max="1" width="25.5703125" style="8" customWidth="1"/>
    <col min="2" max="2" width="15" style="685" customWidth="1"/>
    <col min="3" max="3" width="11.42578125" style="676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2.42578125" style="183" customWidth="1"/>
    <col min="9" max="9" width="11.85546875" style="8" customWidth="1"/>
    <col min="10" max="11" width="11.42578125" style="195"/>
  </cols>
  <sheetData>
    <row r="1" spans="1:14" ht="21" x14ac:dyDescent="0.35">
      <c r="A1" s="885" t="s">
        <v>32</v>
      </c>
      <c r="B1" s="885"/>
      <c r="C1" s="885"/>
      <c r="D1" s="885"/>
      <c r="E1" s="885"/>
      <c r="F1" s="885"/>
      <c r="G1" s="885"/>
    </row>
    <row r="2" spans="1:14" ht="15.75" thickBot="1" x14ac:dyDescent="0.3">
      <c r="D2" s="260"/>
    </row>
    <row r="3" spans="1:14" ht="16.5" thickTop="1" thickBot="1" x14ac:dyDescent="0.3">
      <c r="A3" s="262" t="s">
        <v>8</v>
      </c>
      <c r="B3" s="686" t="s">
        <v>16</v>
      </c>
      <c r="C3" s="677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675"/>
    </row>
    <row r="4" spans="1:14" ht="15.75" thickTop="1" x14ac:dyDescent="0.25">
      <c r="A4" s="268" t="s">
        <v>1171</v>
      </c>
      <c r="B4" s="687" t="s">
        <v>206</v>
      </c>
      <c r="C4" s="678">
        <v>42737</v>
      </c>
      <c r="D4" s="270">
        <v>3879</v>
      </c>
      <c r="E4" s="261">
        <v>1099.8</v>
      </c>
      <c r="F4" s="29">
        <v>64</v>
      </c>
      <c r="G4" s="39">
        <f t="shared" ref="G4:G89" si="0">F4*E4</f>
        <v>70387.199999999997</v>
      </c>
      <c r="H4" s="31">
        <v>42737</v>
      </c>
      <c r="I4" s="8" t="s">
        <v>1172</v>
      </c>
      <c r="L4" s="195"/>
      <c r="M4" s="195"/>
      <c r="N4" s="195"/>
    </row>
    <row r="5" spans="1:14" x14ac:dyDescent="0.25">
      <c r="A5" s="268" t="s">
        <v>1171</v>
      </c>
      <c r="B5" s="687" t="s">
        <v>206</v>
      </c>
      <c r="C5" s="678">
        <v>42737</v>
      </c>
      <c r="D5" s="270">
        <f t="shared" ref="D5:D67" si="1">D4+1</f>
        <v>3880</v>
      </c>
      <c r="E5" s="261">
        <v>329</v>
      </c>
      <c r="F5" s="29">
        <v>64</v>
      </c>
      <c r="G5" s="39">
        <f t="shared" si="0"/>
        <v>21056</v>
      </c>
      <c r="H5" s="31">
        <v>42737</v>
      </c>
      <c r="I5" s="8" t="s">
        <v>1172</v>
      </c>
      <c r="L5" s="195"/>
      <c r="M5" s="195"/>
      <c r="N5" s="195"/>
    </row>
    <row r="6" spans="1:14" x14ac:dyDescent="0.25">
      <c r="A6" s="268" t="s">
        <v>1173</v>
      </c>
      <c r="B6" s="687" t="s">
        <v>1174</v>
      </c>
      <c r="C6" s="678">
        <v>42737</v>
      </c>
      <c r="D6" s="270">
        <f t="shared" si="1"/>
        <v>3881</v>
      </c>
      <c r="E6" s="261">
        <v>261</v>
      </c>
      <c r="F6" s="29">
        <v>48</v>
      </c>
      <c r="G6" s="39">
        <f>F6*E6+89*67</f>
        <v>18491</v>
      </c>
      <c r="H6" s="31">
        <v>42737</v>
      </c>
      <c r="I6" s="8" t="s">
        <v>1172</v>
      </c>
      <c r="L6" s="195"/>
      <c r="M6" s="195"/>
      <c r="N6" s="195"/>
    </row>
    <row r="7" spans="1:14" x14ac:dyDescent="0.25">
      <c r="A7" s="273" t="s">
        <v>1197</v>
      </c>
      <c r="B7" s="23" t="s">
        <v>1198</v>
      </c>
      <c r="C7" s="679">
        <v>42738</v>
      </c>
      <c r="D7" s="270">
        <f t="shared" si="1"/>
        <v>3882</v>
      </c>
      <c r="E7" s="261">
        <v>89.36</v>
      </c>
      <c r="F7" s="29">
        <v>64</v>
      </c>
      <c r="G7" s="39">
        <f t="shared" si="0"/>
        <v>5719.04</v>
      </c>
      <c r="H7" s="31">
        <v>42747</v>
      </c>
      <c r="I7" s="8" t="s">
        <v>1172</v>
      </c>
      <c r="L7" s="195"/>
      <c r="M7" s="195"/>
      <c r="N7" s="195"/>
    </row>
    <row r="8" spans="1:14" x14ac:dyDescent="0.25">
      <c r="A8" s="273" t="s">
        <v>1173</v>
      </c>
      <c r="B8" s="23" t="s">
        <v>1175</v>
      </c>
      <c r="C8" s="679">
        <v>42738</v>
      </c>
      <c r="D8" s="270">
        <f t="shared" si="1"/>
        <v>3883</v>
      </c>
      <c r="E8" s="261">
        <v>17.2</v>
      </c>
      <c r="F8" s="29">
        <v>67</v>
      </c>
      <c r="G8" s="39">
        <f>F8*E8+142.9*27</f>
        <v>5010.7</v>
      </c>
      <c r="H8" s="31">
        <v>42738</v>
      </c>
      <c r="I8" s="8" t="s">
        <v>1172</v>
      </c>
      <c r="L8" s="195"/>
      <c r="M8" s="195"/>
      <c r="N8" s="195"/>
    </row>
    <row r="9" spans="1:14" x14ac:dyDescent="0.25">
      <c r="A9" s="273" t="s">
        <v>1282</v>
      </c>
      <c r="B9" s="23" t="s">
        <v>1199</v>
      </c>
      <c r="C9" s="679">
        <v>42738</v>
      </c>
      <c r="D9" s="270">
        <f t="shared" si="1"/>
        <v>3884</v>
      </c>
      <c r="E9" s="261">
        <v>33.5</v>
      </c>
      <c r="F9" s="29">
        <v>60</v>
      </c>
      <c r="G9" s="39">
        <f t="shared" si="0"/>
        <v>2010</v>
      </c>
      <c r="H9" s="31">
        <v>42765</v>
      </c>
      <c r="I9" s="8" t="s">
        <v>1172</v>
      </c>
      <c r="L9" s="195"/>
      <c r="M9" s="195"/>
      <c r="N9" s="195"/>
    </row>
    <row r="10" spans="1:14" x14ac:dyDescent="0.25">
      <c r="A10" s="273" t="s">
        <v>1171</v>
      </c>
      <c r="B10" s="23" t="s">
        <v>206</v>
      </c>
      <c r="C10" s="679">
        <v>42738</v>
      </c>
      <c r="D10" s="270">
        <f t="shared" si="1"/>
        <v>3885</v>
      </c>
      <c r="E10" s="261">
        <v>1415.8</v>
      </c>
      <c r="F10" s="29">
        <v>64</v>
      </c>
      <c r="G10" s="39">
        <f t="shared" si="0"/>
        <v>90611.199999999997</v>
      </c>
      <c r="H10" s="31">
        <v>42738</v>
      </c>
      <c r="I10" s="8" t="s">
        <v>1172</v>
      </c>
      <c r="J10" s="8"/>
      <c r="L10" s="195"/>
      <c r="M10" s="195"/>
      <c r="N10" s="195"/>
    </row>
    <row r="11" spans="1:14" x14ac:dyDescent="0.25">
      <c r="A11" s="275" t="s">
        <v>1176</v>
      </c>
      <c r="B11" s="685" t="s">
        <v>1177</v>
      </c>
      <c r="C11" s="679">
        <v>42738</v>
      </c>
      <c r="D11" s="270">
        <f t="shared" si="1"/>
        <v>3886</v>
      </c>
      <c r="E11" s="261">
        <v>5</v>
      </c>
      <c r="F11" s="29">
        <v>55</v>
      </c>
      <c r="G11" s="39">
        <f t="shared" si="0"/>
        <v>275</v>
      </c>
      <c r="H11" s="31">
        <v>42738</v>
      </c>
      <c r="I11" s="8" t="s">
        <v>1172</v>
      </c>
      <c r="L11" s="195"/>
      <c r="M11" s="195"/>
      <c r="N11" s="195"/>
    </row>
    <row r="12" spans="1:14" x14ac:dyDescent="0.25">
      <c r="A12" s="275" t="s">
        <v>1180</v>
      </c>
      <c r="B12" s="685" t="s">
        <v>1181</v>
      </c>
      <c r="C12" s="679">
        <v>42739</v>
      </c>
      <c r="D12" s="270">
        <f t="shared" si="1"/>
        <v>3887</v>
      </c>
      <c r="E12" s="261">
        <v>383.9</v>
      </c>
      <c r="F12" s="29">
        <v>35</v>
      </c>
      <c r="G12" s="39">
        <f t="shared" si="0"/>
        <v>13436.5</v>
      </c>
      <c r="H12" s="31">
        <v>42739</v>
      </c>
      <c r="I12" s="8" t="s">
        <v>1172</v>
      </c>
      <c r="L12" s="195"/>
      <c r="M12" s="195"/>
      <c r="N12" s="195"/>
    </row>
    <row r="13" spans="1:14" x14ac:dyDescent="0.25">
      <c r="A13" s="275" t="s">
        <v>1182</v>
      </c>
      <c r="B13" s="685" t="s">
        <v>1183</v>
      </c>
      <c r="C13" s="679">
        <v>42739</v>
      </c>
      <c r="D13" s="270">
        <f t="shared" si="1"/>
        <v>3888</v>
      </c>
      <c r="E13" s="261">
        <v>49070.8</v>
      </c>
      <c r="F13" s="29">
        <v>1</v>
      </c>
      <c r="G13" s="39">
        <f t="shared" si="0"/>
        <v>49070.8</v>
      </c>
      <c r="H13" s="31">
        <v>42740</v>
      </c>
      <c r="I13" s="8" t="s">
        <v>1172</v>
      </c>
      <c r="L13" s="195"/>
      <c r="M13" s="195"/>
      <c r="N13" s="195"/>
    </row>
    <row r="14" spans="1:14" x14ac:dyDescent="0.25">
      <c r="A14" s="728" t="s">
        <v>223</v>
      </c>
      <c r="B14" s="729"/>
      <c r="C14" s="730"/>
      <c r="D14" s="270">
        <f t="shared" si="1"/>
        <v>3889</v>
      </c>
      <c r="G14" s="39">
        <f t="shared" si="0"/>
        <v>0</v>
      </c>
      <c r="H14" s="31"/>
      <c r="L14" s="195"/>
      <c r="M14" s="195"/>
      <c r="N14" s="195"/>
    </row>
    <row r="15" spans="1:14" x14ac:dyDescent="0.25">
      <c r="A15" s="275" t="s">
        <v>1179</v>
      </c>
      <c r="B15" s="685" t="s">
        <v>206</v>
      </c>
      <c r="C15" s="679">
        <v>43073</v>
      </c>
      <c r="D15" s="270">
        <f t="shared" si="1"/>
        <v>3890</v>
      </c>
      <c r="E15" s="261">
        <v>580.20000000000005</v>
      </c>
      <c r="F15" s="29">
        <v>64</v>
      </c>
      <c r="G15" s="39">
        <f t="shared" si="0"/>
        <v>37132.800000000003</v>
      </c>
      <c r="H15" s="31">
        <v>42739</v>
      </c>
      <c r="I15" s="8" t="s">
        <v>1172</v>
      </c>
      <c r="L15" s="195"/>
      <c r="M15" s="195"/>
      <c r="N15" s="195"/>
    </row>
    <row r="16" spans="1:14" x14ac:dyDescent="0.25">
      <c r="A16" s="275" t="s">
        <v>420</v>
      </c>
      <c r="B16" s="685" t="s">
        <v>1178</v>
      </c>
      <c r="C16" s="679">
        <v>42739</v>
      </c>
      <c r="D16" s="270">
        <f t="shared" si="1"/>
        <v>3891</v>
      </c>
      <c r="E16" s="261">
        <v>20.100000000000001</v>
      </c>
      <c r="F16" s="29">
        <v>41</v>
      </c>
      <c r="G16" s="39">
        <f t="shared" si="0"/>
        <v>824.1</v>
      </c>
      <c r="H16" s="31">
        <v>42739</v>
      </c>
      <c r="I16" s="8" t="s">
        <v>1172</v>
      </c>
      <c r="L16" s="195"/>
      <c r="M16" s="195"/>
      <c r="N16" s="195"/>
    </row>
    <row r="17" spans="1:14" x14ac:dyDescent="0.25">
      <c r="A17" s="275" t="s">
        <v>1171</v>
      </c>
      <c r="B17" s="685" t="s">
        <v>206</v>
      </c>
      <c r="C17" s="679">
        <v>42739</v>
      </c>
      <c r="D17" s="270">
        <f t="shared" si="1"/>
        <v>3892</v>
      </c>
      <c r="E17" s="261">
        <v>1166.5</v>
      </c>
      <c r="F17" s="29">
        <v>65</v>
      </c>
      <c r="G17" s="39">
        <f t="shared" si="0"/>
        <v>75822.5</v>
      </c>
      <c r="H17" s="31">
        <v>42742</v>
      </c>
      <c r="I17" s="8" t="s">
        <v>1172</v>
      </c>
      <c r="L17" s="195"/>
      <c r="M17" s="195"/>
      <c r="N17" s="195"/>
    </row>
    <row r="18" spans="1:14" x14ac:dyDescent="0.25">
      <c r="A18" s="273" t="s">
        <v>1197</v>
      </c>
      <c r="B18" s="279" t="s">
        <v>1198</v>
      </c>
      <c r="C18" s="274">
        <v>42739</v>
      </c>
      <c r="D18" s="270">
        <f t="shared" si="1"/>
        <v>3893</v>
      </c>
      <c r="E18" s="261">
        <v>79.48</v>
      </c>
      <c r="F18" s="29">
        <v>64</v>
      </c>
      <c r="G18" s="39">
        <f t="shared" si="0"/>
        <v>5086.72</v>
      </c>
      <c r="H18" s="31">
        <v>42747</v>
      </c>
      <c r="I18" s="8" t="s">
        <v>1172</v>
      </c>
      <c r="L18" s="195"/>
      <c r="M18" s="195"/>
      <c r="N18" s="195"/>
    </row>
    <row r="19" spans="1:14" x14ac:dyDescent="0.25">
      <c r="A19" s="273" t="s">
        <v>1171</v>
      </c>
      <c r="B19" s="23" t="s">
        <v>206</v>
      </c>
      <c r="C19" s="679">
        <v>42740</v>
      </c>
      <c r="D19" s="270">
        <f t="shared" si="1"/>
        <v>3894</v>
      </c>
      <c r="E19" s="261">
        <v>892.4</v>
      </c>
      <c r="F19" s="29">
        <v>65</v>
      </c>
      <c r="G19" s="39">
        <f t="shared" si="0"/>
        <v>58006</v>
      </c>
      <c r="H19" s="31">
        <v>42742</v>
      </c>
      <c r="I19" s="8" t="s">
        <v>1172</v>
      </c>
      <c r="L19" s="195"/>
      <c r="M19" s="195"/>
      <c r="N19" s="195"/>
    </row>
    <row r="20" spans="1:14" x14ac:dyDescent="0.25">
      <c r="A20" s="273" t="s">
        <v>1184</v>
      </c>
      <c r="B20" s="23" t="s">
        <v>1185</v>
      </c>
      <c r="C20" s="679">
        <v>42740</v>
      </c>
      <c r="D20" s="270">
        <f t="shared" si="1"/>
        <v>3895</v>
      </c>
      <c r="E20" s="261">
        <v>13020</v>
      </c>
      <c r="F20" s="29">
        <v>42</v>
      </c>
      <c r="G20" s="39">
        <f>F20*E20+19*90</f>
        <v>548550</v>
      </c>
      <c r="H20" s="31">
        <v>42742</v>
      </c>
      <c r="I20" s="8" t="s">
        <v>1172</v>
      </c>
      <c r="J20" s="695" t="s">
        <v>1196</v>
      </c>
      <c r="K20" s="695"/>
      <c r="L20" s="195"/>
      <c r="M20" s="195"/>
      <c r="N20" s="195"/>
    </row>
    <row r="21" spans="1:14" x14ac:dyDescent="0.25">
      <c r="A21" s="273" t="s">
        <v>1208</v>
      </c>
      <c r="B21" s="23" t="s">
        <v>206</v>
      </c>
      <c r="C21" s="679">
        <v>42741</v>
      </c>
      <c r="D21" s="270">
        <f t="shared" si="1"/>
        <v>3896</v>
      </c>
      <c r="E21" s="261">
        <v>1029</v>
      </c>
      <c r="F21" s="29">
        <v>64</v>
      </c>
      <c r="G21" s="39">
        <f t="shared" si="0"/>
        <v>65856</v>
      </c>
      <c r="H21" s="31">
        <v>42749</v>
      </c>
      <c r="I21" s="8" t="s">
        <v>1172</v>
      </c>
      <c r="L21" s="195"/>
      <c r="M21" s="195"/>
      <c r="N21" s="195"/>
    </row>
    <row r="22" spans="1:14" x14ac:dyDescent="0.25">
      <c r="A22" s="273" t="s">
        <v>1197</v>
      </c>
      <c r="B22" s="23" t="s">
        <v>1198</v>
      </c>
      <c r="C22" s="679">
        <v>42741</v>
      </c>
      <c r="D22" s="270">
        <f t="shared" si="1"/>
        <v>3897</v>
      </c>
      <c r="E22" s="261">
        <v>41.5</v>
      </c>
      <c r="F22" s="29">
        <v>64</v>
      </c>
      <c r="G22" s="39">
        <f t="shared" si="0"/>
        <v>2656</v>
      </c>
      <c r="H22" s="31">
        <v>42747</v>
      </c>
      <c r="I22" s="8" t="s">
        <v>1172</v>
      </c>
      <c r="L22" s="195"/>
      <c r="M22" s="195"/>
      <c r="N22" s="195"/>
    </row>
    <row r="23" spans="1:14" x14ac:dyDescent="0.25">
      <c r="A23" s="273" t="s">
        <v>1235</v>
      </c>
      <c r="B23" s="23" t="s">
        <v>1187</v>
      </c>
      <c r="C23" s="679">
        <v>42742</v>
      </c>
      <c r="D23" s="270">
        <f t="shared" si="1"/>
        <v>3898</v>
      </c>
      <c r="E23" s="261">
        <v>3.7</v>
      </c>
      <c r="F23" s="29">
        <v>58</v>
      </c>
      <c r="G23" s="39">
        <f t="shared" si="0"/>
        <v>214.60000000000002</v>
      </c>
      <c r="H23" s="31">
        <v>42758</v>
      </c>
      <c r="I23" s="8" t="s">
        <v>1172</v>
      </c>
      <c r="L23" s="195"/>
      <c r="M23" s="195"/>
      <c r="N23" s="195"/>
    </row>
    <row r="24" spans="1:14" x14ac:dyDescent="0.25">
      <c r="A24" s="273" t="s">
        <v>1192</v>
      </c>
      <c r="B24" s="23" t="s">
        <v>1193</v>
      </c>
      <c r="C24" s="679">
        <v>42742</v>
      </c>
      <c r="D24" s="270">
        <f t="shared" si="1"/>
        <v>3899</v>
      </c>
      <c r="E24" s="261">
        <v>17.899999999999999</v>
      </c>
      <c r="F24" s="209">
        <v>26</v>
      </c>
      <c r="G24" s="39">
        <f t="shared" si="0"/>
        <v>465.4</v>
      </c>
      <c r="H24" s="31">
        <v>42746</v>
      </c>
      <c r="I24" s="8" t="s">
        <v>1172</v>
      </c>
      <c r="J24" s="198"/>
      <c r="K24" s="281"/>
      <c r="L24" s="195"/>
      <c r="M24" s="195"/>
      <c r="N24" s="195"/>
    </row>
    <row r="25" spans="1:14" x14ac:dyDescent="0.25">
      <c r="A25" s="282" t="s">
        <v>1171</v>
      </c>
      <c r="B25" s="688" t="s">
        <v>206</v>
      </c>
      <c r="C25" s="680">
        <v>42744</v>
      </c>
      <c r="D25" s="270">
        <f t="shared" si="1"/>
        <v>3900</v>
      </c>
      <c r="E25" s="261">
        <v>1164.3</v>
      </c>
      <c r="F25" s="209">
        <v>65</v>
      </c>
      <c r="G25" s="39">
        <f t="shared" si="0"/>
        <v>75679.5</v>
      </c>
      <c r="H25" s="31">
        <v>42745</v>
      </c>
      <c r="I25" s="8" t="s">
        <v>1172</v>
      </c>
      <c r="J25" s="198"/>
      <c r="K25" s="281"/>
      <c r="L25" s="195"/>
      <c r="M25" s="195"/>
      <c r="N25" s="195"/>
    </row>
    <row r="26" spans="1:14" x14ac:dyDescent="0.25">
      <c r="A26" s="731" t="s">
        <v>223</v>
      </c>
      <c r="B26" s="732"/>
      <c r="C26" s="733"/>
      <c r="D26" s="270">
        <f t="shared" si="1"/>
        <v>3901</v>
      </c>
      <c r="F26" s="209"/>
      <c r="G26" s="39">
        <f t="shared" si="0"/>
        <v>0</v>
      </c>
      <c r="H26" s="31"/>
      <c r="J26" s="198"/>
      <c r="K26" s="281"/>
      <c r="L26" s="195"/>
      <c r="M26" s="195"/>
      <c r="N26" s="195"/>
    </row>
    <row r="27" spans="1:14" x14ac:dyDescent="0.25">
      <c r="A27" s="282" t="s">
        <v>1173</v>
      </c>
      <c r="B27" s="688" t="s">
        <v>1174</v>
      </c>
      <c r="C27" s="680">
        <v>42744</v>
      </c>
      <c r="D27" s="270">
        <f t="shared" si="1"/>
        <v>3902</v>
      </c>
      <c r="E27" s="261">
        <v>176.5</v>
      </c>
      <c r="F27" s="209">
        <v>27</v>
      </c>
      <c r="G27" s="39">
        <f>F27*E27+184.2*48+30.4*65</f>
        <v>15583.099999999999</v>
      </c>
      <c r="H27" s="31">
        <v>42744</v>
      </c>
      <c r="I27" s="8" t="s">
        <v>1172</v>
      </c>
      <c r="J27" s="198"/>
      <c r="K27" s="281"/>
      <c r="L27" s="195"/>
      <c r="M27" s="195"/>
      <c r="N27" s="195"/>
    </row>
    <row r="28" spans="1:14" x14ac:dyDescent="0.25">
      <c r="A28" s="282" t="s">
        <v>1208</v>
      </c>
      <c r="B28" s="23" t="s">
        <v>206</v>
      </c>
      <c r="C28" s="680">
        <v>42744</v>
      </c>
      <c r="D28" s="270">
        <f t="shared" si="1"/>
        <v>3903</v>
      </c>
      <c r="E28" s="261">
        <v>553</v>
      </c>
      <c r="F28" s="209">
        <v>64</v>
      </c>
      <c r="G28" s="39">
        <f t="shared" si="0"/>
        <v>35392</v>
      </c>
      <c r="H28" s="31">
        <v>42749</v>
      </c>
      <c r="I28" s="219" t="s">
        <v>1172</v>
      </c>
      <c r="J28" s="198"/>
      <c r="K28" s="281"/>
      <c r="L28" s="195"/>
      <c r="M28" s="195"/>
      <c r="N28" s="195"/>
    </row>
    <row r="29" spans="1:14" x14ac:dyDescent="0.25">
      <c r="A29" s="282" t="s">
        <v>1171</v>
      </c>
      <c r="B29" s="23" t="s">
        <v>206</v>
      </c>
      <c r="C29" s="680">
        <v>42744</v>
      </c>
      <c r="D29" s="270">
        <f t="shared" si="1"/>
        <v>3904</v>
      </c>
      <c r="E29" s="261">
        <v>1368.7</v>
      </c>
      <c r="F29" s="209">
        <v>65</v>
      </c>
      <c r="G29" s="39">
        <f t="shared" si="0"/>
        <v>88965.5</v>
      </c>
      <c r="H29" s="31">
        <v>42744</v>
      </c>
      <c r="I29" s="219" t="s">
        <v>1172</v>
      </c>
      <c r="J29" s="198"/>
      <c r="K29" s="281"/>
      <c r="L29" s="195"/>
      <c r="M29" s="195"/>
      <c r="N29" s="195"/>
    </row>
    <row r="30" spans="1:14" x14ac:dyDescent="0.25">
      <c r="A30" s="282" t="s">
        <v>1186</v>
      </c>
      <c r="B30" s="23" t="s">
        <v>1187</v>
      </c>
      <c r="C30" s="680">
        <v>42744</v>
      </c>
      <c r="D30" s="270">
        <f t="shared" si="1"/>
        <v>3905</v>
      </c>
      <c r="E30" s="261">
        <v>47.2</v>
      </c>
      <c r="F30" s="209">
        <v>44</v>
      </c>
      <c r="G30" s="39">
        <f t="shared" si="0"/>
        <v>2076.8000000000002</v>
      </c>
      <c r="H30" s="31">
        <v>42744</v>
      </c>
      <c r="I30" s="219" t="s">
        <v>1172</v>
      </c>
      <c r="J30" s="198"/>
      <c r="K30" s="281"/>
      <c r="L30" s="195"/>
      <c r="M30" s="195"/>
      <c r="N30" s="195"/>
    </row>
    <row r="31" spans="1:14" x14ac:dyDescent="0.25">
      <c r="A31" s="731" t="s">
        <v>176</v>
      </c>
      <c r="B31" s="734"/>
      <c r="C31" s="733"/>
      <c r="D31" s="270">
        <f t="shared" si="1"/>
        <v>3906</v>
      </c>
      <c r="F31" s="209"/>
      <c r="G31" s="39">
        <f t="shared" si="0"/>
        <v>0</v>
      </c>
      <c r="H31" s="31"/>
      <c r="I31" s="219"/>
      <c r="J31" s="198"/>
      <c r="K31" s="281"/>
      <c r="L31" s="195"/>
      <c r="M31" s="195"/>
      <c r="N31" s="195"/>
    </row>
    <row r="32" spans="1:14" x14ac:dyDescent="0.25">
      <c r="A32" s="275" t="s">
        <v>1190</v>
      </c>
      <c r="B32" s="268" t="s">
        <v>1191</v>
      </c>
      <c r="C32" s="274">
        <v>42745</v>
      </c>
      <c r="D32" s="270">
        <f t="shared" si="1"/>
        <v>3907</v>
      </c>
      <c r="E32" s="261">
        <v>73.5</v>
      </c>
      <c r="F32" s="209">
        <v>54</v>
      </c>
      <c r="G32" s="39">
        <f t="shared" si="0"/>
        <v>3969</v>
      </c>
      <c r="H32" s="31">
        <v>42745</v>
      </c>
      <c r="I32" s="182" t="s">
        <v>1172</v>
      </c>
      <c r="L32" s="195"/>
      <c r="M32" s="195"/>
      <c r="N32" s="195"/>
    </row>
    <row r="33" spans="1:14" x14ac:dyDescent="0.25">
      <c r="A33" s="275" t="s">
        <v>1173</v>
      </c>
      <c r="B33" s="23" t="s">
        <v>1174</v>
      </c>
      <c r="C33" s="679">
        <v>42745</v>
      </c>
      <c r="D33" s="270">
        <f t="shared" si="1"/>
        <v>3908</v>
      </c>
      <c r="E33" s="261">
        <v>71</v>
      </c>
      <c r="F33" s="209">
        <v>65</v>
      </c>
      <c r="G33" s="39">
        <f>F33*E33+241*48+40*65</f>
        <v>18783</v>
      </c>
      <c r="H33" s="31">
        <v>42752</v>
      </c>
      <c r="I33" s="182" t="s">
        <v>1172</v>
      </c>
      <c r="J33" s="286"/>
      <c r="L33" s="195"/>
      <c r="M33" s="195"/>
      <c r="N33" s="195"/>
    </row>
    <row r="34" spans="1:14" x14ac:dyDescent="0.25">
      <c r="A34" s="275" t="s">
        <v>1182</v>
      </c>
      <c r="B34" s="23" t="s">
        <v>1199</v>
      </c>
      <c r="C34" s="679">
        <v>42745</v>
      </c>
      <c r="D34" s="270">
        <f t="shared" si="1"/>
        <v>3909</v>
      </c>
      <c r="E34" s="261">
        <v>33501</v>
      </c>
      <c r="F34" s="209">
        <v>1</v>
      </c>
      <c r="G34" s="39">
        <f t="shared" si="0"/>
        <v>33501</v>
      </c>
      <c r="H34" s="31">
        <v>42747</v>
      </c>
      <c r="I34" s="182" t="s">
        <v>1172</v>
      </c>
      <c r="J34" s="286"/>
      <c r="L34" s="195"/>
      <c r="M34" s="195"/>
      <c r="N34" s="195"/>
    </row>
    <row r="35" spans="1:14" s="8" customFormat="1" x14ac:dyDescent="0.25">
      <c r="A35" s="275" t="s">
        <v>1208</v>
      </c>
      <c r="B35" s="23" t="s">
        <v>206</v>
      </c>
      <c r="C35" s="679">
        <v>42745</v>
      </c>
      <c r="D35" s="270">
        <f t="shared" si="1"/>
        <v>3910</v>
      </c>
      <c r="E35" s="261">
        <v>565</v>
      </c>
      <c r="F35" s="209">
        <v>64</v>
      </c>
      <c r="G35" s="39">
        <f t="shared" si="0"/>
        <v>36160</v>
      </c>
      <c r="H35" s="31">
        <v>42749</v>
      </c>
      <c r="I35" s="287" t="s">
        <v>1172</v>
      </c>
      <c r="J35" s="195"/>
    </row>
    <row r="36" spans="1:14" s="8" customFormat="1" x14ac:dyDescent="0.25">
      <c r="A36" s="275" t="s">
        <v>1188</v>
      </c>
      <c r="B36" s="23" t="s">
        <v>1189</v>
      </c>
      <c r="C36" s="679">
        <v>42745</v>
      </c>
      <c r="D36" s="270">
        <f t="shared" si="1"/>
        <v>3911</v>
      </c>
      <c r="E36" s="261">
        <v>10</v>
      </c>
      <c r="F36" s="29">
        <v>1200</v>
      </c>
      <c r="G36" s="39">
        <f t="shared" si="0"/>
        <v>12000</v>
      </c>
      <c r="H36" s="31">
        <v>42745</v>
      </c>
      <c r="I36" s="287" t="s">
        <v>1172</v>
      </c>
      <c r="J36" s="195"/>
    </row>
    <row r="37" spans="1:14" s="8" customFormat="1" x14ac:dyDescent="0.25">
      <c r="A37" s="275" t="s">
        <v>1171</v>
      </c>
      <c r="B37" s="23" t="s">
        <v>206</v>
      </c>
      <c r="C37" s="679">
        <v>42745</v>
      </c>
      <c r="D37" s="270">
        <f t="shared" si="1"/>
        <v>3912</v>
      </c>
      <c r="E37" s="261">
        <v>752</v>
      </c>
      <c r="F37" s="29">
        <v>65</v>
      </c>
      <c r="G37" s="39">
        <f t="shared" si="0"/>
        <v>48880</v>
      </c>
      <c r="H37" s="31">
        <v>42745</v>
      </c>
      <c r="I37" s="287" t="s">
        <v>1172</v>
      </c>
      <c r="J37" s="195"/>
    </row>
    <row r="38" spans="1:14" s="8" customFormat="1" x14ac:dyDescent="0.25">
      <c r="A38" s="275" t="s">
        <v>1194</v>
      </c>
      <c r="B38" s="23" t="s">
        <v>1195</v>
      </c>
      <c r="C38" s="679">
        <v>42746</v>
      </c>
      <c r="D38" s="270">
        <f t="shared" si="1"/>
        <v>3913</v>
      </c>
      <c r="E38" s="261">
        <v>281.92</v>
      </c>
      <c r="F38" s="29">
        <v>57</v>
      </c>
      <c r="G38" s="39">
        <f t="shared" si="0"/>
        <v>16069.44</v>
      </c>
      <c r="H38" s="31">
        <v>42746</v>
      </c>
      <c r="I38" s="287" t="s">
        <v>1172</v>
      </c>
      <c r="J38" s="195"/>
    </row>
    <row r="39" spans="1:14" s="8" customFormat="1" x14ac:dyDescent="0.25">
      <c r="A39" s="728" t="s">
        <v>176</v>
      </c>
      <c r="B39" s="729"/>
      <c r="C39" s="730"/>
      <c r="D39" s="270">
        <f t="shared" si="1"/>
        <v>3914</v>
      </c>
      <c r="E39" s="261"/>
      <c r="F39" s="29"/>
      <c r="G39" s="39">
        <f t="shared" si="0"/>
        <v>0</v>
      </c>
      <c r="H39" s="31"/>
      <c r="I39" s="182"/>
      <c r="J39" s="195"/>
    </row>
    <row r="40" spans="1:14" x14ac:dyDescent="0.25">
      <c r="A40" s="275" t="s">
        <v>1179</v>
      </c>
      <c r="B40" s="685" t="s">
        <v>206</v>
      </c>
      <c r="C40" s="679">
        <v>42746</v>
      </c>
      <c r="D40" s="270">
        <f t="shared" si="1"/>
        <v>3915</v>
      </c>
      <c r="E40" s="261">
        <v>609.20000000000005</v>
      </c>
      <c r="F40" s="29">
        <v>64</v>
      </c>
      <c r="G40" s="39">
        <f t="shared" si="0"/>
        <v>38988.800000000003</v>
      </c>
      <c r="H40" s="31">
        <v>42751</v>
      </c>
      <c r="I40" s="182" t="s">
        <v>1172</v>
      </c>
      <c r="L40" s="195"/>
      <c r="M40" s="195"/>
      <c r="N40" s="195"/>
    </row>
    <row r="41" spans="1:14" x14ac:dyDescent="0.25">
      <c r="A41" s="728" t="s">
        <v>176</v>
      </c>
      <c r="B41" s="729"/>
      <c r="C41" s="730"/>
      <c r="D41" s="270">
        <f t="shared" si="1"/>
        <v>3916</v>
      </c>
      <c r="G41" s="39">
        <f t="shared" si="0"/>
        <v>0</v>
      </c>
      <c r="H41" s="31"/>
      <c r="I41" s="182"/>
      <c r="L41" s="195"/>
      <c r="M41" s="195"/>
      <c r="N41" s="195"/>
    </row>
    <row r="42" spans="1:14" x14ac:dyDescent="0.25">
      <c r="A42" s="290" t="s">
        <v>1171</v>
      </c>
      <c r="B42" s="188" t="s">
        <v>206</v>
      </c>
      <c r="C42" s="269">
        <v>42747</v>
      </c>
      <c r="D42" s="270">
        <f t="shared" si="1"/>
        <v>3917</v>
      </c>
      <c r="E42" s="261">
        <v>1938.6</v>
      </c>
      <c r="F42" s="29">
        <v>65</v>
      </c>
      <c r="G42" s="39">
        <f t="shared" si="0"/>
        <v>126009</v>
      </c>
      <c r="H42" s="31">
        <v>42749</v>
      </c>
      <c r="I42" s="182" t="s">
        <v>1172</v>
      </c>
      <c r="L42" s="195"/>
      <c r="M42" s="195"/>
      <c r="N42" s="195"/>
    </row>
    <row r="43" spans="1:14" x14ac:dyDescent="0.25">
      <c r="A43" s="290" t="s">
        <v>1202</v>
      </c>
      <c r="B43" s="689" t="s">
        <v>1203</v>
      </c>
      <c r="C43" s="678">
        <v>42747</v>
      </c>
      <c r="D43" s="270">
        <f t="shared" si="1"/>
        <v>3918</v>
      </c>
      <c r="E43" s="261">
        <v>66</v>
      </c>
      <c r="F43" s="29">
        <v>46</v>
      </c>
      <c r="G43" s="39">
        <f t="shared" si="0"/>
        <v>3036</v>
      </c>
      <c r="H43" s="31">
        <v>42749</v>
      </c>
      <c r="I43" s="182" t="s">
        <v>1172</v>
      </c>
      <c r="L43" s="195"/>
      <c r="M43" s="195"/>
      <c r="N43" s="195"/>
    </row>
    <row r="44" spans="1:14" x14ac:dyDescent="0.25">
      <c r="A44" s="290" t="s">
        <v>1208</v>
      </c>
      <c r="B44" s="689" t="s">
        <v>206</v>
      </c>
      <c r="C44" s="678">
        <v>42748</v>
      </c>
      <c r="D44" s="270">
        <f t="shared" si="1"/>
        <v>3919</v>
      </c>
      <c r="E44" s="261">
        <v>515</v>
      </c>
      <c r="F44" s="29">
        <v>64</v>
      </c>
      <c r="G44" s="39">
        <f t="shared" si="0"/>
        <v>32960</v>
      </c>
      <c r="H44" s="31">
        <v>42756</v>
      </c>
      <c r="I44" s="182" t="s">
        <v>1172</v>
      </c>
      <c r="L44" s="195"/>
      <c r="M44" s="195"/>
      <c r="N44" s="195"/>
    </row>
    <row r="45" spans="1:14" x14ac:dyDescent="0.25">
      <c r="A45" s="290" t="s">
        <v>1228</v>
      </c>
      <c r="B45" s="689" t="s">
        <v>1187</v>
      </c>
      <c r="C45" s="678">
        <v>42748</v>
      </c>
      <c r="D45" s="270">
        <f t="shared" si="1"/>
        <v>3920</v>
      </c>
      <c r="E45" s="261">
        <v>70.400000000000006</v>
      </c>
      <c r="F45" s="29">
        <v>44</v>
      </c>
      <c r="G45" s="39">
        <f t="shared" si="0"/>
        <v>3097.6000000000004</v>
      </c>
      <c r="H45" s="31">
        <v>42754</v>
      </c>
      <c r="I45" s="182" t="s">
        <v>1172</v>
      </c>
      <c r="L45" s="195"/>
      <c r="M45" s="195"/>
      <c r="N45" s="195"/>
    </row>
    <row r="46" spans="1:14" x14ac:dyDescent="0.25">
      <c r="A46" s="290" t="s">
        <v>1171</v>
      </c>
      <c r="B46" s="689" t="s">
        <v>206</v>
      </c>
      <c r="C46" s="678">
        <v>42748</v>
      </c>
      <c r="D46" s="270">
        <f t="shared" si="1"/>
        <v>3921</v>
      </c>
      <c r="E46" s="261">
        <v>1370.4</v>
      </c>
      <c r="F46" s="29">
        <v>65</v>
      </c>
      <c r="G46" s="39">
        <f t="shared" si="0"/>
        <v>89076</v>
      </c>
      <c r="H46" s="31">
        <v>42751</v>
      </c>
      <c r="I46" s="182" t="s">
        <v>1172</v>
      </c>
      <c r="L46" s="195"/>
      <c r="M46" s="195"/>
      <c r="N46" s="195"/>
    </row>
    <row r="47" spans="1:14" x14ac:dyDescent="0.25">
      <c r="A47" s="735" t="s">
        <v>176</v>
      </c>
      <c r="B47" s="736"/>
      <c r="C47" s="737"/>
      <c r="D47" s="270">
        <f t="shared" si="1"/>
        <v>3922</v>
      </c>
      <c r="G47" s="39">
        <f t="shared" si="0"/>
        <v>0</v>
      </c>
      <c r="H47" s="31"/>
      <c r="I47" s="182"/>
      <c r="L47" s="195"/>
      <c r="M47" s="195"/>
      <c r="N47" s="195"/>
    </row>
    <row r="48" spans="1:14" x14ac:dyDescent="0.25">
      <c r="A48" s="290" t="s">
        <v>1200</v>
      </c>
      <c r="B48" s="689" t="s">
        <v>1201</v>
      </c>
      <c r="C48" s="678">
        <v>42748</v>
      </c>
      <c r="D48" s="270">
        <f t="shared" si="1"/>
        <v>3923</v>
      </c>
      <c r="E48" s="261">
        <v>97.2</v>
      </c>
      <c r="F48" s="29">
        <v>45</v>
      </c>
      <c r="G48" s="39">
        <f t="shared" si="0"/>
        <v>4374</v>
      </c>
      <c r="H48" s="31">
        <v>42749</v>
      </c>
      <c r="I48" s="182" t="s">
        <v>1172</v>
      </c>
      <c r="L48" s="195"/>
      <c r="M48" s="195"/>
      <c r="N48" s="195"/>
    </row>
    <row r="49" spans="1:14" x14ac:dyDescent="0.25">
      <c r="A49" s="290" t="s">
        <v>1204</v>
      </c>
      <c r="B49" s="188" t="s">
        <v>1205</v>
      </c>
      <c r="C49" s="269">
        <v>42748</v>
      </c>
      <c r="D49" s="270">
        <f t="shared" si="1"/>
        <v>3924</v>
      </c>
      <c r="E49" s="261">
        <v>79</v>
      </c>
      <c r="F49" s="29">
        <v>46</v>
      </c>
      <c r="G49" s="39">
        <f t="shared" si="0"/>
        <v>3634</v>
      </c>
      <c r="H49" s="31">
        <v>42749</v>
      </c>
      <c r="I49" s="182" t="s">
        <v>1172</v>
      </c>
      <c r="L49" s="195"/>
      <c r="M49" s="195"/>
      <c r="N49" s="195"/>
    </row>
    <row r="50" spans="1:14" x14ac:dyDescent="0.25">
      <c r="A50" s="290" t="s">
        <v>1208</v>
      </c>
      <c r="B50" s="188" t="s">
        <v>206</v>
      </c>
      <c r="C50" s="269">
        <v>42748</v>
      </c>
      <c r="D50" s="270">
        <f t="shared" si="1"/>
        <v>3925</v>
      </c>
      <c r="E50" s="261">
        <v>229.6</v>
      </c>
      <c r="F50" s="29">
        <v>64</v>
      </c>
      <c r="G50" s="39">
        <f t="shared" si="0"/>
        <v>14694.4</v>
      </c>
      <c r="H50" s="31">
        <v>42749</v>
      </c>
      <c r="I50" s="182" t="s">
        <v>1172</v>
      </c>
      <c r="L50" s="195"/>
      <c r="M50" s="195"/>
      <c r="N50" s="195"/>
    </row>
    <row r="51" spans="1:14" x14ac:dyDescent="0.25">
      <c r="A51" s="290" t="s">
        <v>1206</v>
      </c>
      <c r="B51" s="689" t="s">
        <v>1207</v>
      </c>
      <c r="C51" s="678">
        <v>42749</v>
      </c>
      <c r="D51" s="270">
        <f t="shared" si="1"/>
        <v>3926</v>
      </c>
      <c r="E51" s="261">
        <v>174.8</v>
      </c>
      <c r="F51" s="29">
        <v>68</v>
      </c>
      <c r="G51" s="39">
        <f t="shared" si="0"/>
        <v>11886.400000000001</v>
      </c>
      <c r="H51" s="31">
        <v>42749</v>
      </c>
      <c r="I51" s="8" t="s">
        <v>1172</v>
      </c>
      <c r="L51" s="195"/>
      <c r="M51" s="195"/>
      <c r="N51" s="195"/>
    </row>
    <row r="52" spans="1:14" x14ac:dyDescent="0.25">
      <c r="A52" s="290" t="s">
        <v>1173</v>
      </c>
      <c r="B52" s="689" t="s">
        <v>1174</v>
      </c>
      <c r="C52" s="678">
        <v>42749</v>
      </c>
      <c r="D52" s="270">
        <f t="shared" si="1"/>
        <v>3927</v>
      </c>
      <c r="E52" s="261">
        <v>101.4</v>
      </c>
      <c r="F52" s="29">
        <v>65</v>
      </c>
      <c r="G52" s="39">
        <f>F52*E52+152*27+188.2*48</f>
        <v>19728.599999999999</v>
      </c>
      <c r="H52" s="31">
        <v>42749</v>
      </c>
      <c r="I52" s="8" t="s">
        <v>1172</v>
      </c>
      <c r="L52" s="195"/>
      <c r="M52" s="195"/>
      <c r="N52" s="195"/>
    </row>
    <row r="53" spans="1:14" x14ac:dyDescent="0.25">
      <c r="A53" s="290" t="s">
        <v>1171</v>
      </c>
      <c r="B53" s="689" t="s">
        <v>206</v>
      </c>
      <c r="C53" s="678">
        <v>42749</v>
      </c>
      <c r="D53" s="270">
        <f t="shared" si="1"/>
        <v>3928</v>
      </c>
      <c r="E53" s="261">
        <v>699.8</v>
      </c>
      <c r="F53" s="29">
        <v>65</v>
      </c>
      <c r="G53" s="39">
        <f t="shared" si="0"/>
        <v>45487</v>
      </c>
      <c r="H53" s="31">
        <v>42752</v>
      </c>
      <c r="I53" s="182" t="s">
        <v>1172</v>
      </c>
      <c r="L53" s="195"/>
      <c r="M53" s="195"/>
      <c r="N53" s="195"/>
    </row>
    <row r="54" spans="1:14" x14ac:dyDescent="0.25">
      <c r="A54" s="735" t="s">
        <v>176</v>
      </c>
      <c r="B54" s="736"/>
      <c r="C54" s="737"/>
      <c r="D54" s="270">
        <f t="shared" si="1"/>
        <v>3929</v>
      </c>
      <c r="G54" s="39">
        <f t="shared" si="0"/>
        <v>0</v>
      </c>
      <c r="H54" s="31"/>
      <c r="I54" s="182"/>
      <c r="J54" s="8"/>
      <c r="L54" s="195"/>
      <c r="M54" s="195"/>
      <c r="N54" s="195"/>
    </row>
    <row r="55" spans="1:14" x14ac:dyDescent="0.25">
      <c r="A55" s="290" t="s">
        <v>1224</v>
      </c>
      <c r="B55" s="689" t="s">
        <v>1225</v>
      </c>
      <c r="C55" s="678">
        <v>42751</v>
      </c>
      <c r="D55" s="270">
        <f t="shared" si="1"/>
        <v>3930</v>
      </c>
      <c r="E55" s="261">
        <v>1</v>
      </c>
      <c r="F55" s="29">
        <v>200</v>
      </c>
      <c r="G55" s="39">
        <f t="shared" si="0"/>
        <v>200</v>
      </c>
      <c r="H55" s="31">
        <v>42751</v>
      </c>
      <c r="I55" s="182" t="s">
        <v>1172</v>
      </c>
      <c r="L55" s="195"/>
      <c r="M55" s="195"/>
      <c r="N55" s="195"/>
    </row>
    <row r="56" spans="1:14" x14ac:dyDescent="0.25">
      <c r="A56" s="290" t="s">
        <v>1204</v>
      </c>
      <c r="B56" s="689" t="s">
        <v>248</v>
      </c>
      <c r="C56" s="678">
        <v>42751</v>
      </c>
      <c r="D56" s="270">
        <f t="shared" si="1"/>
        <v>3931</v>
      </c>
      <c r="E56" s="261">
        <v>200</v>
      </c>
      <c r="F56" s="29">
        <v>30</v>
      </c>
      <c r="G56" s="39">
        <f t="shared" si="0"/>
        <v>6000</v>
      </c>
      <c r="H56" s="31">
        <v>42751</v>
      </c>
      <c r="I56" s="182" t="s">
        <v>1172</v>
      </c>
      <c r="J56" s="8"/>
      <c r="L56" s="195"/>
      <c r="M56" s="195"/>
      <c r="N56" s="195"/>
    </row>
    <row r="57" spans="1:14" x14ac:dyDescent="0.25">
      <c r="A57" s="290" t="s">
        <v>1171</v>
      </c>
      <c r="B57" s="689" t="s">
        <v>206</v>
      </c>
      <c r="C57" s="678">
        <v>42751</v>
      </c>
      <c r="D57" s="270">
        <f t="shared" si="1"/>
        <v>3932</v>
      </c>
      <c r="E57" s="261">
        <v>1436.6</v>
      </c>
      <c r="F57" s="29">
        <v>65</v>
      </c>
      <c r="G57" s="39">
        <f t="shared" si="0"/>
        <v>93379</v>
      </c>
      <c r="H57" s="31">
        <v>42751</v>
      </c>
      <c r="I57" s="182" t="s">
        <v>1172</v>
      </c>
      <c r="J57" s="8"/>
      <c r="L57" s="195"/>
      <c r="M57" s="195"/>
      <c r="N57" s="195"/>
    </row>
    <row r="58" spans="1:14" x14ac:dyDescent="0.25">
      <c r="A58" s="290" t="s">
        <v>1184</v>
      </c>
      <c r="B58" s="689" t="s">
        <v>1223</v>
      </c>
      <c r="C58" s="678">
        <v>42751</v>
      </c>
      <c r="D58" s="270">
        <f t="shared" si="1"/>
        <v>3933</v>
      </c>
      <c r="E58" s="261">
        <v>272</v>
      </c>
      <c r="F58" s="29">
        <v>94</v>
      </c>
      <c r="G58" s="39">
        <f t="shared" si="0"/>
        <v>25568</v>
      </c>
      <c r="H58" s="31">
        <v>42751</v>
      </c>
      <c r="I58" s="182" t="s">
        <v>1172</v>
      </c>
      <c r="J58" s="8"/>
      <c r="L58" s="195"/>
      <c r="M58" s="195"/>
      <c r="N58" s="195"/>
    </row>
    <row r="59" spans="1:14" x14ac:dyDescent="0.25">
      <c r="A59" s="290" t="s">
        <v>1226</v>
      </c>
      <c r="B59" s="690" t="s">
        <v>1227</v>
      </c>
      <c r="C59" s="678">
        <v>42752</v>
      </c>
      <c r="D59" s="270">
        <f t="shared" si="1"/>
        <v>3934</v>
      </c>
      <c r="E59" s="261">
        <v>1</v>
      </c>
      <c r="F59" s="29">
        <v>185</v>
      </c>
      <c r="G59" s="39">
        <f t="shared" si="0"/>
        <v>185</v>
      </c>
      <c r="H59" s="31">
        <v>42752</v>
      </c>
      <c r="I59" s="182" t="s">
        <v>1172</v>
      </c>
      <c r="L59" s="195"/>
      <c r="M59" s="195"/>
      <c r="N59" s="195"/>
    </row>
    <row r="60" spans="1:14" x14ac:dyDescent="0.25">
      <c r="A60" s="290" t="s">
        <v>1173</v>
      </c>
      <c r="B60" s="690" t="s">
        <v>1174</v>
      </c>
      <c r="C60" s="678">
        <v>42752</v>
      </c>
      <c r="D60" s="270">
        <f t="shared" si="1"/>
        <v>3935</v>
      </c>
      <c r="E60" s="261">
        <v>142.19999999999999</v>
      </c>
      <c r="F60" s="29">
        <v>27</v>
      </c>
      <c r="G60" s="39">
        <f>F60*E60+335.6*48+60.7*58</f>
        <v>23468.800000000003</v>
      </c>
      <c r="H60" s="31">
        <v>42752</v>
      </c>
      <c r="I60" s="182" t="s">
        <v>1172</v>
      </c>
      <c r="L60" s="195"/>
      <c r="M60" s="195"/>
      <c r="N60" s="195"/>
    </row>
    <row r="61" spans="1:14" x14ac:dyDescent="0.25">
      <c r="A61" s="735" t="s">
        <v>176</v>
      </c>
      <c r="B61" s="738"/>
      <c r="C61" s="737"/>
      <c r="D61" s="270">
        <f t="shared" si="1"/>
        <v>3936</v>
      </c>
      <c r="G61" s="39">
        <f t="shared" si="0"/>
        <v>0</v>
      </c>
      <c r="H61" s="31"/>
      <c r="I61" s="182"/>
      <c r="L61" s="195"/>
      <c r="M61" s="195"/>
      <c r="N61" s="195"/>
    </row>
    <row r="62" spans="1:14" x14ac:dyDescent="0.25">
      <c r="A62" s="290" t="s">
        <v>1173</v>
      </c>
      <c r="B62" s="689" t="s">
        <v>1222</v>
      </c>
      <c r="C62" s="678">
        <v>42752</v>
      </c>
      <c r="D62" s="270">
        <f t="shared" si="1"/>
        <v>3937</v>
      </c>
      <c r="E62" s="261">
        <v>975</v>
      </c>
      <c r="F62" s="29">
        <v>14</v>
      </c>
      <c r="G62" s="39">
        <f t="shared" si="0"/>
        <v>13650</v>
      </c>
      <c r="H62" s="31">
        <v>42752</v>
      </c>
      <c r="I62" s="182" t="s">
        <v>1172</v>
      </c>
      <c r="J62" s="8"/>
      <c r="L62" s="195"/>
      <c r="M62" s="195"/>
      <c r="N62" s="195"/>
    </row>
    <row r="63" spans="1:14" x14ac:dyDescent="0.25">
      <c r="A63" s="290" t="s">
        <v>1171</v>
      </c>
      <c r="B63" s="689" t="s">
        <v>206</v>
      </c>
      <c r="C63" s="678">
        <v>42752</v>
      </c>
      <c r="D63" s="270">
        <f t="shared" si="1"/>
        <v>3938</v>
      </c>
      <c r="E63" s="261">
        <v>1077.0999999999999</v>
      </c>
      <c r="F63" s="29">
        <v>65</v>
      </c>
      <c r="G63" s="39">
        <f t="shared" si="0"/>
        <v>70011.5</v>
      </c>
      <c r="H63" s="31">
        <v>42752</v>
      </c>
      <c r="I63" s="182" t="s">
        <v>1172</v>
      </c>
      <c r="J63" s="8"/>
      <c r="L63" s="195"/>
      <c r="M63" s="195"/>
      <c r="N63" s="195"/>
    </row>
    <row r="64" spans="1:14" x14ac:dyDescent="0.25">
      <c r="A64" s="290" t="s">
        <v>1173</v>
      </c>
      <c r="B64" s="689" t="s">
        <v>1174</v>
      </c>
      <c r="C64" s="678">
        <v>42752</v>
      </c>
      <c r="D64" s="270">
        <f t="shared" si="1"/>
        <v>3939</v>
      </c>
      <c r="E64" s="261">
        <v>122</v>
      </c>
      <c r="F64" s="29">
        <v>58</v>
      </c>
      <c r="G64" s="39">
        <f t="shared" si="0"/>
        <v>7076</v>
      </c>
      <c r="H64" s="31">
        <v>42753</v>
      </c>
      <c r="I64" s="182" t="s">
        <v>1172</v>
      </c>
      <c r="J64" s="8"/>
      <c r="L64" s="195"/>
      <c r="M64" s="195"/>
      <c r="N64" s="195"/>
    </row>
    <row r="65" spans="1:14" x14ac:dyDescent="0.25">
      <c r="A65" s="290" t="s">
        <v>1179</v>
      </c>
      <c r="B65" s="689" t="s">
        <v>206</v>
      </c>
      <c r="C65" s="678">
        <v>42753</v>
      </c>
      <c r="D65" s="270">
        <f t="shared" si="1"/>
        <v>3940</v>
      </c>
      <c r="E65" s="261">
        <v>794</v>
      </c>
      <c r="F65" s="29">
        <v>64</v>
      </c>
      <c r="G65" s="39">
        <f t="shared" si="0"/>
        <v>50816</v>
      </c>
      <c r="H65" s="31">
        <v>42755</v>
      </c>
      <c r="I65" s="182" t="s">
        <v>1172</v>
      </c>
      <c r="J65" s="8"/>
      <c r="L65" s="195"/>
      <c r="M65" s="195"/>
      <c r="N65" s="195"/>
    </row>
    <row r="66" spans="1:14" x14ac:dyDescent="0.25">
      <c r="A66" s="290" t="s">
        <v>1208</v>
      </c>
      <c r="B66" s="689" t="s">
        <v>206</v>
      </c>
      <c r="C66" s="678">
        <v>42753</v>
      </c>
      <c r="D66" s="270">
        <f t="shared" si="1"/>
        <v>3941</v>
      </c>
      <c r="E66" s="261">
        <v>240</v>
      </c>
      <c r="F66" s="29">
        <v>64</v>
      </c>
      <c r="G66" s="39">
        <f t="shared" si="0"/>
        <v>15360</v>
      </c>
      <c r="H66" s="31">
        <v>42755</v>
      </c>
      <c r="I66" s="182" t="s">
        <v>1172</v>
      </c>
      <c r="L66" s="195"/>
      <c r="M66" s="195"/>
      <c r="N66" s="195"/>
    </row>
    <row r="67" spans="1:14" x14ac:dyDescent="0.25">
      <c r="A67" s="290" t="s">
        <v>1228</v>
      </c>
      <c r="B67" s="689" t="s">
        <v>1187</v>
      </c>
      <c r="C67" s="678">
        <v>42753</v>
      </c>
      <c r="D67" s="270">
        <f t="shared" si="1"/>
        <v>3942</v>
      </c>
      <c r="E67" s="261">
        <v>13.7</v>
      </c>
      <c r="F67" s="29">
        <v>44</v>
      </c>
      <c r="G67" s="39">
        <f t="shared" si="0"/>
        <v>602.79999999999995</v>
      </c>
      <c r="H67" s="31">
        <v>42754</v>
      </c>
      <c r="I67" s="182" t="s">
        <v>1172</v>
      </c>
      <c r="J67" s="8"/>
      <c r="L67" s="195"/>
      <c r="M67" s="195"/>
      <c r="N67" s="195"/>
    </row>
    <row r="68" spans="1:14" ht="17.25" customHeight="1" x14ac:dyDescent="0.25">
      <c r="A68" s="290" t="s">
        <v>1231</v>
      </c>
      <c r="B68" s="691" t="s">
        <v>1187</v>
      </c>
      <c r="C68" s="678">
        <v>42753</v>
      </c>
      <c r="D68" s="270">
        <f t="shared" ref="D68:D103" si="2">D67+1</f>
        <v>3943</v>
      </c>
      <c r="E68" s="296">
        <v>22.8</v>
      </c>
      <c r="F68" s="297">
        <v>44</v>
      </c>
      <c r="G68" s="39">
        <f t="shared" si="0"/>
        <v>1003.2</v>
      </c>
      <c r="H68" s="298">
        <v>42754</v>
      </c>
      <c r="I68" s="299" t="s">
        <v>1172</v>
      </c>
      <c r="J68" s="300"/>
      <c r="K68" s="208"/>
      <c r="L68" s="301"/>
      <c r="M68" s="301"/>
      <c r="N68" s="301"/>
    </row>
    <row r="69" spans="1:14" x14ac:dyDescent="0.25">
      <c r="A69" s="290" t="s">
        <v>1229</v>
      </c>
      <c r="B69" s="689" t="s">
        <v>1230</v>
      </c>
      <c r="C69" s="678">
        <v>42754</v>
      </c>
      <c r="D69" s="270">
        <f t="shared" si="2"/>
        <v>3944</v>
      </c>
      <c r="E69" s="261">
        <v>14</v>
      </c>
      <c r="F69" s="29">
        <v>72</v>
      </c>
      <c r="G69" s="39">
        <f t="shared" si="0"/>
        <v>1008</v>
      </c>
      <c r="H69" s="31">
        <v>42754</v>
      </c>
      <c r="I69" s="8" t="s">
        <v>1172</v>
      </c>
      <c r="K69" s="302"/>
      <c r="L69" s="302"/>
      <c r="M69" s="302"/>
      <c r="N69" s="302"/>
    </row>
    <row r="70" spans="1:14" x14ac:dyDescent="0.25">
      <c r="A70" s="290" t="s">
        <v>1182</v>
      </c>
      <c r="B70" s="689" t="s">
        <v>1183</v>
      </c>
      <c r="C70" s="678">
        <v>43057</v>
      </c>
      <c r="D70" s="270">
        <f t="shared" si="2"/>
        <v>3945</v>
      </c>
      <c r="E70" s="261">
        <v>56940</v>
      </c>
      <c r="F70" s="29">
        <v>1</v>
      </c>
      <c r="G70" s="39">
        <f t="shared" si="0"/>
        <v>56940</v>
      </c>
      <c r="H70" s="31">
        <v>42761</v>
      </c>
      <c r="I70" s="8" t="s">
        <v>1172</v>
      </c>
      <c r="K70" s="302"/>
      <c r="L70" s="302"/>
      <c r="M70" s="302"/>
      <c r="N70" s="302"/>
    </row>
    <row r="71" spans="1:14" x14ac:dyDescent="0.25">
      <c r="A71" s="290" t="s">
        <v>1171</v>
      </c>
      <c r="B71" s="692" t="s">
        <v>206</v>
      </c>
      <c r="C71" s="678">
        <v>42754</v>
      </c>
      <c r="D71" s="270">
        <f t="shared" si="2"/>
        <v>3946</v>
      </c>
      <c r="E71" s="261">
        <v>1436</v>
      </c>
      <c r="F71" s="29">
        <v>65</v>
      </c>
      <c r="G71" s="39">
        <f t="shared" si="0"/>
        <v>93340</v>
      </c>
      <c r="H71" s="31">
        <v>42756</v>
      </c>
      <c r="I71" s="8" t="s">
        <v>1172</v>
      </c>
      <c r="L71" s="195"/>
      <c r="M71" s="195"/>
      <c r="N71" s="195"/>
    </row>
    <row r="72" spans="1:14" x14ac:dyDescent="0.25">
      <c r="A72" s="290" t="s">
        <v>1232</v>
      </c>
      <c r="B72" s="692" t="s">
        <v>1193</v>
      </c>
      <c r="C72" s="678">
        <v>42754</v>
      </c>
      <c r="D72" s="270">
        <f t="shared" si="2"/>
        <v>3947</v>
      </c>
      <c r="E72" s="261">
        <v>888.6</v>
      </c>
      <c r="F72" s="29">
        <v>34</v>
      </c>
      <c r="G72" s="39">
        <f t="shared" si="0"/>
        <v>30212.400000000001</v>
      </c>
      <c r="H72" s="31">
        <v>42754</v>
      </c>
      <c r="I72" s="8" t="s">
        <v>1172</v>
      </c>
      <c r="L72" s="195"/>
      <c r="M72" s="195"/>
      <c r="N72" s="195"/>
    </row>
    <row r="73" spans="1:14" x14ac:dyDescent="0.25">
      <c r="A73" s="290" t="s">
        <v>1197</v>
      </c>
      <c r="B73" s="689" t="s">
        <v>1233</v>
      </c>
      <c r="C73" s="678">
        <v>42754</v>
      </c>
      <c r="D73" s="270">
        <f t="shared" si="2"/>
        <v>3948</v>
      </c>
      <c r="E73" s="261">
        <v>313.3</v>
      </c>
      <c r="F73" s="29">
        <v>50</v>
      </c>
      <c r="G73" s="39">
        <f t="shared" si="0"/>
        <v>15665</v>
      </c>
      <c r="H73" s="31">
        <v>42755</v>
      </c>
      <c r="I73" s="8" t="s">
        <v>1172</v>
      </c>
      <c r="L73" s="195"/>
      <c r="M73" s="195"/>
      <c r="N73" s="195"/>
    </row>
    <row r="74" spans="1:14" x14ac:dyDescent="0.25">
      <c r="A74" s="290" t="s">
        <v>1208</v>
      </c>
      <c r="B74" s="689" t="s">
        <v>206</v>
      </c>
      <c r="C74" s="678">
        <v>42755</v>
      </c>
      <c r="D74" s="270">
        <f t="shared" si="2"/>
        <v>3949</v>
      </c>
      <c r="E74" s="261">
        <v>995</v>
      </c>
      <c r="F74" s="29">
        <v>64</v>
      </c>
      <c r="G74" s="39">
        <f t="shared" si="0"/>
        <v>63680</v>
      </c>
      <c r="H74" s="31">
        <v>39102</v>
      </c>
      <c r="I74" s="8" t="s">
        <v>1172</v>
      </c>
      <c r="L74" s="195"/>
      <c r="M74" s="195"/>
      <c r="N74" s="195"/>
    </row>
    <row r="75" spans="1:14" x14ac:dyDescent="0.25">
      <c r="A75" s="290" t="s">
        <v>1171</v>
      </c>
      <c r="B75" s="689" t="s">
        <v>206</v>
      </c>
      <c r="C75" s="678">
        <v>42755</v>
      </c>
      <c r="D75" s="270">
        <f t="shared" si="2"/>
        <v>3950</v>
      </c>
      <c r="E75" s="261">
        <v>1497.6</v>
      </c>
      <c r="F75" s="29">
        <v>65</v>
      </c>
      <c r="G75" s="39">
        <f t="shared" si="0"/>
        <v>97344</v>
      </c>
      <c r="H75" s="31">
        <v>42756</v>
      </c>
      <c r="I75" s="8" t="s">
        <v>1172</v>
      </c>
      <c r="J75" s="8"/>
      <c r="L75" s="195"/>
      <c r="M75" s="195"/>
      <c r="N75" s="195"/>
    </row>
    <row r="76" spans="1:14" x14ac:dyDescent="0.25">
      <c r="A76" s="290" t="s">
        <v>1173</v>
      </c>
      <c r="B76" s="689" t="s">
        <v>1174</v>
      </c>
      <c r="C76" s="678">
        <v>42756</v>
      </c>
      <c r="D76" s="270">
        <f t="shared" si="2"/>
        <v>3951</v>
      </c>
      <c r="E76" s="261">
        <v>162</v>
      </c>
      <c r="F76" s="29">
        <v>48</v>
      </c>
      <c r="G76" s="39">
        <f>F76*E76+80.9*60</f>
        <v>12630</v>
      </c>
      <c r="H76" s="31">
        <v>42756</v>
      </c>
      <c r="I76" s="8" t="s">
        <v>1172</v>
      </c>
      <c r="J76" s="8"/>
      <c r="L76" s="195"/>
      <c r="M76" s="195"/>
      <c r="N76" s="195"/>
    </row>
    <row r="77" spans="1:14" x14ac:dyDescent="0.25">
      <c r="A77" s="290" t="s">
        <v>1171</v>
      </c>
      <c r="B77" s="689" t="s">
        <v>206</v>
      </c>
      <c r="C77" s="678">
        <v>42756</v>
      </c>
      <c r="D77" s="270">
        <f t="shared" si="2"/>
        <v>3952</v>
      </c>
      <c r="E77" s="261">
        <v>1154.3</v>
      </c>
      <c r="F77" s="29">
        <v>65</v>
      </c>
      <c r="G77" s="39">
        <f t="shared" si="0"/>
        <v>75029.5</v>
      </c>
      <c r="H77" s="31">
        <v>42756</v>
      </c>
      <c r="I77" s="8" t="s">
        <v>1172</v>
      </c>
      <c r="J77" s="8"/>
      <c r="L77" s="195"/>
      <c r="M77" s="195"/>
      <c r="N77" s="195"/>
    </row>
    <row r="78" spans="1:14" x14ac:dyDescent="0.25">
      <c r="A78" s="290" t="s">
        <v>1220</v>
      </c>
      <c r="B78" s="689" t="s">
        <v>1322</v>
      </c>
      <c r="C78" s="678">
        <v>42787</v>
      </c>
      <c r="D78" s="270">
        <f t="shared" si="2"/>
        <v>3953</v>
      </c>
      <c r="E78" s="261">
        <v>86.05</v>
      </c>
      <c r="F78" s="29">
        <v>60</v>
      </c>
      <c r="G78" s="39">
        <f>F78*E78+95*70+101.1*38+50*50+79.25*64</f>
        <v>23226.799999999999</v>
      </c>
      <c r="H78" s="31">
        <v>42790</v>
      </c>
      <c r="I78" s="8" t="s">
        <v>1172</v>
      </c>
      <c r="J78" s="8" t="s">
        <v>1352</v>
      </c>
      <c r="K78" s="195" t="s">
        <v>15</v>
      </c>
      <c r="L78" s="195"/>
      <c r="M78" s="195"/>
      <c r="N78" s="195"/>
    </row>
    <row r="79" spans="1:14" x14ac:dyDescent="0.25">
      <c r="A79" s="290" t="s">
        <v>1180</v>
      </c>
      <c r="B79" s="689" t="s">
        <v>1234</v>
      </c>
      <c r="C79" s="678">
        <v>42757</v>
      </c>
      <c r="D79" s="270">
        <f t="shared" si="2"/>
        <v>3954</v>
      </c>
      <c r="E79" s="261">
        <v>491.2</v>
      </c>
      <c r="F79" s="29">
        <v>35</v>
      </c>
      <c r="G79" s="39">
        <f t="shared" si="0"/>
        <v>17192</v>
      </c>
      <c r="H79" s="31">
        <v>42757</v>
      </c>
      <c r="I79" s="8" t="s">
        <v>1172</v>
      </c>
      <c r="J79" s="8"/>
      <c r="L79" s="195"/>
      <c r="M79" s="195"/>
      <c r="N79" s="195"/>
    </row>
    <row r="80" spans="1:14" x14ac:dyDescent="0.25">
      <c r="A80" s="290" t="s">
        <v>1206</v>
      </c>
      <c r="B80" s="689" t="s">
        <v>1207</v>
      </c>
      <c r="C80" s="678">
        <v>42757</v>
      </c>
      <c r="D80" s="270">
        <f t="shared" si="2"/>
        <v>3955</v>
      </c>
      <c r="E80" s="261">
        <v>204.6</v>
      </c>
      <c r="F80" s="29">
        <v>68</v>
      </c>
      <c r="G80" s="39">
        <f t="shared" si="0"/>
        <v>13912.8</v>
      </c>
      <c r="H80" s="31">
        <v>42759</v>
      </c>
      <c r="I80" s="8" t="s">
        <v>1172</v>
      </c>
      <c r="J80" s="8"/>
      <c r="L80" s="195"/>
      <c r="M80" s="195"/>
      <c r="N80" s="195"/>
    </row>
    <row r="81" spans="1:14" x14ac:dyDescent="0.25">
      <c r="A81" s="290" t="s">
        <v>1213</v>
      </c>
      <c r="B81" s="690" t="s">
        <v>206</v>
      </c>
      <c r="C81" s="678">
        <v>42757</v>
      </c>
      <c r="D81" s="270">
        <f t="shared" si="2"/>
        <v>3956</v>
      </c>
      <c r="E81" s="261">
        <v>989.7</v>
      </c>
      <c r="F81" s="29">
        <v>65</v>
      </c>
      <c r="G81" s="39">
        <f t="shared" si="0"/>
        <v>64330.5</v>
      </c>
      <c r="H81" s="31">
        <v>42759</v>
      </c>
      <c r="I81" s="8" t="s">
        <v>1172</v>
      </c>
      <c r="J81" s="8"/>
      <c r="L81" s="195"/>
      <c r="M81" s="195"/>
      <c r="N81" s="195"/>
    </row>
    <row r="82" spans="1:14" x14ac:dyDescent="0.25">
      <c r="A82" s="290" t="s">
        <v>1171</v>
      </c>
      <c r="B82" s="690" t="s">
        <v>206</v>
      </c>
      <c r="C82" s="678">
        <v>42758</v>
      </c>
      <c r="D82" s="270">
        <f t="shared" si="2"/>
        <v>3957</v>
      </c>
      <c r="E82" s="261">
        <v>1728.9</v>
      </c>
      <c r="F82" s="29">
        <v>65</v>
      </c>
      <c r="G82" s="39">
        <f t="shared" si="0"/>
        <v>112378.5</v>
      </c>
      <c r="H82" s="31">
        <v>42759</v>
      </c>
      <c r="I82" s="8" t="s">
        <v>1172</v>
      </c>
      <c r="J82" s="8"/>
      <c r="L82" s="195"/>
      <c r="M82" s="195"/>
      <c r="N82" s="195"/>
    </row>
    <row r="83" spans="1:14" x14ac:dyDescent="0.25">
      <c r="A83" s="290" t="s">
        <v>1232</v>
      </c>
      <c r="B83" s="689" t="s">
        <v>1236</v>
      </c>
      <c r="C83" s="678">
        <v>42757</v>
      </c>
      <c r="D83" s="270">
        <f t="shared" si="2"/>
        <v>3958</v>
      </c>
      <c r="E83" s="261">
        <v>881.3</v>
      </c>
      <c r="F83" s="29">
        <v>35</v>
      </c>
      <c r="G83" s="39">
        <f t="shared" si="0"/>
        <v>30845.5</v>
      </c>
      <c r="H83" s="31">
        <v>42759</v>
      </c>
      <c r="I83" s="8" t="s">
        <v>1172</v>
      </c>
      <c r="L83" s="195"/>
      <c r="M83" s="195"/>
      <c r="N83" s="195"/>
    </row>
    <row r="84" spans="1:14" x14ac:dyDescent="0.25">
      <c r="A84" s="290" t="s">
        <v>1171</v>
      </c>
      <c r="B84" s="689" t="s">
        <v>206</v>
      </c>
      <c r="C84" s="678">
        <v>42759</v>
      </c>
      <c r="D84" s="270">
        <f t="shared" si="2"/>
        <v>3959</v>
      </c>
      <c r="E84" s="261">
        <v>1411.1</v>
      </c>
      <c r="F84" s="29">
        <v>65</v>
      </c>
      <c r="G84" s="39">
        <f t="shared" si="0"/>
        <v>91721.5</v>
      </c>
      <c r="H84" s="31">
        <v>42760</v>
      </c>
      <c r="I84" s="8" t="s">
        <v>1172</v>
      </c>
      <c r="L84" s="195"/>
      <c r="M84" s="195"/>
      <c r="N84" s="195"/>
    </row>
    <row r="85" spans="1:14" x14ac:dyDescent="0.25">
      <c r="A85" s="290" t="s">
        <v>1213</v>
      </c>
      <c r="B85" s="689" t="s">
        <v>206</v>
      </c>
      <c r="C85" s="678">
        <v>42760</v>
      </c>
      <c r="D85" s="270">
        <f t="shared" si="2"/>
        <v>3960</v>
      </c>
      <c r="E85" s="261">
        <v>340.4</v>
      </c>
      <c r="F85" s="29">
        <v>66</v>
      </c>
      <c r="G85" s="39">
        <f t="shared" si="0"/>
        <v>22466.399999999998</v>
      </c>
      <c r="H85" s="31">
        <v>42760</v>
      </c>
      <c r="I85" s="8" t="s">
        <v>1172</v>
      </c>
      <c r="L85" s="195"/>
      <c r="M85" s="195"/>
      <c r="N85" s="195"/>
    </row>
    <row r="86" spans="1:14" x14ac:dyDescent="0.25">
      <c r="A86" s="290" t="s">
        <v>1182</v>
      </c>
      <c r="B86" s="689" t="s">
        <v>1183</v>
      </c>
      <c r="C86" s="678">
        <v>42760</v>
      </c>
      <c r="D86" s="270">
        <f t="shared" si="2"/>
        <v>3961</v>
      </c>
      <c r="E86" s="261">
        <v>23142.6</v>
      </c>
      <c r="F86" s="29">
        <v>1</v>
      </c>
      <c r="G86" s="39">
        <f t="shared" si="0"/>
        <v>23142.6</v>
      </c>
      <c r="H86" s="31">
        <v>42760</v>
      </c>
      <c r="I86" s="8" t="s">
        <v>1172</v>
      </c>
      <c r="L86" s="195"/>
      <c r="M86" s="195"/>
      <c r="N86" s="195"/>
    </row>
    <row r="87" spans="1:14" x14ac:dyDescent="0.25">
      <c r="A87" s="290" t="s">
        <v>1171</v>
      </c>
      <c r="B87" s="689" t="s">
        <v>206</v>
      </c>
      <c r="C87" s="678">
        <v>42761</v>
      </c>
      <c r="D87" s="270">
        <f t="shared" si="2"/>
        <v>3962</v>
      </c>
      <c r="E87" s="261">
        <v>1621.8</v>
      </c>
      <c r="F87" s="29">
        <v>65</v>
      </c>
      <c r="G87" s="39">
        <f>F87*E87+77.8*70</f>
        <v>110863</v>
      </c>
      <c r="H87" s="31">
        <v>42763</v>
      </c>
      <c r="I87" s="8" t="s">
        <v>1172</v>
      </c>
      <c r="L87" s="195"/>
      <c r="M87" s="195"/>
      <c r="N87" s="195"/>
    </row>
    <row r="88" spans="1:14" x14ac:dyDescent="0.25">
      <c r="A88" s="290" t="s">
        <v>1179</v>
      </c>
      <c r="B88" s="689" t="s">
        <v>206</v>
      </c>
      <c r="C88" s="678">
        <v>42760</v>
      </c>
      <c r="D88" s="270">
        <f t="shared" si="2"/>
        <v>3963</v>
      </c>
      <c r="E88" s="261">
        <v>834.8</v>
      </c>
      <c r="F88" s="29">
        <v>64</v>
      </c>
      <c r="G88" s="39">
        <f t="shared" si="0"/>
        <v>53427.199999999997</v>
      </c>
      <c r="H88" s="700">
        <v>42769</v>
      </c>
      <c r="I88" s="701" t="s">
        <v>1172</v>
      </c>
      <c r="L88" s="195"/>
      <c r="M88" s="195"/>
      <c r="N88" s="195"/>
    </row>
    <row r="89" spans="1:14" x14ac:dyDescent="0.25">
      <c r="A89" s="290" t="s">
        <v>1182</v>
      </c>
      <c r="B89" s="689" t="s">
        <v>1199</v>
      </c>
      <c r="C89" s="678">
        <v>42760</v>
      </c>
      <c r="D89" s="270">
        <f t="shared" si="2"/>
        <v>3964</v>
      </c>
      <c r="E89" s="261">
        <v>74560</v>
      </c>
      <c r="F89" s="29">
        <v>1</v>
      </c>
      <c r="G89" s="39">
        <f t="shared" si="0"/>
        <v>74560</v>
      </c>
      <c r="H89" s="700">
        <v>42775</v>
      </c>
      <c r="I89" s="701" t="s">
        <v>1172</v>
      </c>
      <c r="L89" s="195"/>
      <c r="M89" s="195"/>
      <c r="N89" s="195"/>
    </row>
    <row r="90" spans="1:14" x14ac:dyDescent="0.25">
      <c r="A90" s="290" t="s">
        <v>1173</v>
      </c>
      <c r="B90" s="689" t="s">
        <v>1174</v>
      </c>
      <c r="C90" s="678">
        <v>42760</v>
      </c>
      <c r="D90" s="270">
        <f t="shared" si="2"/>
        <v>3965</v>
      </c>
      <c r="E90" s="261">
        <v>141.1</v>
      </c>
      <c r="F90" s="29">
        <v>27</v>
      </c>
      <c r="G90" s="39">
        <f>F90*E90+133*48+211.5*45</f>
        <v>19711.2</v>
      </c>
      <c r="H90" s="31">
        <v>42761</v>
      </c>
      <c r="I90" s="8" t="s">
        <v>1172</v>
      </c>
      <c r="L90" s="195"/>
      <c r="M90" s="195"/>
      <c r="N90" s="195"/>
    </row>
    <row r="91" spans="1:14" x14ac:dyDescent="0.25">
      <c r="A91" s="304" t="s">
        <v>1208</v>
      </c>
      <c r="B91" s="689" t="s">
        <v>206</v>
      </c>
      <c r="C91" s="681">
        <v>42761</v>
      </c>
      <c r="D91" s="270">
        <f t="shared" si="2"/>
        <v>3966</v>
      </c>
      <c r="E91" s="261">
        <v>557</v>
      </c>
      <c r="F91" s="29">
        <v>64</v>
      </c>
      <c r="G91" s="39">
        <f t="shared" ref="G91:G103" si="3">F91*E91</f>
        <v>35648</v>
      </c>
      <c r="H91" s="31">
        <v>42762</v>
      </c>
      <c r="I91" s="8" t="s">
        <v>1172</v>
      </c>
      <c r="L91" s="195"/>
      <c r="M91" s="195"/>
      <c r="N91" s="195"/>
    </row>
    <row r="92" spans="1:14" x14ac:dyDescent="0.25">
      <c r="A92" s="290" t="s">
        <v>1171</v>
      </c>
      <c r="B92" s="689" t="s">
        <v>206</v>
      </c>
      <c r="C92" s="678">
        <v>42763</v>
      </c>
      <c r="D92" s="270">
        <f t="shared" si="2"/>
        <v>3967</v>
      </c>
      <c r="E92" s="261">
        <v>1620.5</v>
      </c>
      <c r="F92" s="29">
        <v>65</v>
      </c>
      <c r="G92" s="39">
        <f t="shared" si="3"/>
        <v>105332.5</v>
      </c>
      <c r="H92" s="31">
        <v>42764</v>
      </c>
      <c r="I92" s="8" t="s">
        <v>1172</v>
      </c>
      <c r="L92" s="195"/>
      <c r="M92" s="195"/>
      <c r="N92" s="195"/>
    </row>
    <row r="93" spans="1:14" x14ac:dyDescent="0.25">
      <c r="A93" s="735" t="s">
        <v>176</v>
      </c>
      <c r="B93" s="736"/>
      <c r="C93" s="737"/>
      <c r="D93" s="270">
        <f t="shared" si="2"/>
        <v>3968</v>
      </c>
      <c r="G93" s="39">
        <f t="shared" si="3"/>
        <v>0</v>
      </c>
      <c r="H93" s="31"/>
      <c r="L93" s="195"/>
      <c r="M93" s="195"/>
      <c r="N93" s="195"/>
    </row>
    <row r="94" spans="1:14" x14ac:dyDescent="0.25">
      <c r="A94" s="290" t="s">
        <v>1171</v>
      </c>
      <c r="B94" s="689" t="s">
        <v>206</v>
      </c>
      <c r="C94" s="678">
        <v>42763</v>
      </c>
      <c r="D94" s="270">
        <f t="shared" si="2"/>
        <v>3969</v>
      </c>
      <c r="E94" s="261">
        <v>1331.8</v>
      </c>
      <c r="F94" s="29">
        <v>65</v>
      </c>
      <c r="G94" s="39">
        <f t="shared" si="3"/>
        <v>86567</v>
      </c>
      <c r="H94" s="31">
        <v>42763</v>
      </c>
      <c r="I94" s="8" t="s">
        <v>1172</v>
      </c>
      <c r="L94" s="195"/>
      <c r="M94" s="195"/>
      <c r="N94" s="195"/>
    </row>
    <row r="95" spans="1:14" x14ac:dyDescent="0.25">
      <c r="A95" s="290" t="s">
        <v>1220</v>
      </c>
      <c r="B95" s="689" t="s">
        <v>1199</v>
      </c>
      <c r="C95" s="678">
        <v>42763</v>
      </c>
      <c r="D95" s="270">
        <f t="shared" si="2"/>
        <v>3970</v>
      </c>
      <c r="E95" s="261">
        <v>163.69999999999999</v>
      </c>
      <c r="F95" s="29">
        <v>60</v>
      </c>
      <c r="G95" s="39">
        <f>F95*E95+60.8*70</f>
        <v>14078</v>
      </c>
      <c r="H95" s="700">
        <v>42786</v>
      </c>
      <c r="I95" s="701" t="s">
        <v>1172</v>
      </c>
      <c r="J95" s="195" t="s">
        <v>1337</v>
      </c>
      <c r="L95" s="195"/>
      <c r="M95" s="195"/>
      <c r="N95" s="195"/>
    </row>
    <row r="96" spans="1:14" x14ac:dyDescent="0.25">
      <c r="A96" s="290" t="s">
        <v>1180</v>
      </c>
      <c r="B96" s="689" t="s">
        <v>1234</v>
      </c>
      <c r="C96" s="678">
        <v>42764</v>
      </c>
      <c r="D96" s="270">
        <f t="shared" si="2"/>
        <v>3971</v>
      </c>
      <c r="E96" s="261">
        <v>454.2</v>
      </c>
      <c r="F96" s="29">
        <v>35</v>
      </c>
      <c r="G96" s="39">
        <f t="shared" si="3"/>
        <v>15897</v>
      </c>
      <c r="H96" s="31">
        <v>42764</v>
      </c>
      <c r="I96" s="8" t="s">
        <v>1172</v>
      </c>
      <c r="L96" s="195"/>
      <c r="M96" s="195"/>
      <c r="N96" s="195"/>
    </row>
    <row r="97" spans="1:14" x14ac:dyDescent="0.25">
      <c r="A97" s="290" t="s">
        <v>1213</v>
      </c>
      <c r="B97" s="689" t="s">
        <v>206</v>
      </c>
      <c r="C97" s="678">
        <v>42766</v>
      </c>
      <c r="D97" s="270">
        <f t="shared" si="2"/>
        <v>3972</v>
      </c>
      <c r="E97" s="261">
        <v>297.8</v>
      </c>
      <c r="F97" s="29">
        <v>66</v>
      </c>
      <c r="G97" s="39">
        <f t="shared" si="3"/>
        <v>19654.8</v>
      </c>
      <c r="H97" s="31">
        <v>42765</v>
      </c>
      <c r="I97" s="8" t="s">
        <v>1172</v>
      </c>
      <c r="L97" s="195"/>
      <c r="M97" s="195"/>
      <c r="N97" s="195"/>
    </row>
    <row r="98" spans="1:14" x14ac:dyDescent="0.25">
      <c r="A98" s="290" t="s">
        <v>1171</v>
      </c>
      <c r="B98" s="689" t="s">
        <v>206</v>
      </c>
      <c r="C98" s="678">
        <v>42765</v>
      </c>
      <c r="D98" s="270">
        <f t="shared" si="2"/>
        <v>3973</v>
      </c>
      <c r="E98" s="261">
        <v>1166.5</v>
      </c>
      <c r="F98" s="29">
        <v>65</v>
      </c>
      <c r="G98" s="39">
        <f t="shared" si="3"/>
        <v>75822.5</v>
      </c>
      <c r="H98" s="31">
        <v>42766</v>
      </c>
      <c r="I98" s="8" t="s">
        <v>1172</v>
      </c>
      <c r="L98" s="195"/>
      <c r="M98" s="195"/>
      <c r="N98" s="195"/>
    </row>
    <row r="99" spans="1:14" x14ac:dyDescent="0.25">
      <c r="A99" s="304" t="s">
        <v>1206</v>
      </c>
      <c r="B99" s="689" t="s">
        <v>1207</v>
      </c>
      <c r="C99" s="681">
        <v>42766</v>
      </c>
      <c r="D99" s="270">
        <f t="shared" si="2"/>
        <v>3974</v>
      </c>
      <c r="E99" s="261">
        <v>98.2</v>
      </c>
      <c r="F99" s="29">
        <v>72</v>
      </c>
      <c r="G99" s="39">
        <f t="shared" si="3"/>
        <v>7070.4000000000005</v>
      </c>
      <c r="H99" s="31">
        <v>42765</v>
      </c>
      <c r="I99" s="8" t="s">
        <v>1172</v>
      </c>
      <c r="L99" s="195"/>
      <c r="M99" s="195"/>
      <c r="N99" s="195"/>
    </row>
    <row r="100" spans="1:14" x14ac:dyDescent="0.25">
      <c r="A100" s="304" t="s">
        <v>1184</v>
      </c>
      <c r="B100" s="689" t="s">
        <v>1223</v>
      </c>
      <c r="C100" s="681">
        <v>42765</v>
      </c>
      <c r="D100" s="270">
        <f t="shared" si="2"/>
        <v>3975</v>
      </c>
      <c r="E100" s="261">
        <v>335</v>
      </c>
      <c r="F100" s="29">
        <v>94</v>
      </c>
      <c r="G100" s="39">
        <f t="shared" si="3"/>
        <v>31490</v>
      </c>
      <c r="H100" s="31">
        <v>42765</v>
      </c>
      <c r="I100" s="8" t="s">
        <v>1172</v>
      </c>
      <c r="L100" s="195"/>
      <c r="M100" s="195"/>
      <c r="N100" s="195"/>
    </row>
    <row r="101" spans="1:14" x14ac:dyDescent="0.25">
      <c r="A101" s="290" t="s">
        <v>1213</v>
      </c>
      <c r="B101" s="689" t="s">
        <v>206</v>
      </c>
      <c r="C101" s="678">
        <v>42766</v>
      </c>
      <c r="D101" s="270">
        <f t="shared" si="2"/>
        <v>3976</v>
      </c>
      <c r="E101" s="261">
        <v>329.6</v>
      </c>
      <c r="F101" s="29">
        <v>66</v>
      </c>
      <c r="G101" s="39">
        <f t="shared" si="3"/>
        <v>21753.600000000002</v>
      </c>
      <c r="H101" s="31">
        <v>42766</v>
      </c>
      <c r="I101" s="8" t="s">
        <v>1172</v>
      </c>
      <c r="L101" s="195"/>
      <c r="M101" s="195"/>
      <c r="N101" s="195"/>
    </row>
    <row r="102" spans="1:14" x14ac:dyDescent="0.25">
      <c r="A102" s="290" t="s">
        <v>1283</v>
      </c>
      <c r="B102" s="689" t="s">
        <v>1284</v>
      </c>
      <c r="C102" s="678">
        <v>42766</v>
      </c>
      <c r="D102" s="270">
        <f t="shared" si="2"/>
        <v>3977</v>
      </c>
      <c r="E102" s="261">
        <v>4.4000000000000004</v>
      </c>
      <c r="F102" s="29">
        <v>22</v>
      </c>
      <c r="G102" s="39">
        <f t="shared" si="3"/>
        <v>96.800000000000011</v>
      </c>
      <c r="H102" s="31">
        <v>42766</v>
      </c>
      <c r="I102" s="8" t="s">
        <v>1172</v>
      </c>
      <c r="L102" s="195"/>
      <c r="M102" s="195"/>
      <c r="N102" s="195"/>
    </row>
    <row r="103" spans="1:14" x14ac:dyDescent="0.25">
      <c r="A103" s="290" t="s">
        <v>1171</v>
      </c>
      <c r="B103" s="689" t="s">
        <v>206</v>
      </c>
      <c r="C103" s="678">
        <v>42766</v>
      </c>
      <c r="D103" s="270">
        <f t="shared" si="2"/>
        <v>3978</v>
      </c>
      <c r="E103" s="261">
        <v>1315.1</v>
      </c>
      <c r="F103" s="29">
        <v>65</v>
      </c>
      <c r="G103" s="39">
        <f t="shared" si="3"/>
        <v>85481.5</v>
      </c>
      <c r="H103" s="31">
        <v>42766</v>
      </c>
      <c r="I103" s="8" t="s">
        <v>1172</v>
      </c>
      <c r="L103" s="195"/>
      <c r="M103" s="195"/>
      <c r="N103" s="195"/>
    </row>
    <row r="104" spans="1:14" x14ac:dyDescent="0.25">
      <c r="A104" s="288"/>
      <c r="B104" s="693"/>
      <c r="C104" s="683"/>
      <c r="D104" s="270"/>
      <c r="G104" s="39">
        <f t="shared" ref="G104:G105" si="4">F104*E104</f>
        <v>0</v>
      </c>
      <c r="H104" s="31"/>
      <c r="L104" s="195"/>
      <c r="M104" s="195"/>
      <c r="N104" s="195"/>
    </row>
    <row r="105" spans="1:14" ht="15.75" thickBot="1" x14ac:dyDescent="0.3">
      <c r="A105" s="288"/>
      <c r="B105" s="693"/>
      <c r="C105" s="683"/>
      <c r="D105" s="310"/>
      <c r="E105" s="311"/>
      <c r="G105" s="39">
        <f t="shared" si="4"/>
        <v>0</v>
      </c>
      <c r="H105" s="312"/>
      <c r="L105" s="195"/>
      <c r="M105" s="195"/>
      <c r="N105" s="195"/>
    </row>
    <row r="106" spans="1:14" ht="19.5" thickBot="1" x14ac:dyDescent="0.35">
      <c r="A106" s="313"/>
      <c r="B106" s="689"/>
      <c r="C106" s="682"/>
      <c r="D106" s="314"/>
      <c r="E106" s="891" t="s">
        <v>30</v>
      </c>
      <c r="F106" s="892"/>
      <c r="G106" s="214">
        <f>SUM(G4:G105)</f>
        <v>3760551.9999999995</v>
      </c>
      <c r="H106" s="315"/>
    </row>
    <row r="107" spans="1:14" x14ac:dyDescent="0.25">
      <c r="A107" s="313"/>
      <c r="B107" s="689"/>
      <c r="C107" s="682"/>
      <c r="D107" s="314"/>
      <c r="E107" s="311"/>
      <c r="F107" s="316"/>
      <c r="G107" s="39"/>
      <c r="H107" s="315"/>
    </row>
    <row r="108" spans="1:14" x14ac:dyDescent="0.25">
      <c r="A108" s="313"/>
      <c r="B108" s="689"/>
      <c r="C108" s="682"/>
      <c r="D108" s="314"/>
      <c r="E108" s="311"/>
      <c r="F108" s="316"/>
      <c r="G108" s="39"/>
      <c r="H108" s="315"/>
    </row>
    <row r="109" spans="1:14" x14ac:dyDescent="0.25">
      <c r="A109" s="313"/>
      <c r="B109" s="689"/>
      <c r="C109" s="682"/>
      <c r="D109" s="314"/>
      <c r="E109" s="311"/>
      <c r="F109" s="316"/>
      <c r="G109" s="39"/>
      <c r="H109" s="315"/>
    </row>
    <row r="110" spans="1:14" ht="18.75" x14ac:dyDescent="0.25">
      <c r="A110" s="313"/>
      <c r="B110" s="689"/>
      <c r="C110" s="682"/>
      <c r="D110" s="317"/>
      <c r="E110" s="318"/>
      <c r="F110" s="319"/>
      <c r="G110" s="320"/>
      <c r="H110" s="315"/>
    </row>
    <row r="111" spans="1:14" ht="18.75" x14ac:dyDescent="0.25">
      <c r="A111" s="313"/>
      <c r="B111" s="689"/>
      <c r="C111" s="682"/>
      <c r="D111" s="317"/>
      <c r="E111" s="318"/>
      <c r="F111" s="319"/>
      <c r="G111" s="320"/>
      <c r="H111" s="315"/>
    </row>
    <row r="112" spans="1:14" x14ac:dyDescent="0.25">
      <c r="A112" s="313"/>
      <c r="B112" s="689"/>
      <c r="C112" s="682"/>
      <c r="D112" s="317"/>
      <c r="E112" s="321"/>
      <c r="F112" s="322"/>
      <c r="G112" s="323"/>
      <c r="H112" s="315"/>
      <c r="K112"/>
    </row>
    <row r="113" spans="1:11" x14ac:dyDescent="0.25">
      <c r="A113" s="313"/>
      <c r="B113" s="689"/>
      <c r="C113" s="682"/>
      <c r="D113" s="317"/>
      <c r="E113" s="321"/>
      <c r="F113" s="322"/>
      <c r="G113" s="323"/>
      <c r="H113" s="315"/>
      <c r="K113"/>
    </row>
    <row r="114" spans="1:11" x14ac:dyDescent="0.25">
      <c r="A114" s="313"/>
      <c r="B114" s="689"/>
      <c r="C114" s="682"/>
      <c r="D114" s="317"/>
      <c r="E114" s="321"/>
      <c r="F114" s="322"/>
      <c r="G114" s="323"/>
      <c r="H114" s="315"/>
      <c r="K114"/>
    </row>
    <row r="115" spans="1:11" x14ac:dyDescent="0.25">
      <c r="A115" s="313"/>
      <c r="B115" s="689"/>
      <c r="C115" s="682"/>
      <c r="D115" s="317"/>
      <c r="E115" s="321"/>
      <c r="F115" s="322"/>
      <c r="G115" s="323"/>
      <c r="H115" s="315"/>
      <c r="K115"/>
    </row>
    <row r="116" spans="1:11" x14ac:dyDescent="0.25">
      <c r="A116" s="313"/>
      <c r="B116" s="689"/>
      <c r="C116" s="682"/>
      <c r="D116" s="317"/>
      <c r="E116" s="321"/>
      <c r="F116" s="322"/>
      <c r="G116" s="323"/>
      <c r="H116" s="315"/>
      <c r="K116"/>
    </row>
    <row r="117" spans="1:11" x14ac:dyDescent="0.25">
      <c r="A117" s="313"/>
      <c r="B117" s="689"/>
      <c r="C117" s="682"/>
      <c r="D117" s="317"/>
      <c r="E117" s="321"/>
      <c r="F117" s="322"/>
      <c r="G117" s="323"/>
      <c r="H117" s="315"/>
      <c r="K117"/>
    </row>
    <row r="118" spans="1:11" x14ac:dyDescent="0.25">
      <c r="A118" s="313"/>
      <c r="B118" s="689"/>
      <c r="C118" s="682"/>
      <c r="D118" s="317"/>
      <c r="E118" s="321"/>
      <c r="F118" s="322"/>
      <c r="G118" s="323"/>
      <c r="H118" s="315"/>
      <c r="K118"/>
    </row>
    <row r="119" spans="1:11" x14ac:dyDescent="0.25">
      <c r="A119" s="313"/>
      <c r="B119" s="694"/>
      <c r="C119" s="682"/>
      <c r="D119" s="260"/>
      <c r="E119" s="325"/>
      <c r="F119" s="326"/>
      <c r="G119" s="39"/>
      <c r="H119" s="315"/>
      <c r="K119"/>
    </row>
    <row r="120" spans="1:11" x14ac:dyDescent="0.25">
      <c r="A120" s="313"/>
      <c r="B120" s="694"/>
      <c r="C120" s="682"/>
      <c r="D120" s="260"/>
      <c r="E120" s="325"/>
      <c r="F120" s="326"/>
      <c r="G120" s="39"/>
      <c r="H120" s="315"/>
      <c r="K120"/>
    </row>
    <row r="121" spans="1:11" x14ac:dyDescent="0.25">
      <c r="A121" s="313"/>
      <c r="B121" s="694"/>
      <c r="C121" s="682"/>
      <c r="D121" s="260"/>
      <c r="E121" s="325"/>
      <c r="F121" s="326"/>
      <c r="G121" s="39"/>
      <c r="H121" s="315"/>
      <c r="K121"/>
    </row>
    <row r="122" spans="1:11" x14ac:dyDescent="0.25">
      <c r="A122" s="313"/>
      <c r="B122" s="694"/>
      <c r="C122" s="682"/>
      <c r="D122" s="260"/>
      <c r="E122" s="325"/>
      <c r="F122" s="326"/>
      <c r="G122" s="39"/>
      <c r="H122" s="315"/>
      <c r="K122"/>
    </row>
    <row r="123" spans="1:11" x14ac:dyDescent="0.25">
      <c r="A123" s="313"/>
      <c r="B123" s="694"/>
      <c r="C123" s="682"/>
      <c r="D123" s="260"/>
      <c r="E123" s="325"/>
      <c r="F123" s="326"/>
      <c r="G123" s="39"/>
      <c r="H123" s="315"/>
      <c r="K123"/>
    </row>
    <row r="124" spans="1:11" x14ac:dyDescent="0.25">
      <c r="A124" s="313"/>
      <c r="B124" s="694"/>
      <c r="C124" s="682"/>
      <c r="D124" s="260"/>
      <c r="E124" s="325"/>
      <c r="F124" s="326"/>
      <c r="G124" s="39"/>
      <c r="H124" s="315"/>
      <c r="K124"/>
    </row>
    <row r="125" spans="1:11" x14ac:dyDescent="0.25">
      <c r="A125" s="313"/>
      <c r="B125" s="694"/>
      <c r="C125" s="682"/>
      <c r="D125" s="260"/>
      <c r="E125" s="325"/>
      <c r="F125" s="326"/>
      <c r="G125" s="39"/>
      <c r="H125" s="315"/>
      <c r="K125"/>
    </row>
    <row r="126" spans="1:11" x14ac:dyDescent="0.25">
      <c r="A126" s="313"/>
      <c r="B126" s="694"/>
      <c r="C126" s="682"/>
      <c r="D126" s="260"/>
      <c r="E126" s="325"/>
      <c r="F126" s="326"/>
      <c r="G126" s="39"/>
      <c r="H126" s="315"/>
      <c r="K126"/>
    </row>
    <row r="127" spans="1:11" x14ac:dyDescent="0.25">
      <c r="A127" s="313"/>
      <c r="B127" s="694"/>
      <c r="C127" s="682"/>
      <c r="D127" s="260"/>
      <c r="E127" s="325"/>
      <c r="F127" s="326"/>
      <c r="G127" s="39"/>
      <c r="H127" s="315"/>
      <c r="K127"/>
    </row>
    <row r="128" spans="1:11" x14ac:dyDescent="0.25">
      <c r="A128" s="313"/>
      <c r="B128" s="694"/>
      <c r="C128" s="682"/>
      <c r="D128" s="260"/>
      <c r="E128" s="325"/>
      <c r="F128" s="326"/>
      <c r="G128" s="39"/>
      <c r="H128" s="315"/>
      <c r="K128"/>
    </row>
    <row r="129" spans="1:11" x14ac:dyDescent="0.25">
      <c r="A129" s="313"/>
      <c r="B129" s="694"/>
      <c r="C129" s="682"/>
      <c r="D129" s="260"/>
      <c r="E129" s="327"/>
      <c r="F129" s="328"/>
      <c r="G129" s="39"/>
      <c r="H129" s="315"/>
      <c r="K129"/>
    </row>
    <row r="130" spans="1:11" x14ac:dyDescent="0.25">
      <c r="A130" s="183"/>
      <c r="B130" s="694"/>
      <c r="C130" s="684"/>
      <c r="D130" s="260"/>
      <c r="E130" s="327"/>
      <c r="F130" s="328"/>
      <c r="G130" s="39"/>
      <c r="H130" s="315"/>
      <c r="K130"/>
    </row>
    <row r="131" spans="1:11" x14ac:dyDescent="0.25">
      <c r="B131" s="694"/>
      <c r="C131" s="684"/>
      <c r="D131" s="260"/>
      <c r="E131" s="327"/>
      <c r="F131" s="328"/>
      <c r="G131" s="39"/>
      <c r="H131" s="315"/>
      <c r="K131"/>
    </row>
    <row r="132" spans="1:11" x14ac:dyDescent="0.25">
      <c r="B132" s="694"/>
      <c r="C132" s="684"/>
      <c r="D132" s="260"/>
      <c r="E132" s="327"/>
      <c r="F132" s="328"/>
      <c r="G132" s="39"/>
      <c r="H132" s="315"/>
      <c r="K132"/>
    </row>
    <row r="133" spans="1:11" x14ac:dyDescent="0.25">
      <c r="B133" s="694"/>
      <c r="C133" s="684"/>
      <c r="D133" s="260"/>
      <c r="E133" s="327"/>
      <c r="F133" s="328"/>
      <c r="G133" s="39"/>
      <c r="H133" s="315"/>
      <c r="K133"/>
    </row>
    <row r="134" spans="1:11" x14ac:dyDescent="0.25">
      <c r="B134" s="694"/>
      <c r="C134" s="684"/>
      <c r="D134" s="260"/>
      <c r="E134" s="327"/>
      <c r="F134" s="328"/>
      <c r="G134" s="39"/>
      <c r="H134" s="315"/>
      <c r="K134"/>
    </row>
    <row r="135" spans="1:11" x14ac:dyDescent="0.25">
      <c r="A135" s="290"/>
      <c r="B135" s="694"/>
      <c r="C135" s="684"/>
      <c r="D135" s="260"/>
      <c r="E135" s="327"/>
      <c r="F135" s="328"/>
      <c r="G135" s="27"/>
      <c r="H135" s="315"/>
      <c r="K135"/>
    </row>
    <row r="136" spans="1:11" x14ac:dyDescent="0.25">
      <c r="B136" s="694"/>
      <c r="C136" s="684"/>
      <c r="D136" s="260"/>
      <c r="E136" s="327"/>
      <c r="F136" s="328"/>
      <c r="G136" s="330"/>
      <c r="H136" s="315"/>
      <c r="K136"/>
    </row>
    <row r="137" spans="1:11" x14ac:dyDescent="0.25">
      <c r="B137" s="689"/>
      <c r="C137" s="684"/>
      <c r="D137" s="331"/>
      <c r="E137" s="311"/>
      <c r="F137" s="316"/>
      <c r="G137" s="330"/>
      <c r="H137" s="315"/>
      <c r="K137"/>
    </row>
    <row r="138" spans="1:11" x14ac:dyDescent="0.25">
      <c r="B138" s="689"/>
      <c r="C138" s="684"/>
      <c r="D138" s="331"/>
      <c r="E138" s="311"/>
      <c r="F138" s="316"/>
      <c r="G138" s="330"/>
      <c r="H138" s="315"/>
      <c r="K138"/>
    </row>
    <row r="139" spans="1:11" x14ac:dyDescent="0.25">
      <c r="B139" s="689"/>
      <c r="C139" s="684"/>
      <c r="D139" s="331"/>
      <c r="E139" s="311"/>
      <c r="F139" s="316"/>
      <c r="G139" s="330"/>
      <c r="H139" s="315"/>
      <c r="K139"/>
    </row>
    <row r="140" spans="1:11" x14ac:dyDescent="0.25">
      <c r="B140" s="689"/>
      <c r="C140" s="684"/>
      <c r="D140" s="331"/>
      <c r="E140" s="311"/>
      <c r="F140" s="316"/>
      <c r="G140" s="330"/>
      <c r="H140" s="315"/>
      <c r="K140"/>
    </row>
    <row r="141" spans="1:11" x14ac:dyDescent="0.25">
      <c r="B141" s="689"/>
      <c r="C141" s="684"/>
      <c r="D141" s="331"/>
      <c r="E141" s="311"/>
      <c r="F141" s="316"/>
      <c r="G141" s="330"/>
      <c r="H141" s="315"/>
      <c r="K141"/>
    </row>
    <row r="142" spans="1:11" x14ac:dyDescent="0.25">
      <c r="B142" s="689"/>
      <c r="C142" s="684"/>
      <c r="D142" s="331"/>
      <c r="E142" s="311"/>
      <c r="F142" s="316"/>
      <c r="G142" s="330"/>
      <c r="H142" s="315"/>
      <c r="K142"/>
    </row>
    <row r="143" spans="1:11" x14ac:dyDescent="0.25">
      <c r="B143" s="689"/>
      <c r="C143" s="684"/>
      <c r="D143" s="331"/>
      <c r="E143" s="311"/>
      <c r="F143" s="316"/>
      <c r="G143" s="330"/>
      <c r="H143" s="315"/>
      <c r="K143"/>
    </row>
  </sheetData>
  <mergeCells count="2">
    <mergeCell ref="A1:G1"/>
    <mergeCell ref="E106:F10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N168"/>
  <sheetViews>
    <sheetView topLeftCell="A112" workbookViewId="0">
      <selection activeCell="I128" sqref="I128"/>
    </sheetView>
  </sheetViews>
  <sheetFormatPr baseColWidth="10" defaultRowHeight="15" x14ac:dyDescent="0.25"/>
  <cols>
    <col min="1" max="1" width="25.5703125" style="8" customWidth="1"/>
    <col min="2" max="2" width="15" style="8" customWidth="1"/>
    <col min="3" max="3" width="11.42578125" style="62"/>
    <col min="4" max="4" width="14.7109375" bestFit="1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4.85546875" style="183" bestFit="1" customWidth="1"/>
    <col min="9" max="9" width="11.85546875" style="62" customWidth="1"/>
    <col min="10" max="10" width="12.5703125" style="195" bestFit="1" customWidth="1"/>
    <col min="11" max="11" width="11.42578125" style="195"/>
  </cols>
  <sheetData>
    <row r="1" spans="1:14" ht="21" x14ac:dyDescent="0.35">
      <c r="A1" s="885" t="s">
        <v>811</v>
      </c>
      <c r="B1" s="885"/>
      <c r="C1" s="885"/>
      <c r="D1" s="885"/>
      <c r="E1" s="885"/>
      <c r="F1" s="885"/>
      <c r="G1" s="885"/>
    </row>
    <row r="2" spans="1:14" ht="15.75" thickBot="1" x14ac:dyDescent="0.3">
      <c r="D2" s="260"/>
    </row>
    <row r="3" spans="1:14" ht="16.5" thickTop="1" thickBot="1" x14ac:dyDescent="0.3">
      <c r="A3" s="262" t="s">
        <v>8</v>
      </c>
      <c r="B3" s="262" t="s">
        <v>16</v>
      </c>
      <c r="C3" s="263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675"/>
    </row>
    <row r="4" spans="1:14" ht="15.75" thickTop="1" x14ac:dyDescent="0.25">
      <c r="A4" s="787" t="s">
        <v>1173</v>
      </c>
      <c r="B4" s="848" t="s">
        <v>1533</v>
      </c>
      <c r="C4" s="775">
        <v>43009</v>
      </c>
      <c r="D4" s="270">
        <v>4915</v>
      </c>
      <c r="E4" s="776">
        <v>178.4</v>
      </c>
      <c r="F4" s="777">
        <v>49</v>
      </c>
      <c r="G4" s="39">
        <f>F4*E4+20.6*30</f>
        <v>9359.6</v>
      </c>
      <c r="H4" s="31">
        <v>43019</v>
      </c>
      <c r="I4" s="62" t="s">
        <v>1172</v>
      </c>
    </row>
    <row r="5" spans="1:14" x14ac:dyDescent="0.25">
      <c r="A5" s="787" t="s">
        <v>1220</v>
      </c>
      <c r="B5" s="848" t="s">
        <v>1281</v>
      </c>
      <c r="C5" s="775">
        <v>43009</v>
      </c>
      <c r="D5" s="270">
        <v>4916</v>
      </c>
      <c r="E5" s="776">
        <v>45885</v>
      </c>
      <c r="F5" s="777">
        <v>1</v>
      </c>
      <c r="G5" s="39">
        <f t="shared" ref="G5:G6" si="0">F5*E5</f>
        <v>45885</v>
      </c>
      <c r="H5" s="31">
        <v>43029</v>
      </c>
      <c r="I5" s="62" t="s">
        <v>1172</v>
      </c>
    </row>
    <row r="6" spans="1:14" x14ac:dyDescent="0.25">
      <c r="A6" s="787" t="s">
        <v>1477</v>
      </c>
      <c r="B6" s="848" t="s">
        <v>206</v>
      </c>
      <c r="C6" s="775">
        <v>43010</v>
      </c>
      <c r="D6" s="270">
        <v>4917</v>
      </c>
      <c r="E6" s="776">
        <v>1626.9</v>
      </c>
      <c r="F6" s="777">
        <v>66</v>
      </c>
      <c r="G6" s="39">
        <f t="shared" si="0"/>
        <v>107375.40000000001</v>
      </c>
      <c r="H6" s="31">
        <v>43019</v>
      </c>
      <c r="I6" s="62" t="s">
        <v>1172</v>
      </c>
    </row>
    <row r="7" spans="1:14" x14ac:dyDescent="0.25">
      <c r="A7" s="268" t="s">
        <v>1173</v>
      </c>
      <c r="B7" s="183" t="s">
        <v>1533</v>
      </c>
      <c r="C7" s="269">
        <v>43010</v>
      </c>
      <c r="D7" s="270">
        <v>4918</v>
      </c>
      <c r="E7" s="261">
        <v>77.099999999999994</v>
      </c>
      <c r="F7" s="29">
        <v>49</v>
      </c>
      <c r="G7" s="39">
        <f t="shared" ref="G7:G125" si="1">F7*E7</f>
        <v>3777.8999999999996</v>
      </c>
      <c r="H7" s="31">
        <v>43010</v>
      </c>
      <c r="I7" s="62" t="s">
        <v>1172</v>
      </c>
      <c r="L7" s="195"/>
      <c r="M7" s="195"/>
      <c r="N7" s="195"/>
    </row>
    <row r="8" spans="1:14" x14ac:dyDescent="0.25">
      <c r="A8" s="268" t="s">
        <v>1211</v>
      </c>
      <c r="B8" s="183" t="s">
        <v>1291</v>
      </c>
      <c r="C8" s="269">
        <v>43010</v>
      </c>
      <c r="D8" s="270">
        <v>4919</v>
      </c>
      <c r="E8" s="261">
        <v>125.61</v>
      </c>
      <c r="F8" s="29">
        <v>70</v>
      </c>
      <c r="G8" s="39">
        <f t="shared" si="1"/>
        <v>8792.7000000000007</v>
      </c>
      <c r="H8" s="31">
        <v>43010</v>
      </c>
      <c r="I8" s="62" t="s">
        <v>1172</v>
      </c>
      <c r="L8" s="195"/>
      <c r="M8" s="195"/>
      <c r="N8" s="195"/>
    </row>
    <row r="9" spans="1:14" ht="47.25" x14ac:dyDescent="0.25">
      <c r="A9" s="273" t="s">
        <v>530</v>
      </c>
      <c r="B9" s="268" t="s">
        <v>809</v>
      </c>
      <c r="C9" s="438">
        <v>43010</v>
      </c>
      <c r="D9" s="618" t="s">
        <v>900</v>
      </c>
      <c r="E9" s="261">
        <v>110</v>
      </c>
      <c r="F9" s="29">
        <v>180</v>
      </c>
      <c r="G9" s="39">
        <f t="shared" si="1"/>
        <v>19800</v>
      </c>
      <c r="H9" s="459" t="s">
        <v>899</v>
      </c>
      <c r="I9" s="520">
        <v>43019</v>
      </c>
      <c r="J9" s="619" t="s">
        <v>902</v>
      </c>
      <c r="L9" s="195"/>
      <c r="M9" s="195"/>
      <c r="N9" s="195"/>
    </row>
    <row r="10" spans="1:14" x14ac:dyDescent="0.25">
      <c r="A10" s="273" t="s">
        <v>1171</v>
      </c>
      <c r="B10" s="268" t="s">
        <v>206</v>
      </c>
      <c r="C10" s="274">
        <v>43010</v>
      </c>
      <c r="D10" s="270">
        <v>4921</v>
      </c>
      <c r="E10" s="261">
        <v>1165.5999999999999</v>
      </c>
      <c r="F10" s="29">
        <v>68</v>
      </c>
      <c r="G10" s="39">
        <f t="shared" si="1"/>
        <v>79260.799999999988</v>
      </c>
      <c r="H10" s="31">
        <v>43017</v>
      </c>
      <c r="I10" s="62" t="s">
        <v>1172</v>
      </c>
      <c r="J10" s="619"/>
      <c r="L10" s="195"/>
      <c r="M10" s="195"/>
      <c r="N10" s="195"/>
    </row>
    <row r="11" spans="1:14" x14ac:dyDescent="0.25">
      <c r="A11" s="273" t="s">
        <v>1220</v>
      </c>
      <c r="B11" s="268" t="s">
        <v>1602</v>
      </c>
      <c r="C11" s="274">
        <v>43011</v>
      </c>
      <c r="D11" s="270">
        <f>D10+1</f>
        <v>4922</v>
      </c>
      <c r="E11" s="261">
        <v>183.6</v>
      </c>
      <c r="F11" s="29">
        <v>48</v>
      </c>
      <c r="G11" s="39">
        <f t="shared" si="1"/>
        <v>8812.7999999999993</v>
      </c>
      <c r="H11" s="31">
        <v>43029</v>
      </c>
      <c r="I11" s="62" t="s">
        <v>1172</v>
      </c>
      <c r="J11" s="619"/>
      <c r="L11" s="195"/>
      <c r="M11" s="195"/>
      <c r="N11" s="195"/>
    </row>
    <row r="12" spans="1:14" x14ac:dyDescent="0.25">
      <c r="A12" s="273" t="s">
        <v>1171</v>
      </c>
      <c r="B12" s="268" t="s">
        <v>206</v>
      </c>
      <c r="C12" s="274">
        <v>43011</v>
      </c>
      <c r="D12" s="270">
        <f t="shared" ref="D12:D64" si="2">D11+1</f>
        <v>4923</v>
      </c>
      <c r="E12" s="261">
        <v>1188.3</v>
      </c>
      <c r="F12" s="29">
        <v>68</v>
      </c>
      <c r="G12" s="39">
        <f t="shared" si="1"/>
        <v>80804.399999999994</v>
      </c>
      <c r="H12" s="31">
        <v>43011</v>
      </c>
      <c r="I12" s="62" t="s">
        <v>1172</v>
      </c>
      <c r="J12" s="619"/>
      <c r="L12" s="195"/>
      <c r="M12" s="195"/>
      <c r="N12" s="195"/>
    </row>
    <row r="13" spans="1:14" x14ac:dyDescent="0.25">
      <c r="A13" s="275" t="s">
        <v>1197</v>
      </c>
      <c r="B13" s="8" t="s">
        <v>1198</v>
      </c>
      <c r="C13" s="274">
        <v>43011</v>
      </c>
      <c r="D13" s="270">
        <f t="shared" si="2"/>
        <v>4924</v>
      </c>
      <c r="E13" s="261">
        <v>287.54000000000002</v>
      </c>
      <c r="F13" s="29">
        <v>52</v>
      </c>
      <c r="G13" s="39">
        <f t="shared" si="1"/>
        <v>14952.080000000002</v>
      </c>
      <c r="H13" s="31">
        <v>43015</v>
      </c>
      <c r="I13" s="62" t="s">
        <v>1172</v>
      </c>
      <c r="J13" s="619"/>
      <c r="L13" s="195"/>
      <c r="M13" s="195"/>
      <c r="N13" s="195"/>
    </row>
    <row r="14" spans="1:14" x14ac:dyDescent="0.25">
      <c r="A14" s="275" t="s">
        <v>1197</v>
      </c>
      <c r="B14" s="8" t="s">
        <v>1436</v>
      </c>
      <c r="C14" s="274">
        <v>43012</v>
      </c>
      <c r="D14" s="270">
        <f t="shared" si="2"/>
        <v>4925</v>
      </c>
      <c r="E14" s="261">
        <v>189.44</v>
      </c>
      <c r="F14" s="29">
        <v>48</v>
      </c>
      <c r="G14" s="39">
        <f t="shared" si="1"/>
        <v>9093.119999999999</v>
      </c>
      <c r="H14" s="31">
        <v>43015</v>
      </c>
      <c r="I14" s="62" t="s">
        <v>1172</v>
      </c>
      <c r="J14" s="619"/>
      <c r="L14" s="195"/>
      <c r="M14" s="195"/>
      <c r="N14" s="195"/>
    </row>
    <row r="15" spans="1:14" x14ac:dyDescent="0.25">
      <c r="A15" s="275" t="s">
        <v>1197</v>
      </c>
      <c r="B15" s="8" t="s">
        <v>1436</v>
      </c>
      <c r="C15" s="274">
        <v>43012</v>
      </c>
      <c r="D15" s="270">
        <f t="shared" si="2"/>
        <v>4926</v>
      </c>
      <c r="E15" s="261">
        <v>111.26</v>
      </c>
      <c r="F15" s="29">
        <v>48</v>
      </c>
      <c r="G15" s="39">
        <f t="shared" si="1"/>
        <v>5340.4800000000005</v>
      </c>
      <c r="H15" s="31">
        <v>43015</v>
      </c>
      <c r="I15" s="62" t="s">
        <v>1172</v>
      </c>
      <c r="J15" s="619"/>
      <c r="L15" s="195"/>
      <c r="M15" s="195"/>
      <c r="N15" s="195"/>
    </row>
    <row r="16" spans="1:14" x14ac:dyDescent="0.25">
      <c r="A16" s="275" t="s">
        <v>1180</v>
      </c>
      <c r="B16" s="8" t="s">
        <v>1214</v>
      </c>
      <c r="C16" s="274">
        <v>43012</v>
      </c>
      <c r="D16" s="270">
        <f t="shared" si="2"/>
        <v>4927</v>
      </c>
      <c r="E16" s="261">
        <v>440.1</v>
      </c>
      <c r="F16" s="843">
        <v>40</v>
      </c>
      <c r="G16" s="39">
        <f t="shared" si="1"/>
        <v>17604</v>
      </c>
      <c r="H16" s="31">
        <v>43012</v>
      </c>
      <c r="I16" s="62" t="s">
        <v>1172</v>
      </c>
      <c r="J16" s="619"/>
      <c r="L16" s="195"/>
      <c r="M16" s="195"/>
      <c r="N16" s="195"/>
    </row>
    <row r="17" spans="1:14" x14ac:dyDescent="0.25">
      <c r="A17" s="275" t="s">
        <v>1173</v>
      </c>
      <c r="B17" s="8" t="s">
        <v>1533</v>
      </c>
      <c r="C17" s="274">
        <v>43012</v>
      </c>
      <c r="D17" s="270">
        <f t="shared" si="2"/>
        <v>4928</v>
      </c>
      <c r="E17" s="261">
        <v>210</v>
      </c>
      <c r="F17" s="843">
        <v>30</v>
      </c>
      <c r="G17" s="39">
        <f>F17*E17+113*49</f>
        <v>11837</v>
      </c>
      <c r="H17" s="31">
        <v>43019</v>
      </c>
      <c r="I17" s="62" t="s">
        <v>1172</v>
      </c>
      <c r="J17" s="619"/>
      <c r="L17" s="195"/>
      <c r="M17" s="195"/>
      <c r="N17" s="195"/>
    </row>
    <row r="18" spans="1:14" x14ac:dyDescent="0.25">
      <c r="A18" s="275" t="s">
        <v>1197</v>
      </c>
      <c r="B18" s="8" t="s">
        <v>1198</v>
      </c>
      <c r="C18" s="274">
        <v>43012</v>
      </c>
      <c r="D18" s="270">
        <f t="shared" si="2"/>
        <v>4929</v>
      </c>
      <c r="E18" s="261">
        <v>31.24</v>
      </c>
      <c r="F18" s="843">
        <v>52</v>
      </c>
      <c r="G18" s="39">
        <f t="shared" si="1"/>
        <v>1624.48</v>
      </c>
      <c r="H18" s="31">
        <v>43015</v>
      </c>
      <c r="I18" s="62" t="s">
        <v>1172</v>
      </c>
      <c r="J18" s="619"/>
      <c r="L18" s="195"/>
      <c r="M18" s="195"/>
      <c r="N18" s="195"/>
    </row>
    <row r="19" spans="1:14" x14ac:dyDescent="0.25">
      <c r="A19" s="275" t="s">
        <v>1364</v>
      </c>
      <c r="B19" s="8" t="s">
        <v>1258</v>
      </c>
      <c r="C19" s="274">
        <v>43012</v>
      </c>
      <c r="D19" s="270">
        <f t="shared" si="2"/>
        <v>4930</v>
      </c>
      <c r="E19" s="261">
        <v>621.4</v>
      </c>
      <c r="F19" s="843">
        <v>15</v>
      </c>
      <c r="G19" s="39">
        <f t="shared" si="1"/>
        <v>9321</v>
      </c>
      <c r="H19" s="31">
        <v>43012</v>
      </c>
      <c r="I19" s="62" t="s">
        <v>1172</v>
      </c>
      <c r="J19" s="619"/>
      <c r="L19" s="195"/>
      <c r="M19" s="195"/>
      <c r="N19" s="195"/>
    </row>
    <row r="20" spans="1:14" x14ac:dyDescent="0.25">
      <c r="A20" s="275" t="s">
        <v>1173</v>
      </c>
      <c r="B20" s="8" t="s">
        <v>1222</v>
      </c>
      <c r="C20" s="274">
        <v>43012</v>
      </c>
      <c r="D20" s="270">
        <f t="shared" si="2"/>
        <v>4931</v>
      </c>
      <c r="E20" s="261">
        <v>2000</v>
      </c>
      <c r="F20" s="843">
        <v>17</v>
      </c>
      <c r="G20" s="39">
        <f t="shared" si="1"/>
        <v>34000</v>
      </c>
      <c r="H20" s="31">
        <v>43019</v>
      </c>
      <c r="I20" s="62" t="s">
        <v>1172</v>
      </c>
      <c r="J20" s="619"/>
      <c r="L20" s="195"/>
      <c r="M20" s="195"/>
      <c r="N20" s="195"/>
    </row>
    <row r="21" spans="1:14" x14ac:dyDescent="0.25">
      <c r="A21" s="275" t="s">
        <v>1220</v>
      </c>
      <c r="B21" s="8" t="s">
        <v>1281</v>
      </c>
      <c r="C21" s="274">
        <v>43012</v>
      </c>
      <c r="D21" s="270">
        <f t="shared" si="2"/>
        <v>4932</v>
      </c>
      <c r="E21" s="261">
        <v>37097</v>
      </c>
      <c r="F21" s="843">
        <v>1</v>
      </c>
      <c r="G21" s="39">
        <f t="shared" si="1"/>
        <v>37097</v>
      </c>
      <c r="H21" s="31">
        <v>43029</v>
      </c>
      <c r="I21" s="62" t="s">
        <v>1172</v>
      </c>
      <c r="J21" s="619"/>
      <c r="L21" s="195"/>
      <c r="M21" s="195"/>
      <c r="N21" s="195"/>
    </row>
    <row r="22" spans="1:14" x14ac:dyDescent="0.25">
      <c r="A22" s="275" t="s">
        <v>1477</v>
      </c>
      <c r="B22" s="8" t="s">
        <v>206</v>
      </c>
      <c r="C22" s="274">
        <v>43013</v>
      </c>
      <c r="D22" s="270">
        <f t="shared" si="2"/>
        <v>4933</v>
      </c>
      <c r="E22" s="261">
        <v>1877.3</v>
      </c>
      <c r="F22" s="843">
        <v>68</v>
      </c>
      <c r="G22" s="39">
        <f t="shared" si="1"/>
        <v>127656.4</v>
      </c>
      <c r="H22" s="31">
        <v>43015</v>
      </c>
      <c r="I22" s="62" t="s">
        <v>1172</v>
      </c>
      <c r="J22" s="619"/>
      <c r="L22" s="195"/>
      <c r="M22" s="195"/>
      <c r="N22" s="195"/>
    </row>
    <row r="23" spans="1:14" x14ac:dyDescent="0.25">
      <c r="A23" s="275" t="s">
        <v>1197</v>
      </c>
      <c r="B23" s="8" t="s">
        <v>1198</v>
      </c>
      <c r="C23" s="274">
        <v>43013</v>
      </c>
      <c r="D23" s="270">
        <f t="shared" si="2"/>
        <v>4934</v>
      </c>
      <c r="E23" s="261">
        <v>29.4</v>
      </c>
      <c r="F23" s="843">
        <v>52</v>
      </c>
      <c r="G23" s="39">
        <f t="shared" si="1"/>
        <v>1528.8</v>
      </c>
      <c r="H23" s="31">
        <v>43022</v>
      </c>
      <c r="I23" s="62" t="s">
        <v>1172</v>
      </c>
      <c r="J23" s="619"/>
      <c r="L23" s="195"/>
      <c r="M23" s="195"/>
      <c r="N23" s="195"/>
    </row>
    <row r="24" spans="1:14" x14ac:dyDescent="0.25">
      <c r="A24" s="275" t="s">
        <v>1373</v>
      </c>
      <c r="B24" s="8" t="s">
        <v>1585</v>
      </c>
      <c r="C24" s="274">
        <v>43013</v>
      </c>
      <c r="D24" s="270">
        <f t="shared" si="2"/>
        <v>4935</v>
      </c>
      <c r="E24" s="261">
        <v>210.5</v>
      </c>
      <c r="F24" s="843">
        <v>20</v>
      </c>
      <c r="G24" s="39">
        <f t="shared" si="1"/>
        <v>4210</v>
      </c>
      <c r="H24" s="31">
        <v>43013</v>
      </c>
      <c r="I24" s="62" t="s">
        <v>1172</v>
      </c>
      <c r="J24" s="619"/>
      <c r="L24" s="195"/>
      <c r="M24" s="195"/>
      <c r="N24" s="195"/>
    </row>
    <row r="25" spans="1:14" ht="30" x14ac:dyDescent="0.25">
      <c r="A25" s="275" t="s">
        <v>1171</v>
      </c>
      <c r="B25" s="8" t="s">
        <v>206</v>
      </c>
      <c r="C25" s="274">
        <v>43013</v>
      </c>
      <c r="D25" s="270">
        <f t="shared" si="2"/>
        <v>4936</v>
      </c>
      <c r="E25" s="261">
        <v>3095.1</v>
      </c>
      <c r="F25" s="843">
        <v>68</v>
      </c>
      <c r="G25" s="39">
        <f t="shared" si="1"/>
        <v>210466.8</v>
      </c>
      <c r="H25" s="718" t="s">
        <v>1593</v>
      </c>
      <c r="I25" s="62" t="s">
        <v>1172</v>
      </c>
      <c r="J25" s="849"/>
      <c r="K25" s="850"/>
      <c r="L25" s="195"/>
      <c r="M25" s="195"/>
      <c r="N25" s="195"/>
    </row>
    <row r="26" spans="1:14" x14ac:dyDescent="0.25">
      <c r="A26" s="275" t="s">
        <v>1208</v>
      </c>
      <c r="B26" s="8" t="s">
        <v>206</v>
      </c>
      <c r="C26" s="274">
        <v>43014</v>
      </c>
      <c r="D26" s="270">
        <f t="shared" si="2"/>
        <v>4937</v>
      </c>
      <c r="E26" s="261">
        <v>951</v>
      </c>
      <c r="F26" s="843">
        <v>67</v>
      </c>
      <c r="G26" s="39">
        <f t="shared" si="1"/>
        <v>63717</v>
      </c>
      <c r="H26" s="31">
        <v>43015</v>
      </c>
      <c r="I26" s="62" t="s">
        <v>1172</v>
      </c>
      <c r="J26" s="619"/>
      <c r="L26" s="195"/>
      <c r="M26" s="195"/>
      <c r="N26" s="195"/>
    </row>
    <row r="27" spans="1:14" x14ac:dyDescent="0.25">
      <c r="A27" s="275" t="s">
        <v>1588</v>
      </c>
      <c r="B27" s="8" t="s">
        <v>1589</v>
      </c>
      <c r="C27" s="274">
        <v>43014</v>
      </c>
      <c r="D27" s="270">
        <f t="shared" si="2"/>
        <v>4938</v>
      </c>
      <c r="E27" s="261">
        <v>106</v>
      </c>
      <c r="F27" s="843">
        <v>44</v>
      </c>
      <c r="G27" s="39">
        <f t="shared" si="1"/>
        <v>4664</v>
      </c>
      <c r="H27" s="31">
        <v>43018</v>
      </c>
      <c r="I27" s="62" t="s">
        <v>1172</v>
      </c>
      <c r="J27" s="619"/>
      <c r="L27" s="195"/>
      <c r="M27" s="195"/>
      <c r="N27" s="195"/>
    </row>
    <row r="28" spans="1:14" x14ac:dyDescent="0.25">
      <c r="A28" s="275" t="s">
        <v>1197</v>
      </c>
      <c r="B28" s="8" t="s">
        <v>1198</v>
      </c>
      <c r="C28" s="274">
        <v>43014</v>
      </c>
      <c r="D28" s="270">
        <f t="shared" si="2"/>
        <v>4939</v>
      </c>
      <c r="E28" s="261">
        <v>32.44</v>
      </c>
      <c r="F28" s="843">
        <v>52</v>
      </c>
      <c r="G28" s="39">
        <f t="shared" si="1"/>
        <v>1686.8799999999999</v>
      </c>
      <c r="H28" s="31">
        <v>43022</v>
      </c>
      <c r="I28" s="62" t="s">
        <v>1172</v>
      </c>
      <c r="J28" s="619"/>
      <c r="L28" s="195"/>
      <c r="M28" s="195"/>
      <c r="N28" s="195"/>
    </row>
    <row r="29" spans="1:14" x14ac:dyDescent="0.25">
      <c r="A29" s="275" t="s">
        <v>1182</v>
      </c>
      <c r="B29" s="8" t="s">
        <v>1348</v>
      </c>
      <c r="C29" s="274">
        <v>43014</v>
      </c>
      <c r="D29" s="270">
        <f t="shared" si="2"/>
        <v>4940</v>
      </c>
      <c r="E29" s="261">
        <v>38885</v>
      </c>
      <c r="F29" s="843">
        <v>1</v>
      </c>
      <c r="G29" s="39">
        <f t="shared" si="1"/>
        <v>38885</v>
      </c>
      <c r="H29" s="31">
        <v>43014</v>
      </c>
      <c r="I29" s="62" t="s">
        <v>1172</v>
      </c>
      <c r="J29" s="619"/>
      <c r="L29" s="195"/>
      <c r="M29" s="195"/>
      <c r="N29" s="195"/>
    </row>
    <row r="30" spans="1:14" x14ac:dyDescent="0.25">
      <c r="A30" s="275" t="s">
        <v>1171</v>
      </c>
      <c r="B30" s="8" t="s">
        <v>206</v>
      </c>
      <c r="C30" s="274">
        <v>43014</v>
      </c>
      <c r="D30" s="270">
        <f t="shared" si="2"/>
        <v>4941</v>
      </c>
      <c r="E30" s="261">
        <v>696.7</v>
      </c>
      <c r="F30" s="843">
        <v>68</v>
      </c>
      <c r="G30" s="39">
        <f t="shared" si="1"/>
        <v>47375.600000000006</v>
      </c>
      <c r="H30" s="31">
        <v>43015</v>
      </c>
      <c r="I30" s="62" t="s">
        <v>1172</v>
      </c>
      <c r="J30" s="619"/>
      <c r="L30" s="195"/>
      <c r="M30" s="195"/>
      <c r="N30" s="195"/>
    </row>
    <row r="31" spans="1:14" x14ac:dyDescent="0.25">
      <c r="A31" s="275" t="s">
        <v>1477</v>
      </c>
      <c r="B31" s="8" t="s">
        <v>1590</v>
      </c>
      <c r="C31" s="274">
        <v>43014</v>
      </c>
      <c r="D31" s="270">
        <f t="shared" si="2"/>
        <v>4942</v>
      </c>
      <c r="E31" s="261">
        <v>50.9</v>
      </c>
      <c r="F31" s="843">
        <v>42</v>
      </c>
      <c r="G31" s="39">
        <f t="shared" si="1"/>
        <v>2137.7999999999997</v>
      </c>
      <c r="H31" s="31">
        <v>43019</v>
      </c>
      <c r="I31" s="62" t="s">
        <v>1172</v>
      </c>
      <c r="J31" s="619"/>
      <c r="L31" s="195"/>
      <c r="M31" s="195"/>
      <c r="N31" s="195"/>
    </row>
    <row r="32" spans="1:14" x14ac:dyDescent="0.25">
      <c r="A32" s="275" t="s">
        <v>1197</v>
      </c>
      <c r="B32" s="8" t="s">
        <v>1198</v>
      </c>
      <c r="C32" s="274">
        <v>43015</v>
      </c>
      <c r="D32" s="270">
        <f t="shared" si="2"/>
        <v>4943</v>
      </c>
      <c r="E32" s="261">
        <v>68.22</v>
      </c>
      <c r="F32" s="843">
        <v>52</v>
      </c>
      <c r="G32" s="39">
        <f t="shared" si="1"/>
        <v>3547.44</v>
      </c>
      <c r="H32" s="31">
        <v>43022</v>
      </c>
      <c r="I32" s="62" t="s">
        <v>1172</v>
      </c>
      <c r="J32" s="619"/>
      <c r="L32" s="195"/>
      <c r="M32" s="195"/>
      <c r="N32" s="195"/>
    </row>
    <row r="33" spans="1:14" x14ac:dyDescent="0.25">
      <c r="A33" s="275" t="s">
        <v>1206</v>
      </c>
      <c r="B33" s="8" t="s">
        <v>1207</v>
      </c>
      <c r="C33" s="274">
        <v>43015</v>
      </c>
      <c r="D33" s="270">
        <f t="shared" si="2"/>
        <v>4944</v>
      </c>
      <c r="E33" s="261">
        <v>123.2</v>
      </c>
      <c r="F33" s="843">
        <v>69</v>
      </c>
      <c r="G33" s="39">
        <f t="shared" si="1"/>
        <v>8500.8000000000011</v>
      </c>
      <c r="H33" s="31">
        <v>43015</v>
      </c>
      <c r="I33" s="62" t="s">
        <v>1172</v>
      </c>
      <c r="J33" s="619"/>
      <c r="L33" s="195"/>
      <c r="M33" s="195"/>
      <c r="N33" s="195"/>
    </row>
    <row r="34" spans="1:14" x14ac:dyDescent="0.25">
      <c r="A34" s="275" t="s">
        <v>1257</v>
      </c>
      <c r="B34" s="8" t="s">
        <v>1183</v>
      </c>
      <c r="C34" s="274">
        <v>43015</v>
      </c>
      <c r="D34" s="270">
        <f t="shared" si="2"/>
        <v>4945</v>
      </c>
      <c r="E34" s="261">
        <v>2427.5</v>
      </c>
      <c r="F34" s="843">
        <v>1</v>
      </c>
      <c r="G34" s="39">
        <f t="shared" si="1"/>
        <v>2427.5</v>
      </c>
      <c r="H34" s="31">
        <v>43017</v>
      </c>
      <c r="I34" s="62" t="s">
        <v>1172</v>
      </c>
      <c r="J34" s="619"/>
      <c r="L34" s="195"/>
      <c r="M34" s="195"/>
      <c r="N34" s="195"/>
    </row>
    <row r="35" spans="1:14" x14ac:dyDescent="0.25">
      <c r="A35" s="275" t="s">
        <v>1220</v>
      </c>
      <c r="B35" s="8" t="s">
        <v>1582</v>
      </c>
      <c r="C35" s="274">
        <v>43015</v>
      </c>
      <c r="D35" s="270">
        <f t="shared" si="2"/>
        <v>4946</v>
      </c>
      <c r="E35" s="261">
        <v>49.8</v>
      </c>
      <c r="F35" s="843">
        <v>38</v>
      </c>
      <c r="G35" s="39">
        <f t="shared" si="1"/>
        <v>1892.3999999999999</v>
      </c>
      <c r="H35" s="31">
        <v>43029</v>
      </c>
      <c r="I35" s="62" t="s">
        <v>1172</v>
      </c>
      <c r="J35" s="619"/>
      <c r="L35" s="195"/>
      <c r="M35" s="195"/>
      <c r="N35" s="195"/>
    </row>
    <row r="36" spans="1:14" x14ac:dyDescent="0.25">
      <c r="A36" s="275" t="s">
        <v>1197</v>
      </c>
      <c r="B36" s="8" t="s">
        <v>1198</v>
      </c>
      <c r="C36" s="274">
        <v>43017</v>
      </c>
      <c r="D36" s="270">
        <f t="shared" si="2"/>
        <v>4947</v>
      </c>
      <c r="E36" s="261">
        <v>93.7</v>
      </c>
      <c r="F36" s="843">
        <v>52</v>
      </c>
      <c r="G36" s="39">
        <f t="shared" si="1"/>
        <v>4872.4000000000005</v>
      </c>
      <c r="H36" s="31">
        <v>43022</v>
      </c>
      <c r="I36" s="62" t="s">
        <v>1172</v>
      </c>
      <c r="J36" s="619"/>
      <c r="L36" s="195"/>
      <c r="M36" s="195"/>
      <c r="N36" s="195"/>
    </row>
    <row r="37" spans="1:14" x14ac:dyDescent="0.25">
      <c r="A37" s="275" t="s">
        <v>1278</v>
      </c>
      <c r="B37" s="8" t="s">
        <v>1329</v>
      </c>
      <c r="C37" s="274">
        <v>43017</v>
      </c>
      <c r="D37" s="270">
        <f t="shared" si="2"/>
        <v>4948</v>
      </c>
      <c r="E37" s="261">
        <v>100.4</v>
      </c>
      <c r="F37" s="843">
        <v>78</v>
      </c>
      <c r="G37" s="39">
        <f t="shared" si="1"/>
        <v>7831.2000000000007</v>
      </c>
      <c r="H37" s="31">
        <v>43017</v>
      </c>
      <c r="I37" s="62" t="s">
        <v>1587</v>
      </c>
      <c r="J37" s="619"/>
      <c r="L37" s="195"/>
      <c r="M37" s="195"/>
      <c r="N37" s="195"/>
    </row>
    <row r="38" spans="1:14" x14ac:dyDescent="0.25">
      <c r="A38" s="275" t="s">
        <v>1171</v>
      </c>
      <c r="B38" s="8" t="s">
        <v>206</v>
      </c>
      <c r="C38" s="274">
        <v>43017</v>
      </c>
      <c r="D38" s="270">
        <f t="shared" si="2"/>
        <v>4949</v>
      </c>
      <c r="E38" s="261">
        <v>729</v>
      </c>
      <c r="F38" s="843">
        <v>68</v>
      </c>
      <c r="G38" s="39">
        <f t="shared" si="1"/>
        <v>49572</v>
      </c>
      <c r="H38" s="31">
        <v>43017</v>
      </c>
      <c r="I38" s="62" t="s">
        <v>1172</v>
      </c>
      <c r="J38" s="619"/>
      <c r="L38" s="195"/>
      <c r="M38" s="195"/>
      <c r="N38" s="195"/>
    </row>
    <row r="39" spans="1:14" x14ac:dyDescent="0.25">
      <c r="A39" s="275" t="s">
        <v>1182</v>
      </c>
      <c r="B39" s="8" t="s">
        <v>1183</v>
      </c>
      <c r="C39" s="274">
        <v>43017</v>
      </c>
      <c r="D39" s="270">
        <f t="shared" si="2"/>
        <v>4950</v>
      </c>
      <c r="E39" s="261">
        <v>27.3</v>
      </c>
      <c r="F39" s="843">
        <v>80</v>
      </c>
      <c r="G39" s="39">
        <f t="shared" si="1"/>
        <v>2184</v>
      </c>
      <c r="H39" s="31">
        <v>43017</v>
      </c>
      <c r="I39" s="62" t="s">
        <v>1172</v>
      </c>
      <c r="J39" s="619"/>
      <c r="L39" s="195"/>
      <c r="M39" s="195"/>
      <c r="N39" s="195"/>
    </row>
    <row r="40" spans="1:14" x14ac:dyDescent="0.25">
      <c r="A40" s="275" t="s">
        <v>1182</v>
      </c>
      <c r="B40" s="8" t="s">
        <v>1183</v>
      </c>
      <c r="C40" s="274">
        <v>43018</v>
      </c>
      <c r="D40" s="270">
        <f t="shared" si="2"/>
        <v>4951</v>
      </c>
      <c r="E40" s="261">
        <v>29095</v>
      </c>
      <c r="F40" s="843">
        <v>1</v>
      </c>
      <c r="G40" s="39">
        <f t="shared" si="1"/>
        <v>29095</v>
      </c>
      <c r="H40" s="31">
        <v>43018</v>
      </c>
      <c r="I40" s="62" t="s">
        <v>1172</v>
      </c>
      <c r="J40" s="619"/>
      <c r="L40" s="195"/>
      <c r="M40" s="195"/>
      <c r="N40" s="195"/>
    </row>
    <row r="41" spans="1:14" x14ac:dyDescent="0.25">
      <c r="A41" s="275" t="s">
        <v>1173</v>
      </c>
      <c r="B41" s="8" t="s">
        <v>1533</v>
      </c>
      <c r="C41" s="274">
        <v>43017</v>
      </c>
      <c r="D41" s="270">
        <f t="shared" si="2"/>
        <v>4952</v>
      </c>
      <c r="E41" s="261">
        <v>335.6</v>
      </c>
      <c r="F41" s="843">
        <v>49</v>
      </c>
      <c r="G41" s="39">
        <f>F41*E41+183*56</f>
        <v>26692.400000000001</v>
      </c>
      <c r="H41" s="31">
        <v>43019</v>
      </c>
      <c r="I41" s="62" t="s">
        <v>1172</v>
      </c>
      <c r="J41" s="619"/>
      <c r="L41" s="195"/>
      <c r="M41" s="195"/>
      <c r="N41" s="195"/>
    </row>
    <row r="42" spans="1:14" x14ac:dyDescent="0.25">
      <c r="A42" s="275" t="s">
        <v>1184</v>
      </c>
      <c r="B42" s="8" t="s">
        <v>1594</v>
      </c>
      <c r="C42" s="274">
        <v>43017</v>
      </c>
      <c r="D42" s="270">
        <f t="shared" si="2"/>
        <v>4953</v>
      </c>
      <c r="E42" s="261">
        <v>1840.9</v>
      </c>
      <c r="F42" s="843">
        <v>66</v>
      </c>
      <c r="G42" s="39">
        <f t="shared" si="1"/>
        <v>121499.40000000001</v>
      </c>
      <c r="H42" s="31">
        <v>43022</v>
      </c>
      <c r="I42" s="62" t="s">
        <v>1172</v>
      </c>
      <c r="J42" s="619"/>
      <c r="L42" s="195"/>
      <c r="M42" s="195"/>
      <c r="N42" s="195"/>
    </row>
    <row r="43" spans="1:14" x14ac:dyDescent="0.25">
      <c r="A43" s="275" t="s">
        <v>1173</v>
      </c>
      <c r="B43" s="8" t="s">
        <v>1533</v>
      </c>
      <c r="C43" s="274">
        <v>43018</v>
      </c>
      <c r="D43" s="270">
        <f t="shared" si="2"/>
        <v>4954</v>
      </c>
      <c r="E43" s="261">
        <v>159.4</v>
      </c>
      <c r="F43" s="843">
        <v>30</v>
      </c>
      <c r="G43" s="39">
        <f>F43*E43+127.8*49</f>
        <v>11044.2</v>
      </c>
      <c r="H43" s="31">
        <v>43019</v>
      </c>
      <c r="I43" s="62" t="s">
        <v>1172</v>
      </c>
      <c r="J43" s="619"/>
      <c r="L43" s="195"/>
      <c r="M43" s="195"/>
      <c r="N43" s="195"/>
    </row>
    <row r="44" spans="1:14" x14ac:dyDescent="0.25">
      <c r="A44" s="275" t="s">
        <v>1171</v>
      </c>
      <c r="B44" s="8" t="s">
        <v>206</v>
      </c>
      <c r="C44" s="274">
        <v>43018</v>
      </c>
      <c r="D44" s="270">
        <f t="shared" si="2"/>
        <v>4955</v>
      </c>
      <c r="E44" s="261">
        <v>886.3</v>
      </c>
      <c r="F44" s="843">
        <v>68</v>
      </c>
      <c r="G44" s="39">
        <f t="shared" si="1"/>
        <v>60268.399999999994</v>
      </c>
      <c r="H44" s="31">
        <v>43018</v>
      </c>
      <c r="I44" s="62" t="s">
        <v>1172</v>
      </c>
      <c r="J44" s="619"/>
      <c r="L44" s="195"/>
      <c r="M44" s="195"/>
      <c r="N44" s="195"/>
    </row>
    <row r="45" spans="1:14" x14ac:dyDescent="0.25">
      <c r="A45" s="275" t="s">
        <v>1171</v>
      </c>
      <c r="B45" s="8" t="s">
        <v>206</v>
      </c>
      <c r="C45" s="274">
        <v>43020</v>
      </c>
      <c r="D45" s="270">
        <f t="shared" si="2"/>
        <v>4956</v>
      </c>
      <c r="E45" s="261">
        <v>321.60000000000002</v>
      </c>
      <c r="F45" s="843">
        <v>68</v>
      </c>
      <c r="G45" s="39">
        <f t="shared" si="1"/>
        <v>21868.800000000003</v>
      </c>
      <c r="H45" s="31">
        <v>43021</v>
      </c>
      <c r="I45" s="62" t="s">
        <v>1172</v>
      </c>
      <c r="J45" s="619"/>
      <c r="L45" s="195"/>
      <c r="M45" s="195"/>
      <c r="N45" s="195"/>
    </row>
    <row r="46" spans="1:14" x14ac:dyDescent="0.25">
      <c r="A46" s="275" t="s">
        <v>1182</v>
      </c>
      <c r="B46" s="8" t="s">
        <v>1183</v>
      </c>
      <c r="C46" s="274">
        <v>43020</v>
      </c>
      <c r="D46" s="270">
        <f t="shared" si="2"/>
        <v>4957</v>
      </c>
      <c r="E46" s="261">
        <v>22138</v>
      </c>
      <c r="F46" s="843">
        <v>1</v>
      </c>
      <c r="G46" s="39">
        <f t="shared" si="1"/>
        <v>22138</v>
      </c>
      <c r="H46" s="31">
        <v>43021</v>
      </c>
      <c r="I46" s="62" t="s">
        <v>1172</v>
      </c>
      <c r="J46" s="619"/>
      <c r="L46" s="195"/>
      <c r="M46" s="195"/>
      <c r="N46" s="195"/>
    </row>
    <row r="47" spans="1:14" x14ac:dyDescent="0.25">
      <c r="A47" s="275" t="s">
        <v>1182</v>
      </c>
      <c r="B47" s="8" t="s">
        <v>1369</v>
      </c>
      <c r="C47" s="274">
        <v>43020</v>
      </c>
      <c r="D47" s="270">
        <f t="shared" si="2"/>
        <v>4958</v>
      </c>
      <c r="E47" s="261">
        <v>6678</v>
      </c>
      <c r="F47" s="843">
        <v>1</v>
      </c>
      <c r="G47" s="39">
        <f t="shared" si="1"/>
        <v>6678</v>
      </c>
      <c r="H47" s="31">
        <v>43020</v>
      </c>
      <c r="I47" s="62" t="s">
        <v>1172</v>
      </c>
      <c r="J47" s="619"/>
      <c r="L47" s="195"/>
      <c r="M47" s="195"/>
      <c r="N47" s="195"/>
    </row>
    <row r="48" spans="1:14" x14ac:dyDescent="0.25">
      <c r="A48" s="275" t="s">
        <v>1220</v>
      </c>
      <c r="B48" s="8" t="s">
        <v>1281</v>
      </c>
      <c r="C48" s="274">
        <v>43020</v>
      </c>
      <c r="D48" s="270">
        <f t="shared" si="2"/>
        <v>4959</v>
      </c>
      <c r="E48" s="261">
        <v>22227</v>
      </c>
      <c r="F48" s="843">
        <v>1</v>
      </c>
      <c r="G48" s="39">
        <f t="shared" si="1"/>
        <v>22227</v>
      </c>
      <c r="H48" s="31">
        <v>43029</v>
      </c>
      <c r="I48" s="62" t="s">
        <v>1172</v>
      </c>
      <c r="J48" s="619"/>
      <c r="L48" s="195"/>
      <c r="M48" s="195"/>
      <c r="N48" s="195"/>
    </row>
    <row r="49" spans="1:14" x14ac:dyDescent="0.25">
      <c r="A49" s="275" t="s">
        <v>1173</v>
      </c>
      <c r="B49" s="8" t="s">
        <v>1533</v>
      </c>
      <c r="C49" s="274">
        <v>43020</v>
      </c>
      <c r="D49" s="270">
        <f t="shared" si="2"/>
        <v>4960</v>
      </c>
      <c r="E49" s="261">
        <v>20</v>
      </c>
      <c r="F49" s="843">
        <v>56</v>
      </c>
      <c r="G49" s="39">
        <f>F49*E49+40*30</f>
        <v>2320</v>
      </c>
      <c r="H49" s="31">
        <v>43020</v>
      </c>
      <c r="I49" s="62" t="s">
        <v>1172</v>
      </c>
      <c r="J49" s="619"/>
      <c r="L49" s="195"/>
      <c r="M49" s="195"/>
      <c r="N49" s="195"/>
    </row>
    <row r="50" spans="1:14" x14ac:dyDescent="0.25">
      <c r="A50" s="275" t="s">
        <v>706</v>
      </c>
      <c r="B50" s="8" t="s">
        <v>706</v>
      </c>
      <c r="C50" s="274">
        <v>43020</v>
      </c>
      <c r="D50" s="270">
        <f t="shared" si="2"/>
        <v>4961</v>
      </c>
      <c r="E50" s="261">
        <v>25</v>
      </c>
      <c r="F50" s="843">
        <v>88</v>
      </c>
      <c r="G50" s="39">
        <f t="shared" si="1"/>
        <v>2200</v>
      </c>
      <c r="H50" s="31">
        <v>43020</v>
      </c>
      <c r="I50" s="62" t="s">
        <v>1172</v>
      </c>
      <c r="J50" s="619"/>
      <c r="L50" s="195"/>
      <c r="M50" s="195"/>
      <c r="N50" s="195"/>
    </row>
    <row r="51" spans="1:14" x14ac:dyDescent="0.25">
      <c r="A51" s="275" t="s">
        <v>1171</v>
      </c>
      <c r="B51" s="8" t="s">
        <v>206</v>
      </c>
      <c r="C51" s="274">
        <v>43020</v>
      </c>
      <c r="D51" s="270">
        <f t="shared" si="2"/>
        <v>4962</v>
      </c>
      <c r="E51" s="261">
        <v>1114.5</v>
      </c>
      <c r="F51" s="843">
        <v>68</v>
      </c>
      <c r="G51" s="39">
        <f t="shared" si="1"/>
        <v>75786</v>
      </c>
      <c r="H51" s="31">
        <v>43022</v>
      </c>
      <c r="I51" s="62" t="s">
        <v>1172</v>
      </c>
      <c r="J51" s="619"/>
      <c r="L51" s="195"/>
      <c r="M51" s="195"/>
      <c r="N51" s="195"/>
    </row>
    <row r="52" spans="1:14" x14ac:dyDescent="0.25">
      <c r="A52" s="275" t="s">
        <v>1208</v>
      </c>
      <c r="B52" s="8" t="s">
        <v>206</v>
      </c>
      <c r="C52" s="274">
        <v>43021</v>
      </c>
      <c r="D52" s="270">
        <f t="shared" si="2"/>
        <v>4963</v>
      </c>
      <c r="E52" s="261">
        <v>802</v>
      </c>
      <c r="F52" s="843">
        <v>67</v>
      </c>
      <c r="G52" s="39">
        <f t="shared" si="1"/>
        <v>53734</v>
      </c>
      <c r="H52" s="31">
        <v>43031</v>
      </c>
      <c r="I52" s="62" t="s">
        <v>1172</v>
      </c>
      <c r="J52" s="619"/>
      <c r="L52" s="195"/>
      <c r="M52" s="195"/>
      <c r="N52" s="195"/>
    </row>
    <row r="53" spans="1:14" x14ac:dyDescent="0.25">
      <c r="A53" s="275" t="s">
        <v>1221</v>
      </c>
      <c r="B53" s="8" t="s">
        <v>248</v>
      </c>
      <c r="C53" s="274">
        <v>43021</v>
      </c>
      <c r="D53" s="270">
        <f t="shared" si="2"/>
        <v>4964</v>
      </c>
      <c r="E53" s="261">
        <v>150</v>
      </c>
      <c r="F53" s="843">
        <v>38</v>
      </c>
      <c r="G53" s="39">
        <f t="shared" si="1"/>
        <v>5700</v>
      </c>
      <c r="H53" s="31">
        <v>43021</v>
      </c>
      <c r="I53" s="62" t="s">
        <v>1172</v>
      </c>
      <c r="J53" s="619"/>
      <c r="L53" s="195"/>
      <c r="M53" s="195"/>
      <c r="N53" s="195"/>
    </row>
    <row r="54" spans="1:14" x14ac:dyDescent="0.25">
      <c r="A54" s="275" t="s">
        <v>1197</v>
      </c>
      <c r="B54" s="8" t="s">
        <v>1198</v>
      </c>
      <c r="C54" s="274">
        <v>43021</v>
      </c>
      <c r="D54" s="270">
        <f t="shared" si="2"/>
        <v>4965</v>
      </c>
      <c r="E54" s="261">
        <v>133.19999999999999</v>
      </c>
      <c r="F54" s="843">
        <v>52</v>
      </c>
      <c r="G54" s="39">
        <f t="shared" si="1"/>
        <v>6926.4</v>
      </c>
      <c r="H54" s="31">
        <v>43022</v>
      </c>
      <c r="I54" s="62" t="s">
        <v>1172</v>
      </c>
      <c r="J54" s="619"/>
      <c r="L54" s="195"/>
      <c r="M54" s="195"/>
      <c r="N54" s="195"/>
    </row>
    <row r="55" spans="1:14" x14ac:dyDescent="0.25">
      <c r="A55" s="275" t="s">
        <v>223</v>
      </c>
      <c r="C55" s="274"/>
      <c r="D55" s="270">
        <f t="shared" si="2"/>
        <v>4966</v>
      </c>
      <c r="F55" s="843"/>
      <c r="G55" s="39">
        <f t="shared" si="1"/>
        <v>0</v>
      </c>
      <c r="H55" s="31"/>
      <c r="J55" s="619"/>
      <c r="L55" s="195"/>
      <c r="M55" s="195"/>
      <c r="N55" s="195"/>
    </row>
    <row r="56" spans="1:14" x14ac:dyDescent="0.25">
      <c r="A56" s="275" t="s">
        <v>1173</v>
      </c>
      <c r="B56" s="8" t="s">
        <v>1533</v>
      </c>
      <c r="C56" s="274">
        <v>43021</v>
      </c>
      <c r="D56" s="270">
        <f t="shared" si="2"/>
        <v>4967</v>
      </c>
      <c r="E56" s="261">
        <v>133.6</v>
      </c>
      <c r="F56" s="843">
        <v>49</v>
      </c>
      <c r="G56" s="39">
        <f t="shared" si="1"/>
        <v>6546.4</v>
      </c>
      <c r="H56" s="31">
        <v>43024</v>
      </c>
      <c r="I56" s="62" t="s">
        <v>1172</v>
      </c>
      <c r="J56" s="619"/>
      <c r="L56" s="195"/>
      <c r="M56" s="195"/>
      <c r="N56" s="195"/>
    </row>
    <row r="57" spans="1:14" x14ac:dyDescent="0.25">
      <c r="A57" s="275" t="s">
        <v>1220</v>
      </c>
      <c r="B57" s="8" t="s">
        <v>1592</v>
      </c>
      <c r="C57" s="274">
        <v>43021</v>
      </c>
      <c r="D57" s="270">
        <f t="shared" si="2"/>
        <v>4968</v>
      </c>
      <c r="E57" s="261">
        <v>22710</v>
      </c>
      <c r="F57" s="843">
        <v>1</v>
      </c>
      <c r="G57" s="39">
        <f t="shared" si="1"/>
        <v>22710</v>
      </c>
      <c r="H57" s="31">
        <v>43021</v>
      </c>
      <c r="I57" s="62" t="s">
        <v>1172</v>
      </c>
      <c r="J57" s="619"/>
      <c r="L57" s="195"/>
      <c r="M57" s="195"/>
      <c r="N57" s="195"/>
    </row>
    <row r="58" spans="1:14" x14ac:dyDescent="0.25">
      <c r="A58" s="275" t="s">
        <v>1211</v>
      </c>
      <c r="B58" s="8" t="s">
        <v>1591</v>
      </c>
      <c r="C58" s="274">
        <v>43021</v>
      </c>
      <c r="D58" s="270">
        <f t="shared" si="2"/>
        <v>4969</v>
      </c>
      <c r="E58" s="261">
        <v>110.7</v>
      </c>
      <c r="F58" s="843">
        <v>33</v>
      </c>
      <c r="G58" s="39">
        <f t="shared" si="1"/>
        <v>3653.1</v>
      </c>
      <c r="H58" s="31">
        <v>43021</v>
      </c>
      <c r="I58" s="62" t="s">
        <v>1172</v>
      </c>
      <c r="J58" s="619"/>
      <c r="L58" s="195"/>
      <c r="M58" s="195"/>
      <c r="N58" s="195"/>
    </row>
    <row r="59" spans="1:14" x14ac:dyDescent="0.25">
      <c r="A59" s="275" t="s">
        <v>176</v>
      </c>
      <c r="C59" s="274"/>
      <c r="D59" s="270">
        <f t="shared" si="2"/>
        <v>4970</v>
      </c>
      <c r="F59" s="843"/>
      <c r="G59" s="39">
        <f t="shared" si="1"/>
        <v>0</v>
      </c>
      <c r="H59" s="31"/>
      <c r="J59" s="619"/>
      <c r="L59" s="195"/>
      <c r="M59" s="195"/>
      <c r="N59" s="195"/>
    </row>
    <row r="60" spans="1:14" ht="30" x14ac:dyDescent="0.25">
      <c r="A60" s="275" t="s">
        <v>1171</v>
      </c>
      <c r="B60" s="8" t="s">
        <v>206</v>
      </c>
      <c r="C60" s="274">
        <v>43022</v>
      </c>
      <c r="D60" s="270">
        <f t="shared" si="2"/>
        <v>4971</v>
      </c>
      <c r="E60" s="261">
        <v>680.4</v>
      </c>
      <c r="F60" s="843">
        <v>68</v>
      </c>
      <c r="G60" s="39">
        <f>F60*E60+241.2*66</f>
        <v>62186.399999999994</v>
      </c>
      <c r="H60" s="822" t="s">
        <v>1595</v>
      </c>
      <c r="I60" s="799" t="s">
        <v>1172</v>
      </c>
      <c r="J60" s="619"/>
      <c r="L60" s="195"/>
      <c r="M60" s="195"/>
      <c r="N60" s="195"/>
    </row>
    <row r="61" spans="1:14" x14ac:dyDescent="0.25">
      <c r="A61" s="275" t="s">
        <v>1206</v>
      </c>
      <c r="B61" s="8" t="s">
        <v>1207</v>
      </c>
      <c r="C61" s="274">
        <v>43022</v>
      </c>
      <c r="D61" s="270">
        <f t="shared" si="2"/>
        <v>4972</v>
      </c>
      <c r="E61" s="261">
        <v>137.4</v>
      </c>
      <c r="F61" s="843">
        <v>65.8</v>
      </c>
      <c r="G61" s="39">
        <f t="shared" si="1"/>
        <v>9040.92</v>
      </c>
      <c r="H61" s="31">
        <v>43022</v>
      </c>
      <c r="I61" s="62" t="s">
        <v>1172</v>
      </c>
      <c r="J61" s="619"/>
      <c r="L61" s="195"/>
      <c r="M61" s="195"/>
      <c r="N61" s="195"/>
    </row>
    <row r="62" spans="1:14" x14ac:dyDescent="0.25">
      <c r="A62" s="275" t="s">
        <v>1197</v>
      </c>
      <c r="B62" s="8" t="s">
        <v>1198</v>
      </c>
      <c r="C62" s="274">
        <v>43022</v>
      </c>
      <c r="D62" s="270">
        <f t="shared" si="2"/>
        <v>4973</v>
      </c>
      <c r="E62" s="261">
        <v>117.1</v>
      </c>
      <c r="F62" s="843">
        <v>52</v>
      </c>
      <c r="G62" s="39">
        <f t="shared" si="1"/>
        <v>6089.2</v>
      </c>
      <c r="H62" s="31">
        <v>43022</v>
      </c>
      <c r="I62" s="62" t="s">
        <v>1172</v>
      </c>
      <c r="J62" s="619"/>
      <c r="L62" s="195"/>
      <c r="M62" s="195"/>
      <c r="N62" s="195"/>
    </row>
    <row r="63" spans="1:14" x14ac:dyDescent="0.25">
      <c r="A63" s="275" t="s">
        <v>1171</v>
      </c>
      <c r="B63" s="8" t="s">
        <v>1597</v>
      </c>
      <c r="C63" s="274">
        <v>43022</v>
      </c>
      <c r="D63" s="270">
        <f t="shared" si="2"/>
        <v>4974</v>
      </c>
      <c r="E63" s="261">
        <v>1109.7</v>
      </c>
      <c r="F63" s="843">
        <v>68</v>
      </c>
      <c r="G63" s="39">
        <f>F63*E63+102*71</f>
        <v>82701.600000000006</v>
      </c>
      <c r="H63" s="31">
        <v>43027</v>
      </c>
      <c r="I63" s="62" t="s">
        <v>1172</v>
      </c>
      <c r="J63" s="619"/>
      <c r="L63" s="195"/>
      <c r="M63" s="195"/>
      <c r="N63" s="195"/>
    </row>
    <row r="64" spans="1:14" x14ac:dyDescent="0.25">
      <c r="A64" s="275" t="s">
        <v>1220</v>
      </c>
      <c r="B64" s="8" t="s">
        <v>1319</v>
      </c>
      <c r="C64" s="274">
        <v>43022</v>
      </c>
      <c r="D64" s="270">
        <f t="shared" si="2"/>
        <v>4975</v>
      </c>
      <c r="E64" s="261">
        <v>21682</v>
      </c>
      <c r="F64" s="843">
        <v>1</v>
      </c>
      <c r="G64" s="39">
        <f t="shared" si="1"/>
        <v>21682</v>
      </c>
      <c r="H64" s="31">
        <v>43082</v>
      </c>
      <c r="I64" s="62" t="s">
        <v>1172</v>
      </c>
      <c r="J64" s="619"/>
      <c r="L64" s="195"/>
      <c r="M64" s="195"/>
      <c r="N64" s="195"/>
    </row>
    <row r="65" spans="1:14" x14ac:dyDescent="0.25">
      <c r="A65" s="275" t="s">
        <v>530</v>
      </c>
      <c r="B65" s="8" t="s">
        <v>862</v>
      </c>
      <c r="C65" s="274">
        <v>43024</v>
      </c>
      <c r="D65" s="270" t="s">
        <v>901</v>
      </c>
      <c r="E65" s="261">
        <v>720.33</v>
      </c>
      <c r="F65" s="29">
        <v>31</v>
      </c>
      <c r="G65" s="39">
        <f t="shared" si="1"/>
        <v>22330.23</v>
      </c>
      <c r="H65" s="31" t="s">
        <v>899</v>
      </c>
      <c r="I65" s="62">
        <v>43032</v>
      </c>
      <c r="J65" s="619" t="s">
        <v>902</v>
      </c>
      <c r="L65" s="195"/>
      <c r="M65" s="195"/>
      <c r="N65" s="195"/>
    </row>
    <row r="66" spans="1:14" x14ac:dyDescent="0.25">
      <c r="A66" s="275" t="s">
        <v>530</v>
      </c>
      <c r="B66" s="8" t="s">
        <v>809</v>
      </c>
      <c r="C66" s="274">
        <v>43024</v>
      </c>
      <c r="D66" s="270" t="s">
        <v>901</v>
      </c>
      <c r="E66" s="261">
        <v>102</v>
      </c>
      <c r="F66" s="29">
        <v>170</v>
      </c>
      <c r="G66" s="39">
        <f t="shared" si="1"/>
        <v>17340</v>
      </c>
      <c r="H66" s="31" t="s">
        <v>899</v>
      </c>
      <c r="I66" s="62">
        <v>43032</v>
      </c>
      <c r="J66" s="619" t="s">
        <v>902</v>
      </c>
      <c r="L66" s="195"/>
      <c r="M66" s="195"/>
      <c r="N66" s="195"/>
    </row>
    <row r="67" spans="1:14" x14ac:dyDescent="0.25">
      <c r="A67" s="275" t="s">
        <v>1171</v>
      </c>
      <c r="B67" s="8" t="s">
        <v>206</v>
      </c>
      <c r="C67" s="274">
        <v>43024</v>
      </c>
      <c r="D67" s="270">
        <v>4977</v>
      </c>
      <c r="E67" s="261">
        <v>1414.6</v>
      </c>
      <c r="F67" s="29">
        <v>68</v>
      </c>
      <c r="G67" s="39">
        <f t="shared" si="1"/>
        <v>96192.799999999988</v>
      </c>
      <c r="H67" s="31">
        <v>43028</v>
      </c>
      <c r="I67" s="62" t="s">
        <v>1172</v>
      </c>
      <c r="J67" s="619"/>
      <c r="L67" s="195"/>
      <c r="M67" s="195"/>
      <c r="N67" s="195"/>
    </row>
    <row r="68" spans="1:14" x14ac:dyDescent="0.25">
      <c r="A68" s="275" t="s">
        <v>1197</v>
      </c>
      <c r="B68" s="8" t="s">
        <v>1198</v>
      </c>
      <c r="C68" s="274">
        <v>43024</v>
      </c>
      <c r="D68" s="270">
        <v>4978</v>
      </c>
      <c r="E68" s="261">
        <v>79.5</v>
      </c>
      <c r="F68" s="29">
        <v>52</v>
      </c>
      <c r="G68" s="39">
        <f t="shared" si="1"/>
        <v>4134</v>
      </c>
      <c r="H68" s="31">
        <v>43033</v>
      </c>
      <c r="I68" s="62" t="s">
        <v>1172</v>
      </c>
      <c r="L68" s="195"/>
      <c r="M68" s="195"/>
      <c r="N68" s="195"/>
    </row>
    <row r="69" spans="1:14" x14ac:dyDescent="0.25">
      <c r="A69" s="273" t="s">
        <v>1173</v>
      </c>
      <c r="B69" s="268" t="s">
        <v>1533</v>
      </c>
      <c r="C69" s="274">
        <v>43025</v>
      </c>
      <c r="D69" s="270">
        <v>4979</v>
      </c>
      <c r="E69" s="261">
        <v>71</v>
      </c>
      <c r="F69" s="29">
        <v>48</v>
      </c>
      <c r="G69" s="39">
        <f>F69*E69+52.6*30</f>
        <v>4986</v>
      </c>
      <c r="H69" s="31">
        <v>43026</v>
      </c>
      <c r="I69" s="62" t="s">
        <v>1172</v>
      </c>
      <c r="L69" s="195"/>
      <c r="M69" s="195"/>
      <c r="N69" s="195"/>
    </row>
    <row r="70" spans="1:14" x14ac:dyDescent="0.25">
      <c r="A70" s="277" t="s">
        <v>1228</v>
      </c>
      <c r="B70" s="268" t="s">
        <v>1212</v>
      </c>
      <c r="C70" s="278">
        <v>43025</v>
      </c>
      <c r="D70" s="270">
        <v>4980</v>
      </c>
      <c r="E70" s="261">
        <v>11.1</v>
      </c>
      <c r="F70" s="29">
        <v>49</v>
      </c>
      <c r="G70" s="39">
        <f t="shared" si="1"/>
        <v>543.9</v>
      </c>
      <c r="H70" s="31">
        <v>43026</v>
      </c>
      <c r="I70" s="62" t="s">
        <v>1172</v>
      </c>
      <c r="L70" s="195"/>
      <c r="M70" s="195"/>
      <c r="N70" s="195"/>
    </row>
    <row r="71" spans="1:14" x14ac:dyDescent="0.25">
      <c r="A71" s="273" t="s">
        <v>1588</v>
      </c>
      <c r="B71" s="268" t="s">
        <v>1198</v>
      </c>
      <c r="C71" s="274">
        <v>43024</v>
      </c>
      <c r="D71" s="270">
        <v>4981</v>
      </c>
      <c r="E71" s="261">
        <v>100</v>
      </c>
      <c r="F71" s="29">
        <v>58</v>
      </c>
      <c r="G71" s="39">
        <f t="shared" si="1"/>
        <v>5800</v>
      </c>
      <c r="H71" s="31">
        <v>43025</v>
      </c>
      <c r="I71" s="62" t="s">
        <v>1172</v>
      </c>
      <c r="L71" s="195"/>
      <c r="M71" s="195"/>
      <c r="N71" s="195"/>
    </row>
    <row r="72" spans="1:14" x14ac:dyDescent="0.25">
      <c r="A72" s="273" t="s">
        <v>1171</v>
      </c>
      <c r="B72" s="279" t="s">
        <v>206</v>
      </c>
      <c r="C72" s="274">
        <v>43025</v>
      </c>
      <c r="D72" s="270">
        <v>4982</v>
      </c>
      <c r="E72" s="261">
        <v>1013.2</v>
      </c>
      <c r="F72" s="29">
        <v>68</v>
      </c>
      <c r="G72" s="39">
        <f t="shared" si="1"/>
        <v>68897.600000000006</v>
      </c>
      <c r="H72" s="31">
        <v>43028</v>
      </c>
      <c r="I72" s="62" t="s">
        <v>1172</v>
      </c>
      <c r="L72" s="195"/>
      <c r="M72" s="195"/>
      <c r="N72" s="195"/>
    </row>
    <row r="73" spans="1:14" x14ac:dyDescent="0.25">
      <c r="A73" s="273" t="s">
        <v>1221</v>
      </c>
      <c r="B73" s="279" t="s">
        <v>248</v>
      </c>
      <c r="C73" s="274">
        <v>43026</v>
      </c>
      <c r="D73" s="270">
        <v>4983</v>
      </c>
      <c r="E73" s="261">
        <v>200</v>
      </c>
      <c r="F73" s="29">
        <v>38</v>
      </c>
      <c r="G73" s="39">
        <f t="shared" si="1"/>
        <v>7600</v>
      </c>
      <c r="H73" s="31">
        <v>43027</v>
      </c>
      <c r="I73" s="62" t="s">
        <v>1172</v>
      </c>
      <c r="L73" s="195"/>
      <c r="M73" s="195"/>
      <c r="N73" s="195"/>
    </row>
    <row r="74" spans="1:14" ht="15.75" x14ac:dyDescent="0.25">
      <c r="A74" s="273" t="s">
        <v>1173</v>
      </c>
      <c r="B74" s="280" t="s">
        <v>1533</v>
      </c>
      <c r="C74" s="274">
        <v>43026</v>
      </c>
      <c r="D74" s="270">
        <v>4984</v>
      </c>
      <c r="E74" s="261">
        <v>80</v>
      </c>
      <c r="F74" s="29">
        <v>30</v>
      </c>
      <c r="G74" s="39">
        <f>F74*E74+47.2*49</f>
        <v>4712.8</v>
      </c>
      <c r="H74" s="31">
        <v>43029</v>
      </c>
      <c r="I74" s="62" t="s">
        <v>1172</v>
      </c>
      <c r="L74" s="195"/>
      <c r="M74" s="195"/>
      <c r="N74" s="195"/>
    </row>
    <row r="75" spans="1:14" ht="15.75" x14ac:dyDescent="0.25">
      <c r="A75" s="273" t="s">
        <v>1182</v>
      </c>
      <c r="B75" s="280" t="s">
        <v>1436</v>
      </c>
      <c r="C75" s="274">
        <v>43026</v>
      </c>
      <c r="D75" s="270">
        <v>4985</v>
      </c>
      <c r="E75" s="261">
        <v>14270.4</v>
      </c>
      <c r="F75" s="209">
        <v>1</v>
      </c>
      <c r="G75" s="39">
        <f t="shared" si="1"/>
        <v>14270.4</v>
      </c>
      <c r="H75" s="31">
        <v>43026</v>
      </c>
      <c r="I75" s="62" t="s">
        <v>1172</v>
      </c>
      <c r="J75" s="198"/>
      <c r="K75" s="281"/>
      <c r="L75" s="195"/>
      <c r="M75" s="195"/>
      <c r="N75" s="195"/>
    </row>
    <row r="76" spans="1:14" x14ac:dyDescent="0.25">
      <c r="A76" s="282" t="s">
        <v>1171</v>
      </c>
      <c r="B76" s="283" t="s">
        <v>206</v>
      </c>
      <c r="C76" s="284">
        <v>43026</v>
      </c>
      <c r="D76" s="270">
        <v>4986</v>
      </c>
      <c r="E76" s="261">
        <v>1424.5</v>
      </c>
      <c r="F76" s="209">
        <v>68</v>
      </c>
      <c r="G76" s="39">
        <f t="shared" si="1"/>
        <v>96866</v>
      </c>
      <c r="H76" s="31">
        <v>43028</v>
      </c>
      <c r="I76" s="62" t="s">
        <v>1172</v>
      </c>
      <c r="J76" s="198"/>
      <c r="K76" s="281"/>
      <c r="L76" s="195"/>
      <c r="M76" s="195"/>
      <c r="N76" s="195"/>
    </row>
    <row r="77" spans="1:14" x14ac:dyDescent="0.25">
      <c r="A77" s="282" t="s">
        <v>1221</v>
      </c>
      <c r="B77" s="283" t="s">
        <v>1596</v>
      </c>
      <c r="C77" s="284">
        <v>43027</v>
      </c>
      <c r="D77" s="270">
        <v>4987</v>
      </c>
      <c r="E77" s="261">
        <v>200</v>
      </c>
      <c r="F77" s="209">
        <v>38</v>
      </c>
      <c r="G77" s="39">
        <f>F77*E77+38*35</f>
        <v>8930</v>
      </c>
      <c r="H77" s="31">
        <v>43027</v>
      </c>
      <c r="I77" s="62" t="s">
        <v>1172</v>
      </c>
      <c r="J77" s="198"/>
      <c r="K77" s="281"/>
      <c r="L77" s="195"/>
      <c r="M77" s="195"/>
      <c r="N77" s="195"/>
    </row>
    <row r="78" spans="1:14" x14ac:dyDescent="0.25">
      <c r="A78" s="282" t="s">
        <v>1173</v>
      </c>
      <c r="B78" s="283" t="s">
        <v>1599</v>
      </c>
      <c r="C78" s="284">
        <v>43026</v>
      </c>
      <c r="D78" s="270">
        <v>4988</v>
      </c>
      <c r="E78" s="261">
        <v>202</v>
      </c>
      <c r="F78" s="209">
        <v>49</v>
      </c>
      <c r="G78" s="39">
        <f>F78*E78+48.7*30+1000*17</f>
        <v>28359</v>
      </c>
      <c r="H78" s="31">
        <v>43029</v>
      </c>
      <c r="I78" s="62" t="s">
        <v>1172</v>
      </c>
      <c r="J78" s="198"/>
      <c r="K78" s="281"/>
      <c r="L78" s="195"/>
      <c r="M78" s="195"/>
      <c r="N78" s="195"/>
    </row>
    <row r="79" spans="1:14" x14ac:dyDescent="0.25">
      <c r="A79" s="282" t="s">
        <v>1180</v>
      </c>
      <c r="B79" s="279" t="s">
        <v>1214</v>
      </c>
      <c r="C79" s="284">
        <v>43026</v>
      </c>
      <c r="D79" s="270">
        <v>4989</v>
      </c>
      <c r="E79" s="261">
        <v>394</v>
      </c>
      <c r="F79" s="209">
        <v>43.5</v>
      </c>
      <c r="G79" s="39">
        <f t="shared" si="1"/>
        <v>17139</v>
      </c>
      <c r="H79" s="31">
        <v>43027</v>
      </c>
      <c r="I79" s="62" t="s">
        <v>1172</v>
      </c>
      <c r="J79" s="198"/>
      <c r="K79" s="281"/>
      <c r="L79" s="195"/>
      <c r="M79" s="195"/>
      <c r="N79" s="195"/>
    </row>
    <row r="80" spans="1:14" ht="30" x14ac:dyDescent="0.25">
      <c r="A80" s="282" t="s">
        <v>1171</v>
      </c>
      <c r="B80" s="279" t="s">
        <v>206</v>
      </c>
      <c r="C80" s="284">
        <v>43027</v>
      </c>
      <c r="D80" s="270">
        <v>4990</v>
      </c>
      <c r="E80" s="261">
        <v>3481.7</v>
      </c>
      <c r="F80" s="209">
        <v>68</v>
      </c>
      <c r="G80" s="39">
        <f t="shared" si="1"/>
        <v>236755.59999999998</v>
      </c>
      <c r="H80" s="718" t="s">
        <v>1603</v>
      </c>
      <c r="I80" s="62" t="s">
        <v>1172</v>
      </c>
      <c r="J80" s="851"/>
      <c r="K80" s="281"/>
      <c r="L80" s="195"/>
      <c r="M80" s="195"/>
      <c r="N80" s="195"/>
    </row>
    <row r="81" spans="1:14" x14ac:dyDescent="0.25">
      <c r="A81" s="282" t="s">
        <v>223</v>
      </c>
      <c r="B81" s="279"/>
      <c r="C81" s="284"/>
      <c r="D81" s="270">
        <v>4991</v>
      </c>
      <c r="F81" s="209"/>
      <c r="G81" s="39">
        <f t="shared" si="1"/>
        <v>0</v>
      </c>
      <c r="H81" s="31"/>
      <c r="J81" s="198"/>
      <c r="K81" s="281"/>
      <c r="L81" s="195"/>
      <c r="M81" s="195"/>
      <c r="N81" s="195"/>
    </row>
    <row r="82" spans="1:14" x14ac:dyDescent="0.25">
      <c r="A82" s="282" t="s">
        <v>1208</v>
      </c>
      <c r="B82" s="279" t="s">
        <v>206</v>
      </c>
      <c r="C82" s="284">
        <v>43028</v>
      </c>
      <c r="D82" s="270">
        <v>4992</v>
      </c>
      <c r="E82" s="261">
        <v>551</v>
      </c>
      <c r="F82" s="209">
        <v>67</v>
      </c>
      <c r="G82" s="39">
        <f t="shared" si="1"/>
        <v>36917</v>
      </c>
      <c r="H82" s="31">
        <v>43029</v>
      </c>
      <c r="I82" s="62" t="s">
        <v>1172</v>
      </c>
      <c r="J82" s="198"/>
      <c r="K82" s="281"/>
      <c r="L82" s="195"/>
      <c r="M82" s="195"/>
      <c r="N82" s="195"/>
    </row>
    <row r="83" spans="1:14" x14ac:dyDescent="0.25">
      <c r="A83" s="275" t="s">
        <v>1221</v>
      </c>
      <c r="B83" s="279" t="s">
        <v>1598</v>
      </c>
      <c r="C83" s="274">
        <v>43028</v>
      </c>
      <c r="D83" s="270">
        <v>4993</v>
      </c>
      <c r="E83" s="261">
        <v>200</v>
      </c>
      <c r="F83" s="209">
        <v>38</v>
      </c>
      <c r="G83" s="39">
        <f>F83*E83+149.6*35</f>
        <v>12836</v>
      </c>
      <c r="H83" s="31">
        <v>43028</v>
      </c>
      <c r="I83" s="62" t="s">
        <v>1172</v>
      </c>
      <c r="L83" s="195"/>
      <c r="M83" s="195"/>
      <c r="N83" s="195"/>
    </row>
    <row r="84" spans="1:14" x14ac:dyDescent="0.25">
      <c r="A84" s="275" t="s">
        <v>1182</v>
      </c>
      <c r="B84" s="279" t="s">
        <v>1183</v>
      </c>
      <c r="C84" s="274">
        <v>43028</v>
      </c>
      <c r="D84" s="270">
        <v>4994</v>
      </c>
      <c r="E84" s="261">
        <v>40516</v>
      </c>
      <c r="F84" s="209">
        <v>1</v>
      </c>
      <c r="G84" s="39">
        <f t="shared" si="1"/>
        <v>40516</v>
      </c>
      <c r="H84" s="31">
        <v>43028</v>
      </c>
      <c r="I84" s="62" t="s">
        <v>1172</v>
      </c>
      <c r="J84" s="286"/>
      <c r="L84" s="195"/>
      <c r="M84" s="195"/>
      <c r="N84" s="195"/>
    </row>
    <row r="85" spans="1:14" x14ac:dyDescent="0.25">
      <c r="A85" s="275" t="s">
        <v>1182</v>
      </c>
      <c r="B85" s="279" t="s">
        <v>1199</v>
      </c>
      <c r="C85" s="274">
        <v>43028</v>
      </c>
      <c r="D85" s="270">
        <v>4995</v>
      </c>
      <c r="E85" s="261">
        <v>18965</v>
      </c>
      <c r="F85" s="209">
        <v>1</v>
      </c>
      <c r="G85" s="39">
        <f t="shared" si="1"/>
        <v>18965</v>
      </c>
      <c r="H85" s="31">
        <v>43029</v>
      </c>
      <c r="I85" s="62" t="s">
        <v>1172</v>
      </c>
      <c r="J85" s="286"/>
      <c r="L85" s="195"/>
      <c r="M85" s="195"/>
      <c r="N85" s="195"/>
    </row>
    <row r="86" spans="1:14" s="8" customFormat="1" x14ac:dyDescent="0.25">
      <c r="A86" s="275" t="s">
        <v>1173</v>
      </c>
      <c r="B86" s="279" t="s">
        <v>1533</v>
      </c>
      <c r="C86" s="274">
        <v>43028</v>
      </c>
      <c r="D86" s="270">
        <v>4996</v>
      </c>
      <c r="E86" s="261">
        <v>81.3</v>
      </c>
      <c r="F86" s="209">
        <v>49</v>
      </c>
      <c r="G86" s="39">
        <f t="shared" si="1"/>
        <v>3983.7</v>
      </c>
      <c r="H86" s="31">
        <v>43029</v>
      </c>
      <c r="I86" s="519" t="s">
        <v>1172</v>
      </c>
      <c r="J86" s="195"/>
    </row>
    <row r="87" spans="1:14" s="8" customFormat="1" x14ac:dyDescent="0.25">
      <c r="A87" s="275" t="s">
        <v>1171</v>
      </c>
      <c r="B87" s="279" t="s">
        <v>206</v>
      </c>
      <c r="C87" s="274">
        <v>43028</v>
      </c>
      <c r="D87" s="270">
        <v>4997</v>
      </c>
      <c r="E87" s="261">
        <v>528.1</v>
      </c>
      <c r="F87" s="29">
        <v>68</v>
      </c>
      <c r="G87" s="39">
        <f t="shared" si="1"/>
        <v>35910.800000000003</v>
      </c>
      <c r="H87" s="31">
        <v>43032</v>
      </c>
      <c r="I87" s="519" t="s">
        <v>1172</v>
      </c>
      <c r="J87" s="195"/>
    </row>
    <row r="88" spans="1:14" s="8" customFormat="1" x14ac:dyDescent="0.25">
      <c r="A88" s="275" t="s">
        <v>1173</v>
      </c>
      <c r="B88" s="279" t="s">
        <v>1533</v>
      </c>
      <c r="C88" s="274">
        <v>43028</v>
      </c>
      <c r="D88" s="270">
        <v>4998</v>
      </c>
      <c r="E88" s="261">
        <v>170.7</v>
      </c>
      <c r="F88" s="29">
        <v>49</v>
      </c>
      <c r="G88" s="39">
        <f>F88*E88+103.4*30</f>
        <v>11466.3</v>
      </c>
      <c r="H88" s="31">
        <v>43029</v>
      </c>
      <c r="I88" s="519" t="s">
        <v>1172</v>
      </c>
      <c r="J88" s="195"/>
    </row>
    <row r="89" spans="1:14" s="8" customFormat="1" x14ac:dyDescent="0.25">
      <c r="A89" s="275" t="s">
        <v>1206</v>
      </c>
      <c r="B89" s="279" t="s">
        <v>1207</v>
      </c>
      <c r="C89" s="274">
        <v>43029</v>
      </c>
      <c r="D89" s="270">
        <v>4999</v>
      </c>
      <c r="E89" s="261">
        <v>103</v>
      </c>
      <c r="F89" s="29">
        <v>65.8</v>
      </c>
      <c r="G89" s="39">
        <f t="shared" si="1"/>
        <v>6777.4</v>
      </c>
      <c r="H89" s="31">
        <v>43029</v>
      </c>
      <c r="I89" s="519" t="s">
        <v>1172</v>
      </c>
      <c r="J89" s="195"/>
    </row>
    <row r="90" spans="1:14" s="8" customFormat="1" x14ac:dyDescent="0.25">
      <c r="A90" s="275" t="s">
        <v>1197</v>
      </c>
      <c r="B90" s="177" t="s">
        <v>1198</v>
      </c>
      <c r="C90" s="274">
        <v>43029</v>
      </c>
      <c r="D90" s="270">
        <v>5000</v>
      </c>
      <c r="E90" s="261">
        <v>167.3</v>
      </c>
      <c r="F90" s="29">
        <v>52</v>
      </c>
      <c r="G90" s="39">
        <f t="shared" si="1"/>
        <v>8699.6</v>
      </c>
      <c r="H90" s="31">
        <v>43033</v>
      </c>
      <c r="I90" s="62" t="s">
        <v>1172</v>
      </c>
      <c r="J90" s="195"/>
    </row>
    <row r="91" spans="1:14" x14ac:dyDescent="0.25">
      <c r="A91" s="275" t="s">
        <v>1171</v>
      </c>
      <c r="B91" s="177" t="s">
        <v>206</v>
      </c>
      <c r="C91" s="274">
        <v>43029</v>
      </c>
      <c r="D91" s="270">
        <v>5001</v>
      </c>
      <c r="E91" s="261">
        <v>1565</v>
      </c>
      <c r="F91" s="29">
        <v>68</v>
      </c>
      <c r="G91" s="39">
        <f t="shared" si="1"/>
        <v>106420</v>
      </c>
      <c r="H91" s="31">
        <v>43031</v>
      </c>
      <c r="I91" s="62" t="s">
        <v>1172</v>
      </c>
      <c r="L91" s="195"/>
      <c r="M91" s="195"/>
      <c r="N91" s="195"/>
    </row>
    <row r="92" spans="1:14" x14ac:dyDescent="0.25">
      <c r="A92" s="275" t="s">
        <v>1600</v>
      </c>
      <c r="B92" s="177" t="s">
        <v>1203</v>
      </c>
      <c r="C92" s="274">
        <v>43029</v>
      </c>
      <c r="D92" s="270">
        <v>5002</v>
      </c>
      <c r="E92" s="261">
        <v>4090</v>
      </c>
      <c r="F92" s="29">
        <v>33</v>
      </c>
      <c r="G92" s="39">
        <f t="shared" si="1"/>
        <v>134970</v>
      </c>
      <c r="H92" s="31">
        <v>43029</v>
      </c>
      <c r="I92" s="62" t="s">
        <v>1172</v>
      </c>
      <c r="L92" s="195"/>
      <c r="M92" s="195"/>
      <c r="N92" s="195"/>
    </row>
    <row r="93" spans="1:14" x14ac:dyDescent="0.25">
      <c r="A93" s="290" t="s">
        <v>1173</v>
      </c>
      <c r="B93" s="188" t="s">
        <v>1210</v>
      </c>
      <c r="C93" s="269">
        <v>43030</v>
      </c>
      <c r="D93" s="270">
        <v>5003</v>
      </c>
      <c r="E93" s="261">
        <v>136.69999999999999</v>
      </c>
      <c r="F93" s="853">
        <v>49</v>
      </c>
      <c r="G93" s="39">
        <f t="shared" si="1"/>
        <v>6698.2999999999993</v>
      </c>
      <c r="H93" s="31">
        <v>43036</v>
      </c>
      <c r="I93" s="62" t="s">
        <v>1172</v>
      </c>
      <c r="L93" s="195"/>
      <c r="M93" s="195"/>
      <c r="N93" s="195"/>
    </row>
    <row r="94" spans="1:14" x14ac:dyDescent="0.25">
      <c r="A94" s="290" t="s">
        <v>1173</v>
      </c>
      <c r="B94" s="188" t="s">
        <v>1613</v>
      </c>
      <c r="C94" s="269">
        <v>43029</v>
      </c>
      <c r="D94" s="270">
        <v>5004</v>
      </c>
      <c r="E94" s="261">
        <v>100.2</v>
      </c>
      <c r="F94" s="853">
        <v>49</v>
      </c>
      <c r="G94" s="39">
        <f>F94*E94+94.6*59</f>
        <v>10491.2</v>
      </c>
      <c r="H94" s="31">
        <v>43036</v>
      </c>
      <c r="I94" s="62" t="s">
        <v>1172</v>
      </c>
      <c r="L94" s="195"/>
      <c r="M94" s="195"/>
      <c r="N94" s="195"/>
    </row>
    <row r="95" spans="1:14" x14ac:dyDescent="0.25">
      <c r="A95" s="291" t="s">
        <v>176</v>
      </c>
      <c r="B95" s="188"/>
      <c r="C95" s="292"/>
      <c r="D95" s="270">
        <v>5005</v>
      </c>
      <c r="F95" s="853"/>
      <c r="G95" s="39">
        <f t="shared" si="1"/>
        <v>0</v>
      </c>
      <c r="H95" s="31"/>
      <c r="L95" s="195"/>
      <c r="M95" s="195"/>
      <c r="N95" s="195"/>
    </row>
    <row r="96" spans="1:14" x14ac:dyDescent="0.25">
      <c r="A96" s="290" t="s">
        <v>1220</v>
      </c>
      <c r="B96" s="188" t="s">
        <v>1183</v>
      </c>
      <c r="C96" s="269">
        <v>43031</v>
      </c>
      <c r="D96" s="270">
        <v>5006</v>
      </c>
      <c r="E96" s="261">
        <v>31664</v>
      </c>
      <c r="F96" s="853">
        <v>1</v>
      </c>
      <c r="G96" s="39">
        <f t="shared" si="1"/>
        <v>31664</v>
      </c>
      <c r="H96" s="31">
        <v>43082</v>
      </c>
      <c r="I96" s="62" t="s">
        <v>1172</v>
      </c>
      <c r="L96" s="195"/>
      <c r="M96" s="195"/>
      <c r="N96" s="195"/>
    </row>
    <row r="97" spans="1:14" x14ac:dyDescent="0.25">
      <c r="A97" s="290" t="s">
        <v>1171</v>
      </c>
      <c r="B97" s="188" t="s">
        <v>206</v>
      </c>
      <c r="C97" s="269">
        <v>43031</v>
      </c>
      <c r="D97" s="270">
        <v>5007</v>
      </c>
      <c r="E97" s="261">
        <v>733</v>
      </c>
      <c r="F97" s="29">
        <v>68</v>
      </c>
      <c r="G97" s="39">
        <f t="shared" si="1"/>
        <v>49844</v>
      </c>
      <c r="H97" s="31">
        <v>43032</v>
      </c>
      <c r="I97" s="62" t="s">
        <v>1172</v>
      </c>
      <c r="L97" s="195"/>
      <c r="M97" s="195"/>
      <c r="N97" s="195"/>
    </row>
    <row r="98" spans="1:14" x14ac:dyDescent="0.25">
      <c r="A98" s="290" t="s">
        <v>1220</v>
      </c>
      <c r="B98" s="188" t="s">
        <v>1627</v>
      </c>
      <c r="C98" s="269">
        <v>43031</v>
      </c>
      <c r="D98" s="270">
        <v>5008</v>
      </c>
      <c r="E98" s="261">
        <v>4785.9399999999996</v>
      </c>
      <c r="F98" s="29">
        <v>38</v>
      </c>
      <c r="G98" s="39">
        <f t="shared" si="1"/>
        <v>181865.71999999997</v>
      </c>
      <c r="H98" s="31">
        <v>43047</v>
      </c>
      <c r="I98" s="62" t="s">
        <v>1172</v>
      </c>
      <c r="L98" s="195"/>
      <c r="M98" s="195"/>
      <c r="N98" s="195"/>
    </row>
    <row r="99" spans="1:14" x14ac:dyDescent="0.25">
      <c r="A99" s="290" t="s">
        <v>1604</v>
      </c>
      <c r="B99" s="188" t="s">
        <v>1605</v>
      </c>
      <c r="C99" s="269">
        <v>43031</v>
      </c>
      <c r="D99" s="270">
        <v>5009</v>
      </c>
      <c r="E99" s="261">
        <v>62.7</v>
      </c>
      <c r="F99" s="29">
        <v>44</v>
      </c>
      <c r="G99" s="39">
        <f t="shared" si="1"/>
        <v>2758.8</v>
      </c>
      <c r="H99" s="31">
        <v>43033</v>
      </c>
      <c r="I99" s="62" t="s">
        <v>1172</v>
      </c>
      <c r="L99" s="195"/>
      <c r="M99" s="195"/>
      <c r="N99" s="195"/>
    </row>
    <row r="100" spans="1:14" x14ac:dyDescent="0.25">
      <c r="A100" s="290" t="s">
        <v>1173</v>
      </c>
      <c r="B100" s="188" t="s">
        <v>1489</v>
      </c>
      <c r="C100" s="269">
        <v>43032</v>
      </c>
      <c r="D100" s="270">
        <v>5010</v>
      </c>
      <c r="E100" s="261">
        <v>307.2</v>
      </c>
      <c r="F100" s="853">
        <v>49</v>
      </c>
      <c r="G100" s="39">
        <f>F100*E100+100*61+225*30+71.4*48</f>
        <v>31330</v>
      </c>
      <c r="H100" s="31">
        <v>43036</v>
      </c>
      <c r="I100" s="62" t="s">
        <v>1172</v>
      </c>
      <c r="L100" s="195"/>
      <c r="M100" s="195"/>
      <c r="N100" s="195"/>
    </row>
    <row r="101" spans="1:14" x14ac:dyDescent="0.25">
      <c r="A101" s="290" t="s">
        <v>176</v>
      </c>
      <c r="B101" s="188"/>
      <c r="C101" s="269"/>
      <c r="D101" s="270">
        <v>5011</v>
      </c>
      <c r="G101" s="39">
        <f t="shared" si="1"/>
        <v>0</v>
      </c>
      <c r="H101" s="31"/>
      <c r="L101" s="195"/>
      <c r="M101" s="195"/>
      <c r="N101" s="195"/>
    </row>
    <row r="102" spans="1:14" x14ac:dyDescent="0.25">
      <c r="A102" s="290" t="s">
        <v>1171</v>
      </c>
      <c r="B102" s="188" t="s">
        <v>1616</v>
      </c>
      <c r="C102" s="269">
        <v>43032</v>
      </c>
      <c r="D102" s="270">
        <v>5012</v>
      </c>
      <c r="E102" s="261">
        <v>976</v>
      </c>
      <c r="F102" s="29">
        <v>68</v>
      </c>
      <c r="G102" s="39">
        <f>F102*E102+107.2*71</f>
        <v>73979.199999999997</v>
      </c>
      <c r="H102" s="31">
        <v>43038</v>
      </c>
      <c r="I102" s="62" t="s">
        <v>1172</v>
      </c>
      <c r="L102" s="195"/>
      <c r="M102" s="195"/>
      <c r="N102" s="195"/>
    </row>
    <row r="103" spans="1:14" ht="24.75" x14ac:dyDescent="0.25">
      <c r="A103" s="290" t="s">
        <v>1197</v>
      </c>
      <c r="B103" s="852" t="s">
        <v>1606</v>
      </c>
      <c r="C103" s="269">
        <v>42940</v>
      </c>
      <c r="D103" s="270">
        <v>5013</v>
      </c>
      <c r="E103" s="261">
        <v>153.6</v>
      </c>
      <c r="F103" s="29">
        <v>52</v>
      </c>
      <c r="G103" s="39">
        <f>F103*E103+57.8*70</f>
        <v>12033.2</v>
      </c>
      <c r="H103" s="31">
        <v>43034</v>
      </c>
      <c r="I103" s="62" t="s">
        <v>1172</v>
      </c>
      <c r="L103" s="195"/>
      <c r="M103" s="195"/>
      <c r="N103" s="195"/>
    </row>
    <row r="104" spans="1:14" x14ac:dyDescent="0.25">
      <c r="A104" s="290" t="s">
        <v>1197</v>
      </c>
      <c r="B104" s="188" t="s">
        <v>1198</v>
      </c>
      <c r="C104" s="269">
        <v>43033</v>
      </c>
      <c r="D104" s="270">
        <v>5014</v>
      </c>
      <c r="E104" s="261">
        <v>67.099999999999994</v>
      </c>
      <c r="F104" s="29">
        <v>52</v>
      </c>
      <c r="G104" s="39">
        <f t="shared" si="1"/>
        <v>3489.2</v>
      </c>
      <c r="H104" s="31">
        <v>43035</v>
      </c>
      <c r="I104" s="62" t="s">
        <v>1172</v>
      </c>
      <c r="L104" s="195"/>
      <c r="M104" s="195"/>
      <c r="N104" s="195"/>
    </row>
    <row r="105" spans="1:14" x14ac:dyDescent="0.25">
      <c r="A105" s="290" t="s">
        <v>1608</v>
      </c>
      <c r="B105" s="188" t="s">
        <v>1195</v>
      </c>
      <c r="C105" s="269">
        <v>43033</v>
      </c>
      <c r="D105" s="270">
        <v>5015</v>
      </c>
      <c r="E105" s="261">
        <v>66.900000000000006</v>
      </c>
      <c r="F105" s="29">
        <v>44</v>
      </c>
      <c r="G105" s="39">
        <f t="shared" si="1"/>
        <v>2943.6000000000004</v>
      </c>
      <c r="H105" s="31">
        <v>43035</v>
      </c>
      <c r="I105" s="62" t="s">
        <v>1172</v>
      </c>
      <c r="J105" s="8"/>
      <c r="L105" s="195"/>
      <c r="M105" s="195"/>
      <c r="N105" s="195"/>
    </row>
    <row r="106" spans="1:14" x14ac:dyDescent="0.25">
      <c r="A106" s="290" t="s">
        <v>1171</v>
      </c>
      <c r="B106" s="188" t="s">
        <v>206</v>
      </c>
      <c r="C106" s="269">
        <v>43033</v>
      </c>
      <c r="D106" s="270">
        <v>5016</v>
      </c>
      <c r="E106" s="261">
        <v>1104.2</v>
      </c>
      <c r="F106" s="29">
        <v>68</v>
      </c>
      <c r="G106" s="39">
        <f t="shared" si="1"/>
        <v>75085.600000000006</v>
      </c>
      <c r="H106" s="31">
        <v>43038</v>
      </c>
      <c r="I106" s="62" t="s">
        <v>1172</v>
      </c>
      <c r="L106" s="195"/>
      <c r="M106" s="195"/>
      <c r="N106" s="195"/>
    </row>
    <row r="107" spans="1:14" ht="15.75" x14ac:dyDescent="0.25">
      <c r="A107" s="293" t="s">
        <v>1182</v>
      </c>
      <c r="B107" s="188" t="s">
        <v>1407</v>
      </c>
      <c r="C107" s="294">
        <v>43033</v>
      </c>
      <c r="D107" s="270">
        <v>5017</v>
      </c>
      <c r="E107" s="261">
        <v>25620</v>
      </c>
      <c r="F107" s="29">
        <v>1</v>
      </c>
      <c r="G107" s="39">
        <f t="shared" si="1"/>
        <v>25620</v>
      </c>
      <c r="H107" s="31">
        <v>43033</v>
      </c>
      <c r="I107" s="62" t="s">
        <v>1172</v>
      </c>
      <c r="J107" s="8"/>
      <c r="L107" s="195"/>
      <c r="M107" s="195"/>
      <c r="N107" s="195"/>
    </row>
    <row r="108" spans="1:14" ht="15.75" x14ac:dyDescent="0.25">
      <c r="A108" s="293" t="s">
        <v>1197</v>
      </c>
      <c r="B108" s="188" t="s">
        <v>1609</v>
      </c>
      <c r="C108" s="294">
        <v>43034</v>
      </c>
      <c r="D108" s="270">
        <v>5018</v>
      </c>
      <c r="E108" s="261">
        <v>197.6</v>
      </c>
      <c r="F108" s="29">
        <v>14</v>
      </c>
      <c r="G108" s="39">
        <f>F108*E108+141.2*52+54.9*70</f>
        <v>13951.8</v>
      </c>
      <c r="H108" s="31">
        <v>43035</v>
      </c>
      <c r="I108" s="62" t="s">
        <v>1172</v>
      </c>
      <c r="J108" s="8"/>
      <c r="L108" s="195"/>
      <c r="M108" s="195"/>
      <c r="N108" s="195"/>
    </row>
    <row r="109" spans="1:14" ht="15.75" x14ac:dyDescent="0.25">
      <c r="A109" s="293" t="s">
        <v>1607</v>
      </c>
      <c r="B109" s="188" t="s">
        <v>206</v>
      </c>
      <c r="C109" s="294">
        <v>42940</v>
      </c>
      <c r="D109" s="270">
        <v>5019</v>
      </c>
      <c r="E109" s="261">
        <v>1717.9</v>
      </c>
      <c r="F109" s="29">
        <v>68</v>
      </c>
      <c r="G109" s="39">
        <f t="shared" si="1"/>
        <v>116817.20000000001</v>
      </c>
      <c r="H109" s="31">
        <v>43034</v>
      </c>
      <c r="I109" s="62" t="s">
        <v>1172</v>
      </c>
      <c r="J109" s="8"/>
      <c r="L109" s="195"/>
      <c r="M109" s="195"/>
      <c r="N109" s="195"/>
    </row>
    <row r="110" spans="1:14" x14ac:dyDescent="0.25">
      <c r="A110" s="290" t="s">
        <v>1171</v>
      </c>
      <c r="B110" s="189" t="s">
        <v>206</v>
      </c>
      <c r="C110" s="269">
        <v>43034</v>
      </c>
      <c r="D110" s="270">
        <v>5020</v>
      </c>
      <c r="E110" s="261">
        <v>1075</v>
      </c>
      <c r="F110" s="29">
        <v>68</v>
      </c>
      <c r="G110" s="39">
        <f t="shared" si="1"/>
        <v>73100</v>
      </c>
      <c r="H110" s="31">
        <v>43038</v>
      </c>
      <c r="I110" s="62" t="s">
        <v>1172</v>
      </c>
      <c r="L110" s="195"/>
      <c r="M110" s="195"/>
      <c r="N110" s="195"/>
    </row>
    <row r="111" spans="1:14" x14ac:dyDescent="0.25">
      <c r="A111" s="290" t="s">
        <v>1221</v>
      </c>
      <c r="B111" s="189" t="s">
        <v>241</v>
      </c>
      <c r="C111" s="269">
        <v>43035</v>
      </c>
      <c r="D111" s="270">
        <v>5021</v>
      </c>
      <c r="E111" s="261">
        <v>200</v>
      </c>
      <c r="F111" s="29">
        <v>38</v>
      </c>
      <c r="G111" s="39">
        <f>F111*E111+156.8*35</f>
        <v>13088</v>
      </c>
      <c r="H111" s="31">
        <v>43035</v>
      </c>
      <c r="I111" s="62" t="s">
        <v>1172</v>
      </c>
      <c r="L111" s="195"/>
      <c r="M111" s="195"/>
      <c r="N111" s="195"/>
    </row>
    <row r="112" spans="1:14" x14ac:dyDescent="0.25">
      <c r="A112" s="290" t="s">
        <v>1197</v>
      </c>
      <c r="B112" s="189" t="s">
        <v>1473</v>
      </c>
      <c r="C112" s="269">
        <v>43035</v>
      </c>
      <c r="D112" s="270">
        <v>5022</v>
      </c>
      <c r="E112" s="261">
        <v>49.9</v>
      </c>
      <c r="F112" s="29">
        <v>20</v>
      </c>
      <c r="G112" s="39">
        <f t="shared" si="1"/>
        <v>998</v>
      </c>
      <c r="H112" s="31">
        <v>43035</v>
      </c>
      <c r="I112" s="62" t="s">
        <v>1172</v>
      </c>
      <c r="L112" s="195"/>
      <c r="M112" s="195"/>
      <c r="N112" s="195"/>
    </row>
    <row r="113" spans="1:14" x14ac:dyDescent="0.25">
      <c r="A113" s="290" t="s">
        <v>1173</v>
      </c>
      <c r="B113" s="188" t="s">
        <v>1489</v>
      </c>
      <c r="C113" s="269">
        <v>43035</v>
      </c>
      <c r="D113" s="270">
        <v>5023</v>
      </c>
      <c r="E113" s="261">
        <v>70.400000000000006</v>
      </c>
      <c r="F113" s="29">
        <v>48</v>
      </c>
      <c r="G113" s="39">
        <f>F113*E113+50.6*30</f>
        <v>4897.2000000000007</v>
      </c>
      <c r="H113" s="31">
        <v>43036</v>
      </c>
      <c r="I113" s="62" t="s">
        <v>1172</v>
      </c>
      <c r="J113" s="8"/>
      <c r="L113" s="195"/>
      <c r="M113" s="195"/>
      <c r="N113" s="195"/>
    </row>
    <row r="114" spans="1:14" x14ac:dyDescent="0.25">
      <c r="A114" s="290" t="s">
        <v>1608</v>
      </c>
      <c r="B114" s="188" t="s">
        <v>1612</v>
      </c>
      <c r="C114" s="269">
        <v>43035</v>
      </c>
      <c r="D114" s="270">
        <v>5024</v>
      </c>
      <c r="E114" s="261">
        <v>5.5</v>
      </c>
      <c r="F114" s="29">
        <v>24</v>
      </c>
      <c r="G114" s="39">
        <f t="shared" si="1"/>
        <v>132</v>
      </c>
      <c r="H114" s="31">
        <v>43036</v>
      </c>
      <c r="I114" s="62" t="s">
        <v>1172</v>
      </c>
      <c r="J114" s="8"/>
      <c r="L114" s="195"/>
      <c r="M114" s="195"/>
      <c r="N114" s="195"/>
    </row>
    <row r="115" spans="1:14" x14ac:dyDescent="0.25">
      <c r="A115" s="290" t="s">
        <v>1171</v>
      </c>
      <c r="B115" s="188" t="s">
        <v>1622</v>
      </c>
      <c r="C115" s="269">
        <v>43035</v>
      </c>
      <c r="D115" s="270">
        <v>5025</v>
      </c>
      <c r="E115" s="261">
        <v>699</v>
      </c>
      <c r="F115" s="29">
        <v>68</v>
      </c>
      <c r="G115" s="39">
        <f>F115*E115+307.4*65+155.36*71</f>
        <v>78543.56</v>
      </c>
      <c r="H115" s="31">
        <v>43043</v>
      </c>
      <c r="I115" s="62" t="s">
        <v>1172</v>
      </c>
      <c r="J115" s="8"/>
      <c r="L115" s="195"/>
      <c r="M115" s="195"/>
      <c r="N115" s="195"/>
    </row>
    <row r="116" spans="1:14" x14ac:dyDescent="0.25">
      <c r="A116" s="290" t="s">
        <v>1220</v>
      </c>
      <c r="B116" s="188" t="s">
        <v>1682</v>
      </c>
      <c r="C116" s="269">
        <v>43035</v>
      </c>
      <c r="D116" s="270">
        <v>5026</v>
      </c>
      <c r="E116" s="261">
        <v>99.8</v>
      </c>
      <c r="F116" s="29">
        <v>38</v>
      </c>
      <c r="G116" s="39">
        <f t="shared" si="1"/>
        <v>3792.4</v>
      </c>
      <c r="H116" s="31">
        <v>43082</v>
      </c>
      <c r="I116" s="62" t="s">
        <v>1172</v>
      </c>
      <c r="J116" s="8"/>
      <c r="L116" s="195"/>
      <c r="M116" s="195"/>
      <c r="N116" s="195"/>
    </row>
    <row r="117" spans="1:14" x14ac:dyDescent="0.25">
      <c r="A117" s="290" t="s">
        <v>1182</v>
      </c>
      <c r="B117" s="188" t="s">
        <v>1183</v>
      </c>
      <c r="C117" s="269">
        <v>43039</v>
      </c>
      <c r="D117" s="270">
        <v>5027</v>
      </c>
      <c r="E117" s="261">
        <v>27930</v>
      </c>
      <c r="F117" s="29">
        <v>1</v>
      </c>
      <c r="G117" s="39">
        <f t="shared" si="1"/>
        <v>27930</v>
      </c>
      <c r="H117" s="31">
        <v>43039</v>
      </c>
      <c r="I117" s="62" t="s">
        <v>1172</v>
      </c>
      <c r="L117" s="195"/>
      <c r="M117" s="195"/>
      <c r="N117" s="195"/>
    </row>
    <row r="118" spans="1:14" x14ac:dyDescent="0.25">
      <c r="A118" s="290" t="s">
        <v>1610</v>
      </c>
      <c r="B118" s="188" t="s">
        <v>1611</v>
      </c>
      <c r="C118" s="269">
        <v>43035</v>
      </c>
      <c r="D118" s="270">
        <v>5028</v>
      </c>
      <c r="E118" s="261">
        <v>24.8</v>
      </c>
      <c r="F118" s="29">
        <v>60</v>
      </c>
      <c r="G118" s="39">
        <f t="shared" si="1"/>
        <v>1488</v>
      </c>
      <c r="H118" s="31">
        <v>43036</v>
      </c>
      <c r="I118" s="62" t="s">
        <v>1172</v>
      </c>
      <c r="J118" s="8"/>
      <c r="L118" s="195"/>
      <c r="M118" s="195"/>
      <c r="N118" s="195"/>
    </row>
    <row r="119" spans="1:14" ht="17.25" customHeight="1" x14ac:dyDescent="0.25">
      <c r="A119" s="290" t="s">
        <v>1173</v>
      </c>
      <c r="B119" s="295" t="s">
        <v>1625</v>
      </c>
      <c r="C119" s="269">
        <v>43036</v>
      </c>
      <c r="D119" s="270">
        <v>5029</v>
      </c>
      <c r="E119" s="296">
        <v>60</v>
      </c>
      <c r="F119" s="297">
        <v>30</v>
      </c>
      <c r="G119" s="39">
        <f t="shared" si="1"/>
        <v>1800</v>
      </c>
      <c r="H119" s="298">
        <v>43045</v>
      </c>
      <c r="I119" s="298" t="s">
        <v>1172</v>
      </c>
      <c r="J119" s="300"/>
      <c r="K119" s="208"/>
      <c r="L119" s="301"/>
      <c r="M119" s="301"/>
      <c r="N119" s="301"/>
    </row>
    <row r="120" spans="1:14" x14ac:dyDescent="0.25">
      <c r="A120" s="290" t="s">
        <v>1171</v>
      </c>
      <c r="B120" s="188" t="s">
        <v>206</v>
      </c>
      <c r="C120" s="269">
        <v>43036</v>
      </c>
      <c r="D120" s="270">
        <v>5030</v>
      </c>
      <c r="E120" s="261">
        <v>1896.8</v>
      </c>
      <c r="F120" s="29">
        <v>68</v>
      </c>
      <c r="G120" s="39">
        <f t="shared" si="1"/>
        <v>128982.39999999999</v>
      </c>
      <c r="H120" s="31">
        <v>43038</v>
      </c>
      <c r="I120" s="62" t="s">
        <v>1172</v>
      </c>
      <c r="K120" s="302"/>
      <c r="L120" s="302"/>
      <c r="M120" s="302"/>
      <c r="N120" s="302"/>
    </row>
    <row r="121" spans="1:14" x14ac:dyDescent="0.25">
      <c r="A121" s="290" t="s">
        <v>1197</v>
      </c>
      <c r="B121" s="188" t="s">
        <v>1198</v>
      </c>
      <c r="C121" s="269">
        <v>43037</v>
      </c>
      <c r="D121" s="270">
        <v>5031</v>
      </c>
      <c r="E121" s="261">
        <v>60.7</v>
      </c>
      <c r="F121" s="29">
        <v>52</v>
      </c>
      <c r="G121" s="39">
        <f t="shared" si="1"/>
        <v>3156.4</v>
      </c>
      <c r="H121" s="31">
        <v>43044</v>
      </c>
      <c r="I121" s="62" t="s">
        <v>1172</v>
      </c>
      <c r="K121" s="302"/>
      <c r="L121" s="302"/>
      <c r="M121" s="302"/>
      <c r="N121" s="302"/>
    </row>
    <row r="122" spans="1:14" ht="30" x14ac:dyDescent="0.25">
      <c r="A122" s="290" t="s">
        <v>1171</v>
      </c>
      <c r="B122" s="303" t="s">
        <v>1622</v>
      </c>
      <c r="C122" s="269">
        <v>43038</v>
      </c>
      <c r="D122" s="270">
        <v>5032</v>
      </c>
      <c r="E122" s="261">
        <v>1544.7</v>
      </c>
      <c r="F122" s="29">
        <v>68</v>
      </c>
      <c r="G122" s="39">
        <f>F122*E122+83.7*69</f>
        <v>110814.90000000001</v>
      </c>
      <c r="H122" s="718" t="s">
        <v>1623</v>
      </c>
      <c r="I122" s="62" t="s">
        <v>1172</v>
      </c>
      <c r="L122" s="195"/>
      <c r="M122" s="195"/>
      <c r="N122" s="195"/>
    </row>
    <row r="123" spans="1:14" x14ac:dyDescent="0.25">
      <c r="A123" s="290" t="s">
        <v>1614</v>
      </c>
      <c r="B123" s="303" t="s">
        <v>1279</v>
      </c>
      <c r="C123" s="269" t="s">
        <v>1615</v>
      </c>
      <c r="D123" s="270">
        <v>5033</v>
      </c>
      <c r="E123" s="261">
        <v>55.3</v>
      </c>
      <c r="F123" s="29">
        <v>44</v>
      </c>
      <c r="G123" s="39">
        <f t="shared" si="1"/>
        <v>2433.1999999999998</v>
      </c>
      <c r="H123" s="31">
        <v>43038</v>
      </c>
      <c r="I123" s="62" t="s">
        <v>1172</v>
      </c>
      <c r="L123" s="195"/>
      <c r="M123" s="195"/>
      <c r="N123" s="195"/>
    </row>
    <row r="124" spans="1:14" x14ac:dyDescent="0.25">
      <c r="A124" s="290" t="s">
        <v>1173</v>
      </c>
      <c r="B124" s="188" t="s">
        <v>1626</v>
      </c>
      <c r="C124" s="269">
        <v>43038</v>
      </c>
      <c r="D124" s="270">
        <v>5034</v>
      </c>
      <c r="E124" s="261">
        <v>248.5</v>
      </c>
      <c r="F124" s="29">
        <v>30</v>
      </c>
      <c r="G124" s="39">
        <f>F124*E124+121.8*64+97.7*48+128.4*49</f>
        <v>26231.4</v>
      </c>
      <c r="H124" s="31">
        <v>43045</v>
      </c>
      <c r="I124" s="62" t="s">
        <v>1172</v>
      </c>
      <c r="L124" s="195"/>
      <c r="M124" s="195"/>
      <c r="N124" s="195"/>
    </row>
    <row r="125" spans="1:14" x14ac:dyDescent="0.25">
      <c r="A125" s="290" t="s">
        <v>1624</v>
      </c>
      <c r="B125" s="188" t="s">
        <v>206</v>
      </c>
      <c r="C125" s="269">
        <v>43039</v>
      </c>
      <c r="D125" s="270">
        <v>5035</v>
      </c>
      <c r="E125" s="261">
        <v>1499.1</v>
      </c>
      <c r="F125" s="29">
        <v>68</v>
      </c>
      <c r="G125" s="39">
        <f t="shared" si="1"/>
        <v>101938.79999999999</v>
      </c>
      <c r="H125" s="31">
        <v>43043</v>
      </c>
      <c r="I125" s="62" t="s">
        <v>1172</v>
      </c>
      <c r="L125" s="195"/>
      <c r="M125" s="195"/>
      <c r="N125" s="195"/>
    </row>
    <row r="126" spans="1:14" x14ac:dyDescent="0.25">
      <c r="A126" s="290" t="s">
        <v>1221</v>
      </c>
      <c r="B126" s="188" t="s">
        <v>1617</v>
      </c>
      <c r="C126" s="269">
        <v>43039</v>
      </c>
      <c r="D126" s="270">
        <v>5036</v>
      </c>
      <c r="E126" s="261">
        <v>192.2</v>
      </c>
      <c r="F126" s="855">
        <v>35</v>
      </c>
      <c r="G126" s="39">
        <f>F126*E126+300*38</f>
        <v>18127</v>
      </c>
      <c r="H126" s="31">
        <v>43039</v>
      </c>
      <c r="I126" s="62" t="s">
        <v>1172</v>
      </c>
      <c r="L126" s="195"/>
      <c r="M126" s="195"/>
      <c r="N126" s="195"/>
    </row>
    <row r="127" spans="1:14" x14ac:dyDescent="0.25">
      <c r="A127" s="290" t="s">
        <v>1220</v>
      </c>
      <c r="B127" s="188" t="s">
        <v>1183</v>
      </c>
      <c r="C127" s="269">
        <v>43038</v>
      </c>
      <c r="D127" s="270">
        <v>5037</v>
      </c>
      <c r="E127" s="261">
        <v>53660</v>
      </c>
      <c r="F127" s="855">
        <v>1</v>
      </c>
      <c r="G127" s="39">
        <f t="shared" ref="G127:G130" si="3">F127*E127</f>
        <v>53660</v>
      </c>
      <c r="H127" s="31">
        <v>43082</v>
      </c>
      <c r="I127" s="62" t="s">
        <v>1172</v>
      </c>
      <c r="L127" s="195"/>
      <c r="M127" s="195"/>
      <c r="N127" s="195"/>
    </row>
    <row r="128" spans="1:14" x14ac:dyDescent="0.25">
      <c r="A128" s="290" t="s">
        <v>1197</v>
      </c>
      <c r="B128" s="188" t="s">
        <v>1198</v>
      </c>
      <c r="C128" s="269">
        <v>43039</v>
      </c>
      <c r="D128" s="270">
        <v>5038</v>
      </c>
      <c r="E128" s="261">
        <v>225.5</v>
      </c>
      <c r="F128" s="855">
        <v>52</v>
      </c>
      <c r="G128" s="39">
        <f t="shared" si="3"/>
        <v>11726</v>
      </c>
      <c r="H128" s="31">
        <v>43044</v>
      </c>
      <c r="I128" s="62" t="s">
        <v>1172</v>
      </c>
      <c r="L128" s="195"/>
      <c r="M128" s="195"/>
      <c r="N128" s="195"/>
    </row>
    <row r="129" spans="1:14" x14ac:dyDescent="0.25">
      <c r="A129" s="290" t="s">
        <v>1171</v>
      </c>
      <c r="B129" s="188" t="s">
        <v>206</v>
      </c>
      <c r="C129" s="269">
        <v>43039</v>
      </c>
      <c r="D129" s="270">
        <v>5039</v>
      </c>
      <c r="E129" s="261">
        <v>726.5</v>
      </c>
      <c r="F129" s="855">
        <v>68</v>
      </c>
      <c r="G129" s="39">
        <f t="shared" si="3"/>
        <v>49402</v>
      </c>
      <c r="H129" s="31">
        <v>43042</v>
      </c>
      <c r="I129" s="62" t="s">
        <v>1172</v>
      </c>
      <c r="L129" s="195"/>
      <c r="M129" s="195"/>
      <c r="N129" s="195"/>
    </row>
    <row r="130" spans="1:14" ht="15.75" thickBot="1" x14ac:dyDescent="0.3">
      <c r="A130" s="290"/>
      <c r="B130" s="188"/>
      <c r="C130" s="269"/>
      <c r="D130" s="270" t="s">
        <v>223</v>
      </c>
      <c r="F130" s="854"/>
      <c r="G130" s="39">
        <f t="shared" si="3"/>
        <v>0</v>
      </c>
      <c r="H130" s="31"/>
      <c r="L130" s="195"/>
      <c r="M130" s="195"/>
      <c r="N130" s="195"/>
    </row>
    <row r="131" spans="1:14" ht="19.5" thickBot="1" x14ac:dyDescent="0.35">
      <c r="A131" s="313"/>
      <c r="B131" s="188"/>
      <c r="C131" s="31"/>
      <c r="D131" s="314"/>
      <c r="E131" s="891" t="s">
        <v>30</v>
      </c>
      <c r="F131" s="892"/>
      <c r="G131" s="214">
        <f>SUM(G4:G130)</f>
        <v>4173813.21</v>
      </c>
      <c r="H131" s="315"/>
    </row>
    <row r="132" spans="1:14" x14ac:dyDescent="0.25">
      <c r="A132" s="313"/>
      <c r="B132" s="188"/>
      <c r="C132" s="31"/>
      <c r="D132" s="314"/>
      <c r="E132" s="311"/>
      <c r="F132" s="316"/>
      <c r="G132" s="39"/>
      <c r="H132" s="315"/>
    </row>
    <row r="133" spans="1:14" x14ac:dyDescent="0.25">
      <c r="A133" s="313"/>
      <c r="B133" s="188"/>
      <c r="C133" s="31"/>
      <c r="D133" s="314"/>
      <c r="E133" s="311"/>
      <c r="F133" s="316"/>
      <c r="G133" s="39"/>
      <c r="H133" s="315"/>
    </row>
    <row r="134" spans="1:14" x14ac:dyDescent="0.25">
      <c r="A134" s="313"/>
      <c r="B134" s="188"/>
      <c r="C134" s="31"/>
      <c r="D134" s="314"/>
      <c r="E134" s="311"/>
      <c r="F134" s="316"/>
      <c r="G134" s="39"/>
      <c r="H134" s="315"/>
    </row>
    <row r="135" spans="1:14" ht="18.75" x14ac:dyDescent="0.25">
      <c r="A135" s="313"/>
      <c r="B135" s="188"/>
      <c r="C135" s="31"/>
      <c r="D135" s="317"/>
      <c r="E135" s="318"/>
      <c r="F135" s="319"/>
      <c r="G135" s="320"/>
      <c r="H135" s="315"/>
    </row>
    <row r="136" spans="1:14" ht="18.75" x14ac:dyDescent="0.25">
      <c r="A136" s="313"/>
      <c r="B136" s="188"/>
      <c r="C136" s="31"/>
      <c r="D136" s="317"/>
      <c r="E136" s="318"/>
      <c r="F136" s="319"/>
      <c r="G136" s="320"/>
      <c r="H136" s="315"/>
    </row>
    <row r="137" spans="1:14" x14ac:dyDescent="0.25">
      <c r="A137" s="313"/>
      <c r="B137" s="188"/>
      <c r="C137" s="31"/>
      <c r="D137" s="317"/>
      <c r="E137" s="321"/>
      <c r="F137" s="322"/>
      <c r="G137" s="323"/>
      <c r="H137" s="315"/>
      <c r="K137"/>
    </row>
    <row r="138" spans="1:14" x14ac:dyDescent="0.25">
      <c r="A138" s="313"/>
      <c r="B138" s="188"/>
      <c r="C138" s="31"/>
      <c r="D138" s="317"/>
      <c r="E138" s="321"/>
      <c r="F138" s="322"/>
      <c r="G138" s="323"/>
      <c r="H138" s="315"/>
      <c r="K138"/>
    </row>
    <row r="139" spans="1:14" x14ac:dyDescent="0.25">
      <c r="A139" s="313"/>
      <c r="B139" s="188"/>
      <c r="C139" s="31"/>
      <c r="D139" s="317"/>
      <c r="E139" s="321"/>
      <c r="F139" s="322"/>
      <c r="G139" s="323"/>
      <c r="H139" s="315"/>
      <c r="K139"/>
    </row>
    <row r="140" spans="1:14" x14ac:dyDescent="0.25">
      <c r="A140" s="313"/>
      <c r="B140" s="188"/>
      <c r="C140" s="31"/>
      <c r="D140" s="317"/>
      <c r="E140" s="321"/>
      <c r="F140" s="322"/>
      <c r="G140" s="323"/>
      <c r="H140" s="315"/>
      <c r="K140"/>
    </row>
    <row r="141" spans="1:14" x14ac:dyDescent="0.25">
      <c r="A141" s="313"/>
      <c r="B141" s="188"/>
      <c r="C141" s="31"/>
      <c r="D141" s="317"/>
      <c r="E141" s="321"/>
      <c r="F141" s="322"/>
      <c r="G141" s="323"/>
      <c r="H141" s="315"/>
      <c r="K141"/>
    </row>
    <row r="142" spans="1:14" x14ac:dyDescent="0.25">
      <c r="A142" s="313"/>
      <c r="B142" s="188"/>
      <c r="C142" s="31"/>
      <c r="D142" s="317"/>
      <c r="E142" s="321"/>
      <c r="F142" s="322"/>
      <c r="G142" s="323"/>
      <c r="H142" s="315"/>
      <c r="K142"/>
    </row>
    <row r="143" spans="1:14" x14ac:dyDescent="0.25">
      <c r="A143" s="313"/>
      <c r="B143" s="188"/>
      <c r="C143" s="31"/>
      <c r="D143" s="317"/>
      <c r="E143" s="321"/>
      <c r="F143" s="322"/>
      <c r="G143" s="323"/>
      <c r="H143" s="315"/>
      <c r="K143"/>
    </row>
    <row r="144" spans="1:14" x14ac:dyDescent="0.25">
      <c r="A144" s="313"/>
      <c r="B144" s="324"/>
      <c r="C144" s="31"/>
      <c r="D144" s="260"/>
      <c r="E144" s="325"/>
      <c r="F144" s="326"/>
      <c r="G144" s="39"/>
      <c r="H144" s="315"/>
      <c r="K144"/>
    </row>
    <row r="145" spans="1:11" x14ac:dyDescent="0.25">
      <c r="A145" s="313"/>
      <c r="B145" s="324"/>
      <c r="C145" s="31"/>
      <c r="D145" s="260"/>
      <c r="E145" s="325"/>
      <c r="F145" s="326"/>
      <c r="G145" s="39"/>
      <c r="H145" s="315"/>
      <c r="K145"/>
    </row>
    <row r="146" spans="1:11" x14ac:dyDescent="0.25">
      <c r="A146" s="313"/>
      <c r="B146" s="324"/>
      <c r="C146" s="31"/>
      <c r="D146" s="260"/>
      <c r="E146" s="325"/>
      <c r="F146" s="326"/>
      <c r="G146" s="39"/>
      <c r="H146" s="315"/>
      <c r="K146"/>
    </row>
    <row r="147" spans="1:11" x14ac:dyDescent="0.25">
      <c r="A147" s="313"/>
      <c r="B147" s="324"/>
      <c r="C147" s="31"/>
      <c r="D147" s="260"/>
      <c r="E147" s="325"/>
      <c r="F147" s="326"/>
      <c r="G147" s="39"/>
      <c r="H147" s="315"/>
      <c r="K147"/>
    </row>
    <row r="148" spans="1:11" x14ac:dyDescent="0.25">
      <c r="A148" s="313"/>
      <c r="B148" s="324"/>
      <c r="C148" s="31"/>
      <c r="D148" s="260"/>
      <c r="E148" s="325"/>
      <c r="F148" s="326"/>
      <c r="G148" s="39"/>
      <c r="H148" s="315"/>
      <c r="K148"/>
    </row>
    <row r="149" spans="1:11" x14ac:dyDescent="0.25">
      <c r="A149" s="313"/>
      <c r="B149" s="324"/>
      <c r="C149" s="31"/>
      <c r="D149" s="260"/>
      <c r="E149" s="325"/>
      <c r="F149" s="326"/>
      <c r="G149" s="39"/>
      <c r="H149" s="315"/>
      <c r="K149"/>
    </row>
    <row r="150" spans="1:11" x14ac:dyDescent="0.25">
      <c r="A150" s="313"/>
      <c r="B150" s="324"/>
      <c r="C150" s="31"/>
      <c r="D150" s="260"/>
      <c r="E150" s="325"/>
      <c r="F150" s="326"/>
      <c r="G150" s="39"/>
      <c r="H150" s="315"/>
      <c r="K150"/>
    </row>
    <row r="151" spans="1:11" x14ac:dyDescent="0.25">
      <c r="A151" s="313"/>
      <c r="B151" s="324"/>
      <c r="C151" s="31"/>
      <c r="D151" s="260"/>
      <c r="E151" s="325"/>
      <c r="F151" s="326"/>
      <c r="G151" s="39"/>
      <c r="H151" s="315"/>
      <c r="K151"/>
    </row>
    <row r="152" spans="1:11" x14ac:dyDescent="0.25">
      <c r="A152" s="313"/>
      <c r="B152" s="324"/>
      <c r="C152" s="31"/>
      <c r="D152" s="260"/>
      <c r="E152" s="325"/>
      <c r="F152" s="326"/>
      <c r="G152" s="39"/>
      <c r="H152" s="315"/>
      <c r="K152"/>
    </row>
    <row r="153" spans="1:11" x14ac:dyDescent="0.25">
      <c r="A153" s="313"/>
      <c r="B153" s="324"/>
      <c r="C153" s="31"/>
      <c r="D153" s="260"/>
      <c r="E153" s="325"/>
      <c r="F153" s="326"/>
      <c r="G153" s="39"/>
      <c r="H153" s="315"/>
      <c r="K153"/>
    </row>
    <row r="154" spans="1:11" x14ac:dyDescent="0.25">
      <c r="A154" s="313"/>
      <c r="B154" s="324"/>
      <c r="C154" s="31"/>
      <c r="D154" s="260"/>
      <c r="E154" s="327"/>
      <c r="F154" s="328"/>
      <c r="G154" s="39"/>
      <c r="H154" s="315"/>
      <c r="K154"/>
    </row>
    <row r="155" spans="1:11" x14ac:dyDescent="0.25">
      <c r="A155" s="183"/>
      <c r="B155" s="324"/>
      <c r="C155" s="329"/>
      <c r="D155" s="260"/>
      <c r="E155" s="327"/>
      <c r="F155" s="328"/>
      <c r="G155" s="39"/>
      <c r="H155" s="315"/>
      <c r="K155"/>
    </row>
    <row r="156" spans="1:11" x14ac:dyDescent="0.25">
      <c r="B156" s="324"/>
      <c r="C156" s="329"/>
      <c r="D156" s="260"/>
      <c r="E156" s="327"/>
      <c r="F156" s="328"/>
      <c r="G156" s="39"/>
      <c r="H156" s="315"/>
      <c r="K156"/>
    </row>
    <row r="157" spans="1:11" x14ac:dyDescent="0.25">
      <c r="B157" s="324"/>
      <c r="C157" s="329"/>
      <c r="D157" s="260"/>
      <c r="E157" s="327"/>
      <c r="F157" s="328"/>
      <c r="G157" s="39"/>
      <c r="H157" s="315"/>
      <c r="K157"/>
    </row>
    <row r="158" spans="1:11" x14ac:dyDescent="0.25">
      <c r="B158" s="324"/>
      <c r="C158" s="329"/>
      <c r="D158" s="260"/>
      <c r="E158" s="327"/>
      <c r="F158" s="328"/>
      <c r="G158" s="39"/>
      <c r="H158" s="315"/>
      <c r="K158"/>
    </row>
    <row r="159" spans="1:11" x14ac:dyDescent="0.25">
      <c r="B159" s="324"/>
      <c r="C159" s="329"/>
      <c r="D159" s="260"/>
      <c r="E159" s="327"/>
      <c r="F159" s="328"/>
      <c r="G159" s="39"/>
      <c r="H159" s="315"/>
      <c r="K159"/>
    </row>
    <row r="160" spans="1:11" x14ac:dyDescent="0.25">
      <c r="A160" s="290"/>
      <c r="B160" s="324"/>
      <c r="C160" s="329"/>
      <c r="D160" s="260"/>
      <c r="E160" s="327"/>
      <c r="F160" s="328"/>
      <c r="G160" s="27"/>
      <c r="H160" s="315"/>
      <c r="K160"/>
    </row>
    <row r="161" spans="2:11" x14ac:dyDescent="0.25">
      <c r="B161" s="324"/>
      <c r="C161" s="329"/>
      <c r="D161" s="260"/>
      <c r="E161" s="327"/>
      <c r="F161" s="328"/>
      <c r="G161" s="330"/>
      <c r="H161" s="315"/>
      <c r="K161"/>
    </row>
    <row r="162" spans="2:11" x14ac:dyDescent="0.25">
      <c r="B162" s="188"/>
      <c r="C162" s="329"/>
      <c r="D162" s="331"/>
      <c r="E162" s="311"/>
      <c r="F162" s="316"/>
      <c r="G162" s="330"/>
      <c r="H162" s="315"/>
      <c r="K162"/>
    </row>
    <row r="163" spans="2:11" x14ac:dyDescent="0.25">
      <c r="B163" s="188"/>
      <c r="C163" s="329"/>
      <c r="D163" s="331"/>
      <c r="E163" s="311"/>
      <c r="F163" s="316"/>
      <c r="G163" s="330"/>
      <c r="H163" s="315"/>
      <c r="K163"/>
    </row>
    <row r="164" spans="2:11" x14ac:dyDescent="0.25">
      <c r="B164" s="188"/>
      <c r="C164" s="329"/>
      <c r="D164" s="331"/>
      <c r="E164" s="311"/>
      <c r="F164" s="316"/>
      <c r="G164" s="330"/>
      <c r="H164" s="315"/>
      <c r="K164"/>
    </row>
    <row r="165" spans="2:11" x14ac:dyDescent="0.25">
      <c r="B165" s="188"/>
      <c r="C165" s="329"/>
      <c r="D165" s="331"/>
      <c r="E165" s="311"/>
      <c r="F165" s="316"/>
      <c r="G165" s="330"/>
      <c r="H165" s="315"/>
      <c r="K165"/>
    </row>
    <row r="166" spans="2:11" x14ac:dyDescent="0.25">
      <c r="B166" s="188"/>
      <c r="C166" s="329"/>
      <c r="D166" s="331"/>
      <c r="E166" s="311"/>
      <c r="F166" s="316"/>
      <c r="G166" s="330"/>
      <c r="H166" s="315"/>
      <c r="K166"/>
    </row>
    <row r="167" spans="2:11" x14ac:dyDescent="0.25">
      <c r="B167" s="188"/>
      <c r="C167" s="329"/>
      <c r="D167" s="331"/>
      <c r="E167" s="311"/>
      <c r="F167" s="316"/>
      <c r="G167" s="330"/>
      <c r="H167" s="315"/>
      <c r="K167"/>
    </row>
    <row r="168" spans="2:11" x14ac:dyDescent="0.25">
      <c r="B168" s="188"/>
      <c r="C168" s="329"/>
      <c r="D168" s="331"/>
      <c r="E168" s="311"/>
      <c r="F168" s="316"/>
      <c r="G168" s="330"/>
      <c r="H168" s="315"/>
      <c r="K168"/>
    </row>
  </sheetData>
  <mergeCells count="2">
    <mergeCell ref="A1:G1"/>
    <mergeCell ref="E131:F13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966FF"/>
  </sheetPr>
  <dimension ref="A1:HA114"/>
  <sheetViews>
    <sheetView topLeftCell="J1" workbookViewId="0">
      <pane xSplit="4" ySplit="3" topLeftCell="GT34" activePane="bottomRight" state="frozen"/>
      <selection activeCell="J1" sqref="J1"/>
      <selection pane="topRight" activeCell="N1" sqref="N1"/>
      <selection pane="bottomLeft" activeCell="J4" sqref="J4"/>
      <selection pane="bottomRight" activeCell="M49" sqref="M4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196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926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386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387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39" t="s">
        <v>16</v>
      </c>
      <c r="L3" s="540" t="s">
        <v>17</v>
      </c>
      <c r="M3" s="541" t="s">
        <v>18</v>
      </c>
      <c r="N3" s="542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388"/>
      <c r="GZ3" s="55"/>
    </row>
    <row r="4" spans="1:208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43</v>
      </c>
      <c r="K4" s="449" t="s">
        <v>315</v>
      </c>
      <c r="L4" s="538">
        <v>25320</v>
      </c>
      <c r="M4" s="102">
        <v>43040</v>
      </c>
      <c r="N4" s="103" t="s">
        <v>996</v>
      </c>
      <c r="O4" s="351">
        <v>31330</v>
      </c>
      <c r="P4" s="60">
        <f t="shared" ref="P4:P74" si="0">O4-L4</f>
        <v>6010</v>
      </c>
      <c r="Q4" s="333">
        <v>24</v>
      </c>
      <c r="R4" s="567"/>
      <c r="S4" s="567"/>
      <c r="T4" s="39">
        <f>Q4*O4</f>
        <v>751920</v>
      </c>
      <c r="U4" s="61" t="s">
        <v>72</v>
      </c>
      <c r="V4" s="62">
        <v>43061</v>
      </c>
      <c r="W4" s="63">
        <v>18774.599999999999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508">
        <v>43061</v>
      </c>
      <c r="GU4" s="29">
        <v>22176</v>
      </c>
      <c r="GV4" s="221" t="s">
        <v>945</v>
      </c>
      <c r="GW4" s="31"/>
      <c r="GX4" s="31"/>
      <c r="GY4" s="387" t="s">
        <v>1102</v>
      </c>
      <c r="GZ4" s="33">
        <v>3480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927</v>
      </c>
      <c r="K5" s="407" t="s">
        <v>35</v>
      </c>
      <c r="L5" s="77">
        <v>11050</v>
      </c>
      <c r="M5" s="71">
        <v>43041</v>
      </c>
      <c r="N5" s="56" t="s">
        <v>995</v>
      </c>
      <c r="O5" s="27">
        <v>14740</v>
      </c>
      <c r="P5" s="60">
        <f t="shared" si="0"/>
        <v>3690</v>
      </c>
      <c r="Q5" s="29">
        <v>24</v>
      </c>
      <c r="R5" s="57"/>
      <c r="S5" s="57"/>
      <c r="T5" s="39">
        <f>Q5*O5</f>
        <v>353760</v>
      </c>
      <c r="U5" s="336" t="s">
        <v>72</v>
      </c>
      <c r="V5" s="166">
        <v>43061</v>
      </c>
      <c r="W5" s="86">
        <v>9802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43061</v>
      </c>
      <c r="GU5" s="64">
        <v>17584</v>
      </c>
      <c r="GV5" s="65" t="s">
        <v>946</v>
      </c>
      <c r="GW5" s="66"/>
      <c r="GX5" s="66"/>
      <c r="GY5" s="389" t="s">
        <v>1102</v>
      </c>
      <c r="GZ5" s="67">
        <v>1856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928</v>
      </c>
      <c r="K6" s="407" t="s">
        <v>106</v>
      </c>
      <c r="L6" s="77">
        <v>17870</v>
      </c>
      <c r="M6" s="71">
        <v>43041</v>
      </c>
      <c r="N6" s="56" t="s">
        <v>976</v>
      </c>
      <c r="O6" s="27">
        <v>22475</v>
      </c>
      <c r="P6" s="60">
        <f t="shared" si="0"/>
        <v>4605</v>
      </c>
      <c r="Q6" s="29">
        <v>24</v>
      </c>
      <c r="R6" s="57"/>
      <c r="S6" s="57"/>
      <c r="T6" s="39">
        <f t="shared" ref="T6:T76" si="1">Q6*O6</f>
        <v>539400</v>
      </c>
      <c r="U6" s="336" t="s">
        <v>72</v>
      </c>
      <c r="V6" s="166">
        <v>43060</v>
      </c>
      <c r="W6" s="86">
        <v>14929.2</v>
      </c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>
        <v>43060</v>
      </c>
      <c r="GU6" s="64"/>
      <c r="GV6" s="65"/>
      <c r="GW6" s="66"/>
      <c r="GX6" s="66"/>
      <c r="GY6" s="389" t="s">
        <v>1102</v>
      </c>
      <c r="GZ6" s="67">
        <v>3480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930</v>
      </c>
      <c r="K7" s="407" t="s">
        <v>929</v>
      </c>
      <c r="L7" s="70">
        <v>17590</v>
      </c>
      <c r="M7" s="71">
        <v>43042</v>
      </c>
      <c r="N7" s="56" t="s">
        <v>999</v>
      </c>
      <c r="O7" s="72">
        <v>28095</v>
      </c>
      <c r="P7" s="60">
        <f t="shared" si="0"/>
        <v>10505</v>
      </c>
      <c r="Q7" s="64">
        <v>24</v>
      </c>
      <c r="R7" s="57"/>
      <c r="S7" s="57"/>
      <c r="T7" s="39">
        <f t="shared" si="1"/>
        <v>674280</v>
      </c>
      <c r="U7" s="82" t="s">
        <v>72</v>
      </c>
      <c r="V7" s="339">
        <v>43062</v>
      </c>
      <c r="W7" s="340">
        <v>17266.599999999999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43062</v>
      </c>
      <c r="GU7" s="73">
        <v>22176</v>
      </c>
      <c r="GV7" s="65" t="s">
        <v>947</v>
      </c>
      <c r="GW7" s="74"/>
      <c r="GX7" s="74"/>
      <c r="GY7" s="391" t="s">
        <v>1102</v>
      </c>
      <c r="GZ7" s="429">
        <v>3480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931</v>
      </c>
      <c r="K8" s="407" t="s">
        <v>211</v>
      </c>
      <c r="L8" s="77">
        <v>12210</v>
      </c>
      <c r="M8" s="71">
        <v>43042</v>
      </c>
      <c r="N8" s="56" t="s">
        <v>1000</v>
      </c>
      <c r="O8" s="78">
        <v>10285</v>
      </c>
      <c r="P8" s="60">
        <f t="shared" si="0"/>
        <v>-1925</v>
      </c>
      <c r="Q8" s="79">
        <v>24</v>
      </c>
      <c r="R8" s="80"/>
      <c r="S8" s="81"/>
      <c r="T8" s="39">
        <f t="shared" si="1"/>
        <v>246840</v>
      </c>
      <c r="U8" s="82" t="s">
        <v>72</v>
      </c>
      <c r="V8" s="339">
        <v>43062</v>
      </c>
      <c r="W8" s="340">
        <v>7464.6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515">
        <v>43062</v>
      </c>
      <c r="GU8" s="73">
        <v>17584</v>
      </c>
      <c r="GV8" s="84" t="s">
        <v>949</v>
      </c>
      <c r="GW8" s="74"/>
      <c r="GX8" s="74"/>
      <c r="GY8" s="391" t="s">
        <v>1102</v>
      </c>
      <c r="GZ8" s="67">
        <v>1856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96</v>
      </c>
      <c r="K9" s="407" t="s">
        <v>745</v>
      </c>
      <c r="L9" s="77">
        <v>20730</v>
      </c>
      <c r="M9" s="71">
        <v>43044</v>
      </c>
      <c r="N9" s="56" t="s">
        <v>1001</v>
      </c>
      <c r="O9" s="78">
        <v>25720</v>
      </c>
      <c r="P9" s="60">
        <f t="shared" si="0"/>
        <v>4990</v>
      </c>
      <c r="Q9" s="79">
        <v>24</v>
      </c>
      <c r="R9" s="64"/>
      <c r="S9" s="89"/>
      <c r="T9" s="39">
        <f t="shared" si="1"/>
        <v>617280</v>
      </c>
      <c r="U9" s="90" t="s">
        <v>72</v>
      </c>
      <c r="V9" s="83">
        <v>43063</v>
      </c>
      <c r="W9" s="91">
        <v>18096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97">
        <v>43063</v>
      </c>
      <c r="GU9" s="98">
        <v>17584</v>
      </c>
      <c r="GV9" s="65" t="s">
        <v>955</v>
      </c>
      <c r="GW9" s="74"/>
      <c r="GX9" s="74"/>
      <c r="GY9" s="391" t="s">
        <v>1102</v>
      </c>
      <c r="GZ9" s="67">
        <v>3480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183</v>
      </c>
      <c r="K10" s="407" t="s">
        <v>35</v>
      </c>
      <c r="L10" s="77">
        <v>10420</v>
      </c>
      <c r="M10" s="71">
        <v>43044</v>
      </c>
      <c r="N10" s="56" t="s">
        <v>1002</v>
      </c>
      <c r="O10" s="78">
        <v>14335</v>
      </c>
      <c r="P10" s="60">
        <f t="shared" si="0"/>
        <v>3915</v>
      </c>
      <c r="Q10" s="79">
        <v>24</v>
      </c>
      <c r="R10" s="64"/>
      <c r="S10" s="89"/>
      <c r="T10" s="39">
        <f t="shared" si="1"/>
        <v>344040</v>
      </c>
      <c r="U10" s="90" t="s">
        <v>72</v>
      </c>
      <c r="V10" s="83">
        <v>43063</v>
      </c>
      <c r="W10" s="91">
        <v>9802</v>
      </c>
      <c r="X10" s="17"/>
      <c r="Y10" s="20"/>
      <c r="Z10" s="92"/>
      <c r="AA10" s="93"/>
      <c r="AB10" s="92"/>
      <c r="AC10" s="94"/>
      <c r="AD10" s="95"/>
      <c r="AE10" s="17"/>
      <c r="AF10" s="17"/>
      <c r="AG10" s="17"/>
      <c r="AH10" s="20"/>
      <c r="AI10" s="92"/>
      <c r="AJ10" s="93"/>
      <c r="AK10" s="92"/>
      <c r="AL10" s="94"/>
      <c r="AM10" s="95"/>
      <c r="AN10" s="17"/>
      <c r="AO10" s="17"/>
      <c r="AP10" s="17"/>
      <c r="AQ10" s="20"/>
      <c r="AR10" s="92"/>
      <c r="AS10" s="93"/>
      <c r="AT10" s="92"/>
      <c r="AU10" s="94"/>
      <c r="AV10" s="95"/>
      <c r="AW10" s="17"/>
      <c r="AX10" s="17"/>
      <c r="AY10" s="17"/>
      <c r="AZ10" s="20"/>
      <c r="BA10" s="92"/>
      <c r="BB10" s="93"/>
      <c r="BC10" s="92"/>
      <c r="BD10" s="94"/>
      <c r="BE10" s="95"/>
      <c r="BF10" s="17"/>
      <c r="BG10" s="17"/>
      <c r="BH10" s="17"/>
      <c r="BI10" s="20"/>
      <c r="BJ10" s="92"/>
      <c r="BK10" s="93"/>
      <c r="BL10" s="92"/>
      <c r="BM10" s="94"/>
      <c r="BN10" s="95"/>
      <c r="BO10" s="17"/>
      <c r="BP10" s="17"/>
      <c r="BQ10" s="17"/>
      <c r="BR10" s="20"/>
      <c r="BS10" s="92"/>
      <c r="BT10" s="93"/>
      <c r="BU10" s="92"/>
      <c r="BV10" s="94"/>
      <c r="BW10" s="95"/>
      <c r="BX10" s="17"/>
      <c r="BY10" s="17"/>
      <c r="BZ10" s="17"/>
      <c r="CA10" s="20"/>
      <c r="CB10" s="92"/>
      <c r="CC10" s="93"/>
      <c r="CD10" s="92"/>
      <c r="CE10" s="94"/>
      <c r="CF10" s="95"/>
      <c r="CG10" s="17"/>
      <c r="CH10" s="17"/>
      <c r="CI10" s="17"/>
      <c r="CJ10" s="20"/>
      <c r="CK10" s="92"/>
      <c r="CL10" s="93"/>
      <c r="CM10" s="92"/>
      <c r="CN10" s="94"/>
      <c r="CO10" s="95"/>
      <c r="CP10" s="17"/>
      <c r="CQ10" s="17"/>
      <c r="CR10" s="17"/>
      <c r="CS10" s="20"/>
      <c r="CT10" s="92"/>
      <c r="CU10" s="93"/>
      <c r="CV10" s="96"/>
      <c r="CW10" s="94"/>
      <c r="CX10" s="95"/>
      <c r="CY10" s="17"/>
      <c r="CZ10" s="17"/>
      <c r="DA10" s="17"/>
      <c r="DB10" s="20"/>
      <c r="DC10" s="92"/>
      <c r="DD10" s="93"/>
      <c r="DE10" s="92"/>
      <c r="DF10" s="94"/>
      <c r="DG10" s="95"/>
      <c r="DH10" s="17"/>
      <c r="DI10" s="17"/>
      <c r="DJ10" s="17"/>
      <c r="DK10" s="20"/>
      <c r="DL10" s="92"/>
      <c r="DM10" s="93"/>
      <c r="DN10" s="92"/>
      <c r="DO10" s="94"/>
      <c r="DP10" s="95"/>
      <c r="DQ10" s="17"/>
      <c r="DR10" s="17"/>
      <c r="DS10" s="17"/>
      <c r="DT10" s="20"/>
      <c r="DU10" s="92"/>
      <c r="DV10" s="93"/>
      <c r="DW10" s="92"/>
      <c r="DX10" s="94"/>
      <c r="DY10" s="95"/>
      <c r="DZ10" s="17"/>
      <c r="EA10" s="17"/>
      <c r="EB10" s="17"/>
      <c r="EC10" s="20"/>
      <c r="ED10" s="92"/>
      <c r="EE10" s="93"/>
      <c r="EF10" s="92"/>
      <c r="EG10" s="94"/>
      <c r="EH10" s="95"/>
      <c r="EI10" s="17"/>
      <c r="EJ10" s="17"/>
      <c r="EK10" s="17"/>
      <c r="EL10" s="20"/>
      <c r="EM10" s="92"/>
      <c r="EN10" s="93"/>
      <c r="EO10" s="92"/>
      <c r="EP10" s="94"/>
      <c r="EQ10" s="95"/>
      <c r="ER10" s="17"/>
      <c r="ES10" s="17"/>
      <c r="ET10" s="17"/>
      <c r="EU10" s="20"/>
      <c r="EV10" s="92"/>
      <c r="EW10" s="93"/>
      <c r="EX10" s="92"/>
      <c r="EY10" s="94"/>
      <c r="EZ10" s="95"/>
      <c r="FA10" s="17"/>
      <c r="FB10" s="17"/>
      <c r="FC10" s="17"/>
      <c r="FD10" s="20"/>
      <c r="FE10" s="92"/>
      <c r="FF10" s="93"/>
      <c r="FG10" s="92"/>
      <c r="FH10" s="94"/>
      <c r="FI10" s="95"/>
      <c r="FJ10" s="17"/>
      <c r="FK10" s="17"/>
      <c r="FL10" s="17"/>
      <c r="FM10" s="20"/>
      <c r="FN10" s="92"/>
      <c r="FO10" s="93"/>
      <c r="FP10" s="92"/>
      <c r="FQ10" s="94"/>
      <c r="FR10" s="95"/>
      <c r="FS10" s="17"/>
      <c r="FT10" s="17"/>
      <c r="FU10" s="17"/>
      <c r="FV10" s="20"/>
      <c r="FW10" s="92"/>
      <c r="FX10" s="93"/>
      <c r="FY10" s="92"/>
      <c r="FZ10" s="94"/>
      <c r="GA10" s="95"/>
      <c r="GB10" s="17"/>
      <c r="GC10" s="17"/>
      <c r="GD10" s="17"/>
      <c r="GE10" s="20"/>
      <c r="GF10" s="92"/>
      <c r="GG10" s="93"/>
      <c r="GH10" s="92"/>
      <c r="GI10" s="94"/>
      <c r="GJ10" s="95"/>
      <c r="GK10" s="17"/>
      <c r="GL10" s="17"/>
      <c r="GM10" s="17"/>
      <c r="GN10" s="20"/>
      <c r="GO10" s="92"/>
      <c r="GP10" s="93"/>
      <c r="GQ10" s="92"/>
      <c r="GR10" s="94"/>
      <c r="GS10" s="95"/>
      <c r="GT10" s="97">
        <v>43063</v>
      </c>
      <c r="GU10" s="98"/>
      <c r="GV10" s="65"/>
      <c r="GW10" s="74"/>
      <c r="GX10" s="74"/>
      <c r="GY10" s="391" t="s">
        <v>1102</v>
      </c>
      <c r="GZ10" s="67">
        <v>1856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96</v>
      </c>
      <c r="K11" s="407" t="s">
        <v>315</v>
      </c>
      <c r="L11" s="70">
        <v>21840</v>
      </c>
      <c r="M11" s="71">
        <v>43045</v>
      </c>
      <c r="N11" s="56" t="s">
        <v>1004</v>
      </c>
      <c r="O11" s="72">
        <v>27580</v>
      </c>
      <c r="P11" s="60">
        <f t="shared" si="0"/>
        <v>5740</v>
      </c>
      <c r="Q11" s="64">
        <v>24</v>
      </c>
      <c r="R11" s="64"/>
      <c r="S11" s="99"/>
      <c r="T11" s="39">
        <f t="shared" si="1"/>
        <v>661920</v>
      </c>
      <c r="U11" s="90" t="s">
        <v>72</v>
      </c>
      <c r="V11" s="83">
        <v>43066</v>
      </c>
      <c r="W11" s="91">
        <v>18774.599999999999</v>
      </c>
      <c r="X11" s="17"/>
      <c r="Y11" s="20"/>
      <c r="Z11" s="92"/>
      <c r="AA11" s="93"/>
      <c r="AB11" s="92"/>
      <c r="AC11" s="94"/>
      <c r="AD11" s="95"/>
      <c r="AE11" s="17"/>
      <c r="AF11" s="17"/>
      <c r="AG11" s="17"/>
      <c r="AH11" s="20"/>
      <c r="AI11" s="92"/>
      <c r="AJ11" s="93"/>
      <c r="AK11" s="92"/>
      <c r="AL11" s="94"/>
      <c r="AM11" s="95"/>
      <c r="AN11" s="17"/>
      <c r="AO11" s="17"/>
      <c r="AP11" s="17"/>
      <c r="AQ11" s="20"/>
      <c r="AR11" s="92"/>
      <c r="AS11" s="93"/>
      <c r="AT11" s="92"/>
      <c r="AU11" s="94"/>
      <c r="AV11" s="95"/>
      <c r="AW11" s="17"/>
      <c r="AX11" s="17"/>
      <c r="AY11" s="17"/>
      <c r="AZ11" s="20"/>
      <c r="BA11" s="92"/>
      <c r="BB11" s="93"/>
      <c r="BC11" s="92"/>
      <c r="BD11" s="94"/>
      <c r="BE11" s="95"/>
      <c r="BF11" s="17"/>
      <c r="BG11" s="17"/>
      <c r="BH11" s="17"/>
      <c r="BI11" s="20"/>
      <c r="BJ11" s="92"/>
      <c r="BK11" s="93"/>
      <c r="BL11" s="92"/>
      <c r="BM11" s="94"/>
      <c r="BN11" s="95"/>
      <c r="BO11" s="17"/>
      <c r="BP11" s="17"/>
      <c r="BQ11" s="17"/>
      <c r="BR11" s="20"/>
      <c r="BS11" s="92"/>
      <c r="BT11" s="93"/>
      <c r="BU11" s="92"/>
      <c r="BV11" s="94"/>
      <c r="BW11" s="95"/>
      <c r="BX11" s="17"/>
      <c r="BY11" s="17"/>
      <c r="BZ11" s="17"/>
      <c r="CA11" s="20"/>
      <c r="CB11" s="92"/>
      <c r="CC11" s="93"/>
      <c r="CD11" s="92"/>
      <c r="CE11" s="94"/>
      <c r="CF11" s="95"/>
      <c r="CG11" s="17"/>
      <c r="CH11" s="17"/>
      <c r="CI11" s="17"/>
      <c r="CJ11" s="20"/>
      <c r="CK11" s="92"/>
      <c r="CL11" s="93"/>
      <c r="CM11" s="92"/>
      <c r="CN11" s="94"/>
      <c r="CO11" s="95"/>
      <c r="CP11" s="17"/>
      <c r="CQ11" s="17"/>
      <c r="CR11" s="17"/>
      <c r="CS11" s="20"/>
      <c r="CT11" s="92"/>
      <c r="CU11" s="93"/>
      <c r="CV11" s="96"/>
      <c r="CW11" s="94"/>
      <c r="CX11" s="95"/>
      <c r="CY11" s="17"/>
      <c r="CZ11" s="17"/>
      <c r="DA11" s="17"/>
      <c r="DB11" s="20"/>
      <c r="DC11" s="92"/>
      <c r="DD11" s="93"/>
      <c r="DE11" s="92"/>
      <c r="DF11" s="94"/>
      <c r="DG11" s="95"/>
      <c r="DH11" s="17"/>
      <c r="DI11" s="17"/>
      <c r="DJ11" s="17"/>
      <c r="DK11" s="20"/>
      <c r="DL11" s="92"/>
      <c r="DM11" s="93"/>
      <c r="DN11" s="92"/>
      <c r="DO11" s="94"/>
      <c r="DP11" s="95"/>
      <c r="DQ11" s="17"/>
      <c r="DR11" s="17"/>
      <c r="DS11" s="17"/>
      <c r="DT11" s="20"/>
      <c r="DU11" s="92"/>
      <c r="DV11" s="93"/>
      <c r="DW11" s="92"/>
      <c r="DX11" s="94"/>
      <c r="DY11" s="95"/>
      <c r="DZ11" s="17"/>
      <c r="EA11" s="17"/>
      <c r="EB11" s="17"/>
      <c r="EC11" s="20"/>
      <c r="ED11" s="92"/>
      <c r="EE11" s="93"/>
      <c r="EF11" s="92"/>
      <c r="EG11" s="94"/>
      <c r="EH11" s="95"/>
      <c r="EI11" s="17"/>
      <c r="EJ11" s="17"/>
      <c r="EK11" s="17"/>
      <c r="EL11" s="20"/>
      <c r="EM11" s="92"/>
      <c r="EN11" s="93"/>
      <c r="EO11" s="92"/>
      <c r="EP11" s="94"/>
      <c r="EQ11" s="95"/>
      <c r="ER11" s="17"/>
      <c r="ES11" s="17"/>
      <c r="ET11" s="17"/>
      <c r="EU11" s="20"/>
      <c r="EV11" s="92"/>
      <c r="EW11" s="93"/>
      <c r="EX11" s="92"/>
      <c r="EY11" s="94"/>
      <c r="EZ11" s="95"/>
      <c r="FA11" s="17"/>
      <c r="FB11" s="17"/>
      <c r="FC11" s="17"/>
      <c r="FD11" s="20"/>
      <c r="FE11" s="92"/>
      <c r="FF11" s="93"/>
      <c r="FG11" s="92"/>
      <c r="FH11" s="94"/>
      <c r="FI11" s="95"/>
      <c r="FJ11" s="17"/>
      <c r="FK11" s="17"/>
      <c r="FL11" s="17"/>
      <c r="FM11" s="20"/>
      <c r="FN11" s="92"/>
      <c r="FO11" s="93"/>
      <c r="FP11" s="92"/>
      <c r="FQ11" s="94"/>
      <c r="FR11" s="95"/>
      <c r="FS11" s="17"/>
      <c r="FT11" s="17"/>
      <c r="FU11" s="17"/>
      <c r="FV11" s="20"/>
      <c r="FW11" s="92"/>
      <c r="FX11" s="93"/>
      <c r="FY11" s="92"/>
      <c r="FZ11" s="94"/>
      <c r="GA11" s="95"/>
      <c r="GB11" s="17"/>
      <c r="GC11" s="17"/>
      <c r="GD11" s="17"/>
      <c r="GE11" s="20"/>
      <c r="GF11" s="92"/>
      <c r="GG11" s="93"/>
      <c r="GH11" s="92"/>
      <c r="GI11" s="94"/>
      <c r="GJ11" s="95"/>
      <c r="GK11" s="17"/>
      <c r="GL11" s="17"/>
      <c r="GM11" s="17"/>
      <c r="GN11" s="20"/>
      <c r="GO11" s="92"/>
      <c r="GP11" s="93"/>
      <c r="GQ11" s="92"/>
      <c r="GR11" s="94"/>
      <c r="GS11" s="95"/>
      <c r="GT11" s="97">
        <v>43066</v>
      </c>
      <c r="GU11" s="98">
        <v>22064</v>
      </c>
      <c r="GV11" s="65" t="s">
        <v>956</v>
      </c>
      <c r="GW11" s="74"/>
      <c r="GX11" s="74"/>
      <c r="GY11" s="391" t="s">
        <v>1102</v>
      </c>
      <c r="GZ11" s="67">
        <v>3480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44</v>
      </c>
      <c r="K12" s="449" t="s">
        <v>932</v>
      </c>
      <c r="L12" s="101">
        <v>24100</v>
      </c>
      <c r="M12" s="102">
        <v>43046</v>
      </c>
      <c r="N12" s="103" t="s">
        <v>1005</v>
      </c>
      <c r="O12" s="104">
        <v>29670</v>
      </c>
      <c r="P12" s="60">
        <f t="shared" si="0"/>
        <v>5570</v>
      </c>
      <c r="Q12" s="29">
        <v>24</v>
      </c>
      <c r="R12" s="105"/>
      <c r="S12" s="106"/>
      <c r="T12" s="39">
        <f t="shared" si="1"/>
        <v>712080</v>
      </c>
      <c r="U12" s="107" t="s">
        <v>72</v>
      </c>
      <c r="V12" s="108">
        <v>43066</v>
      </c>
      <c r="W12" s="109">
        <v>18774.599999999999</v>
      </c>
      <c r="X12" s="17"/>
      <c r="Y12" s="20"/>
      <c r="Z12" s="92"/>
      <c r="AA12" s="93"/>
      <c r="AB12" s="92"/>
      <c r="AC12" s="94"/>
      <c r="AD12" s="95"/>
      <c r="AE12" s="17"/>
      <c r="AF12" s="17"/>
      <c r="AG12" s="17"/>
      <c r="AH12" s="20"/>
      <c r="AI12" s="92"/>
      <c r="AJ12" s="93"/>
      <c r="AK12" s="92"/>
      <c r="AL12" s="94"/>
      <c r="AM12" s="95"/>
      <c r="AN12" s="17"/>
      <c r="AO12" s="17"/>
      <c r="AP12" s="17"/>
      <c r="AQ12" s="20"/>
      <c r="AR12" s="92"/>
      <c r="AS12" s="93"/>
      <c r="AT12" s="92"/>
      <c r="AU12" s="94"/>
      <c r="AV12" s="95"/>
      <c r="AW12" s="17"/>
      <c r="AX12" s="17"/>
      <c r="AY12" s="17"/>
      <c r="AZ12" s="20"/>
      <c r="BA12" s="92"/>
      <c r="BB12" s="93"/>
      <c r="BC12" s="92"/>
      <c r="BD12" s="94"/>
      <c r="BE12" s="95"/>
      <c r="BF12" s="17"/>
      <c r="BG12" s="17"/>
      <c r="BH12" s="17"/>
      <c r="BI12" s="20"/>
      <c r="BJ12" s="92"/>
      <c r="BK12" s="93"/>
      <c r="BL12" s="92"/>
      <c r="BM12" s="94"/>
      <c r="BN12" s="95"/>
      <c r="BO12" s="17"/>
      <c r="BP12" s="17"/>
      <c r="BQ12" s="17"/>
      <c r="BR12" s="20"/>
      <c r="BS12" s="92"/>
      <c r="BT12" s="93"/>
      <c r="BU12" s="92"/>
      <c r="BV12" s="94"/>
      <c r="BW12" s="95"/>
      <c r="BX12" s="17"/>
      <c r="BY12" s="17"/>
      <c r="BZ12" s="17"/>
      <c r="CA12" s="20"/>
      <c r="CB12" s="92"/>
      <c r="CC12" s="93"/>
      <c r="CD12" s="92"/>
      <c r="CE12" s="94"/>
      <c r="CF12" s="95"/>
      <c r="CG12" s="17"/>
      <c r="CH12" s="17"/>
      <c r="CI12" s="17"/>
      <c r="CJ12" s="20"/>
      <c r="CK12" s="92"/>
      <c r="CL12" s="93"/>
      <c r="CM12" s="92"/>
      <c r="CN12" s="94"/>
      <c r="CO12" s="95"/>
      <c r="CP12" s="17"/>
      <c r="CQ12" s="17"/>
      <c r="CR12" s="17"/>
      <c r="CS12" s="20"/>
      <c r="CT12" s="92"/>
      <c r="CU12" s="93"/>
      <c r="CV12" s="96"/>
      <c r="CW12" s="94"/>
      <c r="CX12" s="95"/>
      <c r="CY12" s="17"/>
      <c r="CZ12" s="17"/>
      <c r="DA12" s="17"/>
      <c r="DB12" s="20"/>
      <c r="DC12" s="92"/>
      <c r="DD12" s="93"/>
      <c r="DE12" s="92"/>
      <c r="DF12" s="94"/>
      <c r="DG12" s="95"/>
      <c r="DH12" s="17"/>
      <c r="DI12" s="17"/>
      <c r="DJ12" s="17"/>
      <c r="DK12" s="20"/>
      <c r="DL12" s="92"/>
      <c r="DM12" s="93"/>
      <c r="DN12" s="92"/>
      <c r="DO12" s="94"/>
      <c r="DP12" s="95"/>
      <c r="DQ12" s="17"/>
      <c r="DR12" s="17"/>
      <c r="DS12" s="17"/>
      <c r="DT12" s="20"/>
      <c r="DU12" s="92"/>
      <c r="DV12" s="93"/>
      <c r="DW12" s="92"/>
      <c r="DX12" s="94"/>
      <c r="DY12" s="95"/>
      <c r="DZ12" s="17"/>
      <c r="EA12" s="17"/>
      <c r="EB12" s="17"/>
      <c r="EC12" s="20"/>
      <c r="ED12" s="92"/>
      <c r="EE12" s="93"/>
      <c r="EF12" s="92"/>
      <c r="EG12" s="94"/>
      <c r="EH12" s="95"/>
      <c r="EI12" s="17"/>
      <c r="EJ12" s="17"/>
      <c r="EK12" s="17"/>
      <c r="EL12" s="20"/>
      <c r="EM12" s="92"/>
      <c r="EN12" s="93"/>
      <c r="EO12" s="92"/>
      <c r="EP12" s="94"/>
      <c r="EQ12" s="95"/>
      <c r="ER12" s="17"/>
      <c r="ES12" s="17"/>
      <c r="ET12" s="17"/>
      <c r="EU12" s="20"/>
      <c r="EV12" s="92"/>
      <c r="EW12" s="93"/>
      <c r="EX12" s="92"/>
      <c r="EY12" s="94"/>
      <c r="EZ12" s="95"/>
      <c r="FA12" s="17"/>
      <c r="FB12" s="17"/>
      <c r="FC12" s="17"/>
      <c r="FD12" s="20"/>
      <c r="FE12" s="92"/>
      <c r="FF12" s="93"/>
      <c r="FG12" s="92"/>
      <c r="FH12" s="94"/>
      <c r="FI12" s="95"/>
      <c r="FJ12" s="17"/>
      <c r="FK12" s="17"/>
      <c r="FL12" s="17"/>
      <c r="FM12" s="20"/>
      <c r="FN12" s="92"/>
      <c r="FO12" s="93"/>
      <c r="FP12" s="92"/>
      <c r="FQ12" s="94"/>
      <c r="FR12" s="95"/>
      <c r="FS12" s="17"/>
      <c r="FT12" s="17"/>
      <c r="FU12" s="17"/>
      <c r="FV12" s="20"/>
      <c r="FW12" s="92"/>
      <c r="FX12" s="93"/>
      <c r="FY12" s="92"/>
      <c r="FZ12" s="94"/>
      <c r="GA12" s="95"/>
      <c r="GB12" s="17"/>
      <c r="GC12" s="17"/>
      <c r="GD12" s="17"/>
      <c r="GE12" s="20"/>
      <c r="GF12" s="92"/>
      <c r="GG12" s="93"/>
      <c r="GH12" s="92"/>
      <c r="GI12" s="94"/>
      <c r="GJ12" s="95"/>
      <c r="GK12" s="17"/>
      <c r="GL12" s="17"/>
      <c r="GM12" s="17"/>
      <c r="GN12" s="20"/>
      <c r="GO12" s="92"/>
      <c r="GP12" s="93"/>
      <c r="GQ12" s="92"/>
      <c r="GR12" s="94"/>
      <c r="GS12" s="95"/>
      <c r="GT12" s="97">
        <v>43066</v>
      </c>
      <c r="GU12" s="98"/>
      <c r="GV12" s="65"/>
      <c r="GW12" s="74"/>
      <c r="GX12" s="74"/>
      <c r="GY12" s="391" t="s">
        <v>1102</v>
      </c>
      <c r="GZ12" s="67">
        <v>3480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68" t="s">
        <v>44</v>
      </c>
      <c r="K13" s="449" t="s">
        <v>41</v>
      </c>
      <c r="L13" s="101">
        <v>23220</v>
      </c>
      <c r="M13" s="102">
        <v>43047</v>
      </c>
      <c r="N13" s="103" t="s">
        <v>1017</v>
      </c>
      <c r="O13" s="104">
        <v>28820</v>
      </c>
      <c r="P13" s="60">
        <f t="shared" si="0"/>
        <v>5600</v>
      </c>
      <c r="Q13" s="29">
        <v>24</v>
      </c>
      <c r="R13" s="105"/>
      <c r="S13" s="106"/>
      <c r="T13" s="39">
        <f t="shared" si="1"/>
        <v>691680</v>
      </c>
      <c r="U13" s="107" t="s">
        <v>72</v>
      </c>
      <c r="V13" s="108">
        <v>43067</v>
      </c>
      <c r="W13" s="109">
        <v>18850</v>
      </c>
      <c r="X13" s="17"/>
      <c r="Y13" s="20"/>
      <c r="Z13" s="92"/>
      <c r="AA13" s="93"/>
      <c r="AB13" s="92"/>
      <c r="AC13" s="94"/>
      <c r="AD13" s="95"/>
      <c r="AE13" s="17"/>
      <c r="AF13" s="17"/>
      <c r="AG13" s="17"/>
      <c r="AH13" s="20"/>
      <c r="AI13" s="92"/>
      <c r="AJ13" s="93"/>
      <c r="AK13" s="92"/>
      <c r="AL13" s="94"/>
      <c r="AM13" s="95"/>
      <c r="AN13" s="17"/>
      <c r="AO13" s="17"/>
      <c r="AP13" s="17"/>
      <c r="AQ13" s="20"/>
      <c r="AR13" s="92"/>
      <c r="AS13" s="93"/>
      <c r="AT13" s="92"/>
      <c r="AU13" s="94"/>
      <c r="AV13" s="95"/>
      <c r="AW13" s="17"/>
      <c r="AX13" s="17"/>
      <c r="AY13" s="17"/>
      <c r="AZ13" s="20"/>
      <c r="BA13" s="92"/>
      <c r="BB13" s="93"/>
      <c r="BC13" s="92"/>
      <c r="BD13" s="94"/>
      <c r="BE13" s="95"/>
      <c r="BF13" s="17"/>
      <c r="BG13" s="17"/>
      <c r="BH13" s="17"/>
      <c r="BI13" s="20"/>
      <c r="BJ13" s="92"/>
      <c r="BK13" s="93"/>
      <c r="BL13" s="92"/>
      <c r="BM13" s="94"/>
      <c r="BN13" s="95"/>
      <c r="BO13" s="17"/>
      <c r="BP13" s="17"/>
      <c r="BQ13" s="17"/>
      <c r="BR13" s="20"/>
      <c r="BS13" s="92"/>
      <c r="BT13" s="93"/>
      <c r="BU13" s="92"/>
      <c r="BV13" s="94"/>
      <c r="BW13" s="95"/>
      <c r="BX13" s="17"/>
      <c r="BY13" s="17"/>
      <c r="BZ13" s="17"/>
      <c r="CA13" s="20"/>
      <c r="CB13" s="92"/>
      <c r="CC13" s="93"/>
      <c r="CD13" s="92"/>
      <c r="CE13" s="94"/>
      <c r="CF13" s="95"/>
      <c r="CG13" s="17"/>
      <c r="CH13" s="17"/>
      <c r="CI13" s="17"/>
      <c r="CJ13" s="20"/>
      <c r="CK13" s="92"/>
      <c r="CL13" s="93"/>
      <c r="CM13" s="92"/>
      <c r="CN13" s="94"/>
      <c r="CO13" s="95"/>
      <c r="CP13" s="17"/>
      <c r="CQ13" s="17"/>
      <c r="CR13" s="17"/>
      <c r="CS13" s="20"/>
      <c r="CT13" s="92"/>
      <c r="CU13" s="93"/>
      <c r="CV13" s="96"/>
      <c r="CW13" s="94"/>
      <c r="CX13" s="95"/>
      <c r="CY13" s="17"/>
      <c r="CZ13" s="17"/>
      <c r="DA13" s="17"/>
      <c r="DB13" s="20"/>
      <c r="DC13" s="92"/>
      <c r="DD13" s="93"/>
      <c r="DE13" s="92"/>
      <c r="DF13" s="94"/>
      <c r="DG13" s="95"/>
      <c r="DH13" s="17"/>
      <c r="DI13" s="17"/>
      <c r="DJ13" s="17"/>
      <c r="DK13" s="20"/>
      <c r="DL13" s="92"/>
      <c r="DM13" s="93"/>
      <c r="DN13" s="92"/>
      <c r="DO13" s="94"/>
      <c r="DP13" s="95"/>
      <c r="DQ13" s="17"/>
      <c r="DR13" s="17"/>
      <c r="DS13" s="17"/>
      <c r="DT13" s="20"/>
      <c r="DU13" s="92"/>
      <c r="DV13" s="93"/>
      <c r="DW13" s="92"/>
      <c r="DX13" s="94"/>
      <c r="DY13" s="95"/>
      <c r="DZ13" s="17"/>
      <c r="EA13" s="17"/>
      <c r="EB13" s="17"/>
      <c r="EC13" s="20"/>
      <c r="ED13" s="92"/>
      <c r="EE13" s="93"/>
      <c r="EF13" s="92"/>
      <c r="EG13" s="94"/>
      <c r="EH13" s="95"/>
      <c r="EI13" s="17"/>
      <c r="EJ13" s="17"/>
      <c r="EK13" s="17"/>
      <c r="EL13" s="20"/>
      <c r="EM13" s="92"/>
      <c r="EN13" s="93"/>
      <c r="EO13" s="92"/>
      <c r="EP13" s="94"/>
      <c r="EQ13" s="95"/>
      <c r="ER13" s="17"/>
      <c r="ES13" s="17"/>
      <c r="ET13" s="17"/>
      <c r="EU13" s="20"/>
      <c r="EV13" s="92"/>
      <c r="EW13" s="93"/>
      <c r="EX13" s="92"/>
      <c r="EY13" s="94"/>
      <c r="EZ13" s="95"/>
      <c r="FA13" s="17"/>
      <c r="FB13" s="17"/>
      <c r="FC13" s="17"/>
      <c r="FD13" s="20"/>
      <c r="FE13" s="92"/>
      <c r="FF13" s="93"/>
      <c r="FG13" s="92"/>
      <c r="FH13" s="94"/>
      <c r="FI13" s="95"/>
      <c r="FJ13" s="17"/>
      <c r="FK13" s="17"/>
      <c r="FL13" s="17"/>
      <c r="FM13" s="20"/>
      <c r="FN13" s="92"/>
      <c r="FO13" s="93"/>
      <c r="FP13" s="92"/>
      <c r="FQ13" s="94"/>
      <c r="FR13" s="95"/>
      <c r="FS13" s="17"/>
      <c r="FT13" s="17"/>
      <c r="FU13" s="17"/>
      <c r="FV13" s="20"/>
      <c r="FW13" s="92"/>
      <c r="FX13" s="93"/>
      <c r="FY13" s="92"/>
      <c r="FZ13" s="94"/>
      <c r="GA13" s="95"/>
      <c r="GB13" s="17"/>
      <c r="GC13" s="17"/>
      <c r="GD13" s="17"/>
      <c r="GE13" s="20"/>
      <c r="GF13" s="92"/>
      <c r="GG13" s="93"/>
      <c r="GH13" s="92"/>
      <c r="GI13" s="94"/>
      <c r="GJ13" s="95"/>
      <c r="GK13" s="17"/>
      <c r="GL13" s="17"/>
      <c r="GM13" s="17"/>
      <c r="GN13" s="20"/>
      <c r="GO13" s="92"/>
      <c r="GP13" s="93"/>
      <c r="GQ13" s="92"/>
      <c r="GR13" s="94"/>
      <c r="GS13" s="95"/>
      <c r="GT13" s="97">
        <v>43067</v>
      </c>
      <c r="GU13" s="98">
        <v>22176</v>
      </c>
      <c r="GV13" s="65" t="s">
        <v>957</v>
      </c>
      <c r="GW13" s="74"/>
      <c r="GX13" s="74"/>
      <c r="GY13" s="391" t="s">
        <v>1102</v>
      </c>
      <c r="GZ13" s="67">
        <v>3480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153</v>
      </c>
      <c r="K14" s="449" t="s">
        <v>35</v>
      </c>
      <c r="L14" s="101">
        <v>11380</v>
      </c>
      <c r="M14" s="102">
        <v>43048</v>
      </c>
      <c r="N14" s="103" t="s">
        <v>1019</v>
      </c>
      <c r="O14" s="104">
        <v>14900</v>
      </c>
      <c r="P14" s="60">
        <f t="shared" si="0"/>
        <v>3520</v>
      </c>
      <c r="Q14" s="29">
        <v>24</v>
      </c>
      <c r="R14" s="105"/>
      <c r="S14" s="106"/>
      <c r="T14" s="39">
        <f t="shared" si="1"/>
        <v>357600</v>
      </c>
      <c r="U14" s="107" t="s">
        <v>72</v>
      </c>
      <c r="V14" s="108">
        <v>43068</v>
      </c>
      <c r="W14" s="109">
        <v>9802</v>
      </c>
      <c r="X14" s="17"/>
      <c r="Y14" s="20"/>
      <c r="Z14" s="92"/>
      <c r="AA14" s="93"/>
      <c r="AB14" s="92"/>
      <c r="AC14" s="94"/>
      <c r="AD14" s="95"/>
      <c r="AE14" s="17"/>
      <c r="AF14" s="17"/>
      <c r="AG14" s="17"/>
      <c r="AH14" s="20"/>
      <c r="AI14" s="92"/>
      <c r="AJ14" s="93"/>
      <c r="AK14" s="92"/>
      <c r="AL14" s="94"/>
      <c r="AM14" s="95"/>
      <c r="AN14" s="17"/>
      <c r="AO14" s="17"/>
      <c r="AP14" s="17"/>
      <c r="AQ14" s="20"/>
      <c r="AR14" s="92"/>
      <c r="AS14" s="93"/>
      <c r="AT14" s="92"/>
      <c r="AU14" s="94"/>
      <c r="AV14" s="95"/>
      <c r="AW14" s="17"/>
      <c r="AX14" s="17"/>
      <c r="AY14" s="17"/>
      <c r="AZ14" s="20"/>
      <c r="BA14" s="92"/>
      <c r="BB14" s="93"/>
      <c r="BC14" s="92"/>
      <c r="BD14" s="94"/>
      <c r="BE14" s="95"/>
      <c r="BF14" s="17"/>
      <c r="BG14" s="17"/>
      <c r="BH14" s="17"/>
      <c r="BI14" s="20"/>
      <c r="BJ14" s="92"/>
      <c r="BK14" s="93"/>
      <c r="BL14" s="92"/>
      <c r="BM14" s="94"/>
      <c r="BN14" s="95"/>
      <c r="BO14" s="17"/>
      <c r="BP14" s="17"/>
      <c r="BQ14" s="17"/>
      <c r="BR14" s="20"/>
      <c r="BS14" s="92"/>
      <c r="BT14" s="93"/>
      <c r="BU14" s="92"/>
      <c r="BV14" s="94"/>
      <c r="BW14" s="95"/>
      <c r="BX14" s="17"/>
      <c r="BY14" s="17"/>
      <c r="BZ14" s="17"/>
      <c r="CA14" s="20"/>
      <c r="CB14" s="92"/>
      <c r="CC14" s="93"/>
      <c r="CD14" s="92"/>
      <c r="CE14" s="94"/>
      <c r="CF14" s="95"/>
      <c r="CG14" s="17"/>
      <c r="CH14" s="17"/>
      <c r="CI14" s="17"/>
      <c r="CJ14" s="20"/>
      <c r="CK14" s="92"/>
      <c r="CL14" s="93"/>
      <c r="CM14" s="92"/>
      <c r="CN14" s="94"/>
      <c r="CO14" s="95"/>
      <c r="CP14" s="17"/>
      <c r="CQ14" s="17"/>
      <c r="CR14" s="17"/>
      <c r="CS14" s="20"/>
      <c r="CT14" s="92"/>
      <c r="CU14" s="93"/>
      <c r="CV14" s="96"/>
      <c r="CW14" s="94"/>
      <c r="CX14" s="95"/>
      <c r="CY14" s="17"/>
      <c r="CZ14" s="17"/>
      <c r="DA14" s="17"/>
      <c r="DB14" s="20"/>
      <c r="DC14" s="92"/>
      <c r="DD14" s="93"/>
      <c r="DE14" s="92"/>
      <c r="DF14" s="94"/>
      <c r="DG14" s="95"/>
      <c r="DH14" s="17"/>
      <c r="DI14" s="17"/>
      <c r="DJ14" s="17"/>
      <c r="DK14" s="20"/>
      <c r="DL14" s="92"/>
      <c r="DM14" s="93"/>
      <c r="DN14" s="92"/>
      <c r="DO14" s="94"/>
      <c r="DP14" s="95"/>
      <c r="DQ14" s="17"/>
      <c r="DR14" s="17"/>
      <c r="DS14" s="17"/>
      <c r="DT14" s="20"/>
      <c r="DU14" s="92"/>
      <c r="DV14" s="93"/>
      <c r="DW14" s="92"/>
      <c r="DX14" s="94"/>
      <c r="DY14" s="95"/>
      <c r="DZ14" s="17"/>
      <c r="EA14" s="17"/>
      <c r="EB14" s="17"/>
      <c r="EC14" s="20"/>
      <c r="ED14" s="92"/>
      <c r="EE14" s="93"/>
      <c r="EF14" s="92"/>
      <c r="EG14" s="94"/>
      <c r="EH14" s="95"/>
      <c r="EI14" s="17"/>
      <c r="EJ14" s="17"/>
      <c r="EK14" s="17"/>
      <c r="EL14" s="20"/>
      <c r="EM14" s="92"/>
      <c r="EN14" s="93"/>
      <c r="EO14" s="92"/>
      <c r="EP14" s="94"/>
      <c r="EQ14" s="95"/>
      <c r="ER14" s="17"/>
      <c r="ES14" s="17"/>
      <c r="ET14" s="17"/>
      <c r="EU14" s="20"/>
      <c r="EV14" s="92"/>
      <c r="EW14" s="93"/>
      <c r="EX14" s="92"/>
      <c r="EY14" s="94"/>
      <c r="EZ14" s="95"/>
      <c r="FA14" s="17"/>
      <c r="FB14" s="17"/>
      <c r="FC14" s="17"/>
      <c r="FD14" s="20"/>
      <c r="FE14" s="92"/>
      <c r="FF14" s="93"/>
      <c r="FG14" s="92"/>
      <c r="FH14" s="94"/>
      <c r="FI14" s="95"/>
      <c r="FJ14" s="17"/>
      <c r="FK14" s="17"/>
      <c r="FL14" s="17"/>
      <c r="FM14" s="20"/>
      <c r="FN14" s="92"/>
      <c r="FO14" s="93"/>
      <c r="FP14" s="92"/>
      <c r="FQ14" s="94"/>
      <c r="FR14" s="95"/>
      <c r="FS14" s="17"/>
      <c r="FT14" s="17"/>
      <c r="FU14" s="17"/>
      <c r="FV14" s="20"/>
      <c r="FW14" s="92"/>
      <c r="FX14" s="93"/>
      <c r="FY14" s="92"/>
      <c r="FZ14" s="94"/>
      <c r="GA14" s="95"/>
      <c r="GB14" s="17"/>
      <c r="GC14" s="17"/>
      <c r="GD14" s="17"/>
      <c r="GE14" s="20"/>
      <c r="GF14" s="92"/>
      <c r="GG14" s="93"/>
      <c r="GH14" s="92"/>
      <c r="GI14" s="94"/>
      <c r="GJ14" s="95"/>
      <c r="GK14" s="17"/>
      <c r="GL14" s="17"/>
      <c r="GM14" s="17"/>
      <c r="GN14" s="20"/>
      <c r="GO14" s="92"/>
      <c r="GP14" s="93"/>
      <c r="GQ14" s="92"/>
      <c r="GR14" s="94"/>
      <c r="GS14" s="95"/>
      <c r="GT14" s="97">
        <v>43068</v>
      </c>
      <c r="GU14" s="98">
        <v>17584</v>
      </c>
      <c r="GV14" s="65" t="s">
        <v>958</v>
      </c>
      <c r="GW14" s="74"/>
      <c r="GX14" s="74"/>
      <c r="GY14" s="391" t="s">
        <v>1102</v>
      </c>
      <c r="GZ14" s="67">
        <v>1856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68" t="s">
        <v>153</v>
      </c>
      <c r="K15" s="407" t="s">
        <v>37</v>
      </c>
      <c r="L15" s="110">
        <v>16360</v>
      </c>
      <c r="M15" s="71">
        <v>43048</v>
      </c>
      <c r="N15" s="56" t="s">
        <v>1016</v>
      </c>
      <c r="O15" s="72">
        <v>20945</v>
      </c>
      <c r="P15" s="60">
        <f t="shared" si="0"/>
        <v>4585</v>
      </c>
      <c r="Q15" s="64">
        <v>24</v>
      </c>
      <c r="R15" s="64"/>
      <c r="S15" s="111"/>
      <c r="T15" s="39">
        <f t="shared" si="1"/>
        <v>502680</v>
      </c>
      <c r="U15" s="90" t="s">
        <v>72</v>
      </c>
      <c r="V15" s="112">
        <v>43067</v>
      </c>
      <c r="W15" s="109">
        <v>15080</v>
      </c>
      <c r="X15" s="17"/>
      <c r="Y15" s="20"/>
      <c r="Z15" s="92"/>
      <c r="AA15" s="93"/>
      <c r="AB15" s="92"/>
      <c r="AC15" s="94"/>
      <c r="AD15" s="95"/>
      <c r="AE15" s="17"/>
      <c r="AF15" s="17"/>
      <c r="AG15" s="17"/>
      <c r="AH15" s="20"/>
      <c r="AI15" s="92"/>
      <c r="AJ15" s="93"/>
      <c r="AK15" s="92"/>
      <c r="AL15" s="94"/>
      <c r="AM15" s="95"/>
      <c r="AN15" s="17"/>
      <c r="AO15" s="17"/>
      <c r="AP15" s="17"/>
      <c r="AQ15" s="20"/>
      <c r="AR15" s="92"/>
      <c r="AS15" s="93"/>
      <c r="AT15" s="92"/>
      <c r="AU15" s="94"/>
      <c r="AV15" s="95"/>
      <c r="AW15" s="17"/>
      <c r="AX15" s="17"/>
      <c r="AY15" s="17"/>
      <c r="AZ15" s="20"/>
      <c r="BA15" s="92"/>
      <c r="BB15" s="93"/>
      <c r="BC15" s="92"/>
      <c r="BD15" s="94"/>
      <c r="BE15" s="95"/>
      <c r="BF15" s="17"/>
      <c r="BG15" s="17"/>
      <c r="BH15" s="17"/>
      <c r="BI15" s="20"/>
      <c r="BJ15" s="92"/>
      <c r="BK15" s="93"/>
      <c r="BL15" s="92"/>
      <c r="BM15" s="94"/>
      <c r="BN15" s="95"/>
      <c r="BO15" s="17"/>
      <c r="BP15" s="17"/>
      <c r="BQ15" s="17"/>
      <c r="BR15" s="20"/>
      <c r="BS15" s="92"/>
      <c r="BT15" s="93"/>
      <c r="BU15" s="92"/>
      <c r="BV15" s="94"/>
      <c r="BW15" s="95"/>
      <c r="BX15" s="17"/>
      <c r="BY15" s="17"/>
      <c r="BZ15" s="17"/>
      <c r="CA15" s="20"/>
      <c r="CB15" s="92"/>
      <c r="CC15" s="93"/>
      <c r="CD15" s="92"/>
      <c r="CE15" s="94"/>
      <c r="CF15" s="95"/>
      <c r="CG15" s="17"/>
      <c r="CH15" s="17"/>
      <c r="CI15" s="17"/>
      <c r="CJ15" s="20"/>
      <c r="CK15" s="92"/>
      <c r="CL15" s="93"/>
      <c r="CM15" s="92"/>
      <c r="CN15" s="94"/>
      <c r="CO15" s="95"/>
      <c r="CP15" s="17"/>
      <c r="CQ15" s="17"/>
      <c r="CR15" s="17"/>
      <c r="CS15" s="20"/>
      <c r="CT15" s="92"/>
      <c r="CU15" s="93"/>
      <c r="CV15" s="96"/>
      <c r="CW15" s="94"/>
      <c r="CX15" s="95"/>
      <c r="CY15" s="17"/>
      <c r="CZ15" s="17"/>
      <c r="DA15" s="17"/>
      <c r="DB15" s="20"/>
      <c r="DC15" s="92"/>
      <c r="DD15" s="93"/>
      <c r="DE15" s="92"/>
      <c r="DF15" s="94"/>
      <c r="DG15" s="95"/>
      <c r="DH15" s="17"/>
      <c r="DI15" s="17"/>
      <c r="DJ15" s="17"/>
      <c r="DK15" s="20"/>
      <c r="DL15" s="92"/>
      <c r="DM15" s="93"/>
      <c r="DN15" s="92"/>
      <c r="DO15" s="94"/>
      <c r="DP15" s="95"/>
      <c r="DQ15" s="17"/>
      <c r="DR15" s="17"/>
      <c r="DS15" s="17"/>
      <c r="DT15" s="20"/>
      <c r="DU15" s="92"/>
      <c r="DV15" s="93"/>
      <c r="DW15" s="92"/>
      <c r="DX15" s="94"/>
      <c r="DY15" s="95"/>
      <c r="DZ15" s="17"/>
      <c r="EA15" s="17"/>
      <c r="EB15" s="17"/>
      <c r="EC15" s="20"/>
      <c r="ED15" s="92"/>
      <c r="EE15" s="93"/>
      <c r="EF15" s="92"/>
      <c r="EG15" s="94"/>
      <c r="EH15" s="95"/>
      <c r="EI15" s="17"/>
      <c r="EJ15" s="17"/>
      <c r="EK15" s="17"/>
      <c r="EL15" s="20"/>
      <c r="EM15" s="92"/>
      <c r="EN15" s="93"/>
      <c r="EO15" s="92"/>
      <c r="EP15" s="94"/>
      <c r="EQ15" s="95"/>
      <c r="ER15" s="17"/>
      <c r="ES15" s="17"/>
      <c r="ET15" s="17"/>
      <c r="EU15" s="20"/>
      <c r="EV15" s="92"/>
      <c r="EW15" s="93"/>
      <c r="EX15" s="92"/>
      <c r="EY15" s="94"/>
      <c r="EZ15" s="95"/>
      <c r="FA15" s="17"/>
      <c r="FB15" s="17"/>
      <c r="FC15" s="17"/>
      <c r="FD15" s="20"/>
      <c r="FE15" s="92"/>
      <c r="FF15" s="93"/>
      <c r="FG15" s="92"/>
      <c r="FH15" s="94"/>
      <c r="FI15" s="95"/>
      <c r="FJ15" s="17"/>
      <c r="FK15" s="17"/>
      <c r="FL15" s="17"/>
      <c r="FM15" s="20"/>
      <c r="FN15" s="92"/>
      <c r="FO15" s="93"/>
      <c r="FP15" s="92"/>
      <c r="FQ15" s="94"/>
      <c r="FR15" s="95"/>
      <c r="FS15" s="17"/>
      <c r="FT15" s="17"/>
      <c r="FU15" s="17"/>
      <c r="FV15" s="20"/>
      <c r="FW15" s="92"/>
      <c r="FX15" s="93"/>
      <c r="FY15" s="92"/>
      <c r="FZ15" s="94"/>
      <c r="GA15" s="95"/>
      <c r="GB15" s="17"/>
      <c r="GC15" s="17"/>
      <c r="GD15" s="17"/>
      <c r="GE15" s="20"/>
      <c r="GF15" s="92"/>
      <c r="GG15" s="93"/>
      <c r="GH15" s="92"/>
      <c r="GI15" s="94"/>
      <c r="GJ15" s="95"/>
      <c r="GK15" s="17"/>
      <c r="GL15" s="17"/>
      <c r="GM15" s="17"/>
      <c r="GN15" s="20"/>
      <c r="GO15" s="92"/>
      <c r="GP15" s="93"/>
      <c r="GQ15" s="92"/>
      <c r="GR15" s="94"/>
      <c r="GS15" s="95"/>
      <c r="GT15" s="97">
        <v>43067</v>
      </c>
      <c r="GU15" s="98"/>
      <c r="GV15" s="65"/>
      <c r="GW15" s="74"/>
      <c r="GX15" s="74"/>
      <c r="GY15" s="389" t="s">
        <v>1102</v>
      </c>
      <c r="GZ15" s="67">
        <v>3480</v>
      </c>
    </row>
    <row r="16" spans="1:208" ht="30" x14ac:dyDescent="0.25">
      <c r="C16" s="87"/>
      <c r="D16" s="35"/>
      <c r="E16" s="36"/>
      <c r="F16" s="37"/>
      <c r="G16" s="38"/>
      <c r="H16" s="39"/>
      <c r="I16" s="40"/>
      <c r="J16" s="68" t="s">
        <v>933</v>
      </c>
      <c r="K16" s="407" t="s">
        <v>37</v>
      </c>
      <c r="L16" s="110">
        <v>18370</v>
      </c>
      <c r="M16" s="71">
        <v>43049</v>
      </c>
      <c r="N16" s="380" t="s">
        <v>1038</v>
      </c>
      <c r="O16" s="72">
        <f>22800-114</f>
        <v>22686</v>
      </c>
      <c r="P16" s="60">
        <f t="shared" si="0"/>
        <v>4316</v>
      </c>
      <c r="Q16" s="64">
        <v>24</v>
      </c>
      <c r="R16" s="905"/>
      <c r="S16" s="906"/>
      <c r="T16" s="39">
        <f t="shared" si="1"/>
        <v>544464</v>
      </c>
      <c r="U16" s="352" t="s">
        <v>72</v>
      </c>
      <c r="V16" s="353">
        <v>43073</v>
      </c>
      <c r="W16" s="354">
        <v>15080</v>
      </c>
      <c r="X16" s="355"/>
      <c r="Y16" s="356"/>
      <c r="Z16" s="357"/>
      <c r="AA16" s="358"/>
      <c r="AB16" s="357"/>
      <c r="AC16" s="359"/>
      <c r="AD16" s="360"/>
      <c r="AE16" s="355"/>
      <c r="AF16" s="355"/>
      <c r="AG16" s="355"/>
      <c r="AH16" s="356"/>
      <c r="AI16" s="357"/>
      <c r="AJ16" s="358"/>
      <c r="AK16" s="357"/>
      <c r="AL16" s="359"/>
      <c r="AM16" s="360"/>
      <c r="AN16" s="355"/>
      <c r="AO16" s="355"/>
      <c r="AP16" s="355"/>
      <c r="AQ16" s="356"/>
      <c r="AR16" s="357"/>
      <c r="AS16" s="358"/>
      <c r="AT16" s="357"/>
      <c r="AU16" s="359"/>
      <c r="AV16" s="360"/>
      <c r="AW16" s="355"/>
      <c r="AX16" s="355"/>
      <c r="AY16" s="355"/>
      <c r="AZ16" s="356"/>
      <c r="BA16" s="357"/>
      <c r="BB16" s="358"/>
      <c r="BC16" s="357"/>
      <c r="BD16" s="359"/>
      <c r="BE16" s="360"/>
      <c r="BF16" s="355"/>
      <c r="BG16" s="355"/>
      <c r="BH16" s="355"/>
      <c r="BI16" s="356"/>
      <c r="BJ16" s="357"/>
      <c r="BK16" s="358"/>
      <c r="BL16" s="357"/>
      <c r="BM16" s="359"/>
      <c r="BN16" s="360"/>
      <c r="BO16" s="355"/>
      <c r="BP16" s="355"/>
      <c r="BQ16" s="355"/>
      <c r="BR16" s="356"/>
      <c r="BS16" s="357"/>
      <c r="BT16" s="358"/>
      <c r="BU16" s="357"/>
      <c r="BV16" s="359"/>
      <c r="BW16" s="360"/>
      <c r="BX16" s="355"/>
      <c r="BY16" s="355"/>
      <c r="BZ16" s="355"/>
      <c r="CA16" s="356"/>
      <c r="CB16" s="357"/>
      <c r="CC16" s="358"/>
      <c r="CD16" s="357"/>
      <c r="CE16" s="359"/>
      <c r="CF16" s="360"/>
      <c r="CG16" s="355"/>
      <c r="CH16" s="355"/>
      <c r="CI16" s="355"/>
      <c r="CJ16" s="356"/>
      <c r="CK16" s="357"/>
      <c r="CL16" s="358"/>
      <c r="CM16" s="357"/>
      <c r="CN16" s="359"/>
      <c r="CO16" s="360"/>
      <c r="CP16" s="355"/>
      <c r="CQ16" s="355"/>
      <c r="CR16" s="355"/>
      <c r="CS16" s="356"/>
      <c r="CT16" s="357"/>
      <c r="CU16" s="358"/>
      <c r="CV16" s="361"/>
      <c r="CW16" s="359"/>
      <c r="CX16" s="360"/>
      <c r="CY16" s="355"/>
      <c r="CZ16" s="355"/>
      <c r="DA16" s="355"/>
      <c r="DB16" s="356"/>
      <c r="DC16" s="357"/>
      <c r="DD16" s="358"/>
      <c r="DE16" s="357"/>
      <c r="DF16" s="359"/>
      <c r="DG16" s="360"/>
      <c r="DH16" s="355"/>
      <c r="DI16" s="355"/>
      <c r="DJ16" s="355"/>
      <c r="DK16" s="356"/>
      <c r="DL16" s="357"/>
      <c r="DM16" s="358"/>
      <c r="DN16" s="357"/>
      <c r="DO16" s="359"/>
      <c r="DP16" s="360"/>
      <c r="DQ16" s="355"/>
      <c r="DR16" s="355"/>
      <c r="DS16" s="355"/>
      <c r="DT16" s="356"/>
      <c r="DU16" s="357"/>
      <c r="DV16" s="358"/>
      <c r="DW16" s="357"/>
      <c r="DX16" s="359"/>
      <c r="DY16" s="360"/>
      <c r="DZ16" s="355"/>
      <c r="EA16" s="355"/>
      <c r="EB16" s="355"/>
      <c r="EC16" s="356"/>
      <c r="ED16" s="357"/>
      <c r="EE16" s="358"/>
      <c r="EF16" s="357"/>
      <c r="EG16" s="359"/>
      <c r="EH16" s="360"/>
      <c r="EI16" s="355"/>
      <c r="EJ16" s="355"/>
      <c r="EK16" s="355"/>
      <c r="EL16" s="356"/>
      <c r="EM16" s="357"/>
      <c r="EN16" s="358"/>
      <c r="EO16" s="357"/>
      <c r="EP16" s="359"/>
      <c r="EQ16" s="360"/>
      <c r="ER16" s="355"/>
      <c r="ES16" s="355"/>
      <c r="ET16" s="355"/>
      <c r="EU16" s="356"/>
      <c r="EV16" s="357"/>
      <c r="EW16" s="358"/>
      <c r="EX16" s="357"/>
      <c r="EY16" s="359"/>
      <c r="EZ16" s="360"/>
      <c r="FA16" s="355"/>
      <c r="FB16" s="355"/>
      <c r="FC16" s="355"/>
      <c r="FD16" s="356"/>
      <c r="FE16" s="357"/>
      <c r="FF16" s="358"/>
      <c r="FG16" s="357"/>
      <c r="FH16" s="359"/>
      <c r="FI16" s="360"/>
      <c r="FJ16" s="355"/>
      <c r="FK16" s="355"/>
      <c r="FL16" s="355"/>
      <c r="FM16" s="356"/>
      <c r="FN16" s="357"/>
      <c r="FO16" s="358"/>
      <c r="FP16" s="357"/>
      <c r="FQ16" s="359"/>
      <c r="FR16" s="360"/>
      <c r="FS16" s="355"/>
      <c r="FT16" s="355"/>
      <c r="FU16" s="355"/>
      <c r="FV16" s="356"/>
      <c r="FW16" s="357"/>
      <c r="FX16" s="358"/>
      <c r="FY16" s="357"/>
      <c r="FZ16" s="359"/>
      <c r="GA16" s="360"/>
      <c r="GB16" s="355"/>
      <c r="GC16" s="355"/>
      <c r="GD16" s="355"/>
      <c r="GE16" s="356"/>
      <c r="GF16" s="357"/>
      <c r="GG16" s="358"/>
      <c r="GH16" s="357"/>
      <c r="GI16" s="359"/>
      <c r="GJ16" s="360"/>
      <c r="GK16" s="355"/>
      <c r="GL16" s="355"/>
      <c r="GM16" s="355"/>
      <c r="GN16" s="356"/>
      <c r="GO16" s="357"/>
      <c r="GP16" s="358"/>
      <c r="GQ16" s="357"/>
      <c r="GR16" s="359"/>
      <c r="GS16" s="360"/>
      <c r="GT16" s="362">
        <v>43073</v>
      </c>
      <c r="GU16" s="114">
        <v>22176</v>
      </c>
      <c r="GV16" s="65" t="s">
        <v>959</v>
      </c>
      <c r="GW16" s="74"/>
      <c r="GX16" s="74"/>
      <c r="GY16" s="391" t="s">
        <v>1102</v>
      </c>
      <c r="GZ16" s="67">
        <v>3480</v>
      </c>
    </row>
    <row r="17" spans="1:209" x14ac:dyDescent="0.25">
      <c r="C17" s="87"/>
      <c r="D17" s="35"/>
      <c r="E17" s="36"/>
      <c r="F17" s="37"/>
      <c r="G17" s="38"/>
      <c r="H17" s="39"/>
      <c r="I17" s="40"/>
      <c r="J17" s="68" t="s">
        <v>44</v>
      </c>
      <c r="K17" s="407" t="s">
        <v>37</v>
      </c>
      <c r="L17" s="110">
        <v>17900</v>
      </c>
      <c r="M17" s="71">
        <v>43049</v>
      </c>
      <c r="N17" s="56" t="s">
        <v>1018</v>
      </c>
      <c r="O17" s="72">
        <v>22780</v>
      </c>
      <c r="P17" s="113">
        <f t="shared" si="0"/>
        <v>4880</v>
      </c>
      <c r="Q17" s="64">
        <v>24</v>
      </c>
      <c r="R17" s="64"/>
      <c r="S17" s="64"/>
      <c r="T17" s="39">
        <f t="shared" si="1"/>
        <v>546720</v>
      </c>
      <c r="U17" s="90" t="s">
        <v>72</v>
      </c>
      <c r="V17" s="112">
        <v>43068</v>
      </c>
      <c r="W17" s="109">
        <v>15080</v>
      </c>
      <c r="X17" s="17"/>
      <c r="Y17" s="20"/>
      <c r="Z17" s="92"/>
      <c r="AA17" s="93"/>
      <c r="AB17" s="92"/>
      <c r="AC17" s="94"/>
      <c r="AD17" s="95"/>
      <c r="AE17" s="17"/>
      <c r="AF17" s="17"/>
      <c r="AG17" s="17"/>
      <c r="AH17" s="20"/>
      <c r="AI17" s="92"/>
      <c r="AJ17" s="93"/>
      <c r="AK17" s="92"/>
      <c r="AL17" s="94"/>
      <c r="AM17" s="95"/>
      <c r="AN17" s="17"/>
      <c r="AO17" s="17"/>
      <c r="AP17" s="17"/>
      <c r="AQ17" s="20"/>
      <c r="AR17" s="92"/>
      <c r="AS17" s="93"/>
      <c r="AT17" s="92"/>
      <c r="AU17" s="94"/>
      <c r="AV17" s="95"/>
      <c r="AW17" s="17"/>
      <c r="AX17" s="17"/>
      <c r="AY17" s="17"/>
      <c r="AZ17" s="20"/>
      <c r="BA17" s="92"/>
      <c r="BB17" s="93"/>
      <c r="BC17" s="92"/>
      <c r="BD17" s="94"/>
      <c r="BE17" s="95"/>
      <c r="BF17" s="17"/>
      <c r="BG17" s="17"/>
      <c r="BH17" s="17"/>
      <c r="BI17" s="20"/>
      <c r="BJ17" s="92"/>
      <c r="BK17" s="93"/>
      <c r="BL17" s="92"/>
      <c r="BM17" s="94"/>
      <c r="BN17" s="95"/>
      <c r="BO17" s="17"/>
      <c r="BP17" s="17"/>
      <c r="BQ17" s="17"/>
      <c r="BR17" s="20"/>
      <c r="BS17" s="92"/>
      <c r="BT17" s="93"/>
      <c r="BU17" s="92"/>
      <c r="BV17" s="94"/>
      <c r="BW17" s="95"/>
      <c r="BX17" s="17"/>
      <c r="BY17" s="17"/>
      <c r="BZ17" s="17"/>
      <c r="CA17" s="20"/>
      <c r="CB17" s="92"/>
      <c r="CC17" s="93"/>
      <c r="CD17" s="92"/>
      <c r="CE17" s="94"/>
      <c r="CF17" s="95"/>
      <c r="CG17" s="17"/>
      <c r="CH17" s="17"/>
      <c r="CI17" s="17"/>
      <c r="CJ17" s="20"/>
      <c r="CK17" s="92"/>
      <c r="CL17" s="93"/>
      <c r="CM17" s="92"/>
      <c r="CN17" s="94"/>
      <c r="CO17" s="95"/>
      <c r="CP17" s="17"/>
      <c r="CQ17" s="17"/>
      <c r="CR17" s="17"/>
      <c r="CS17" s="20"/>
      <c r="CT17" s="92"/>
      <c r="CU17" s="93"/>
      <c r="CV17" s="96"/>
      <c r="CW17" s="94"/>
      <c r="CX17" s="95"/>
      <c r="CY17" s="17"/>
      <c r="CZ17" s="17"/>
      <c r="DA17" s="17"/>
      <c r="DB17" s="20"/>
      <c r="DC17" s="92"/>
      <c r="DD17" s="93"/>
      <c r="DE17" s="92"/>
      <c r="DF17" s="94"/>
      <c r="DG17" s="95"/>
      <c r="DH17" s="17"/>
      <c r="DI17" s="17"/>
      <c r="DJ17" s="17"/>
      <c r="DK17" s="20"/>
      <c r="DL17" s="92"/>
      <c r="DM17" s="93"/>
      <c r="DN17" s="92"/>
      <c r="DO17" s="94"/>
      <c r="DP17" s="95"/>
      <c r="DQ17" s="17"/>
      <c r="DR17" s="17"/>
      <c r="DS17" s="17"/>
      <c r="DT17" s="20"/>
      <c r="DU17" s="92"/>
      <c r="DV17" s="93"/>
      <c r="DW17" s="92"/>
      <c r="DX17" s="94"/>
      <c r="DY17" s="95"/>
      <c r="DZ17" s="17"/>
      <c r="EA17" s="17"/>
      <c r="EB17" s="17"/>
      <c r="EC17" s="20"/>
      <c r="ED17" s="92"/>
      <c r="EE17" s="93"/>
      <c r="EF17" s="92"/>
      <c r="EG17" s="94"/>
      <c r="EH17" s="95"/>
      <c r="EI17" s="17"/>
      <c r="EJ17" s="17"/>
      <c r="EK17" s="17"/>
      <c r="EL17" s="20"/>
      <c r="EM17" s="92"/>
      <c r="EN17" s="93"/>
      <c r="EO17" s="92"/>
      <c r="EP17" s="94"/>
      <c r="EQ17" s="95"/>
      <c r="ER17" s="17"/>
      <c r="ES17" s="17"/>
      <c r="ET17" s="17"/>
      <c r="EU17" s="20"/>
      <c r="EV17" s="92"/>
      <c r="EW17" s="93"/>
      <c r="EX17" s="92"/>
      <c r="EY17" s="94"/>
      <c r="EZ17" s="95"/>
      <c r="FA17" s="17"/>
      <c r="FB17" s="17"/>
      <c r="FC17" s="17"/>
      <c r="FD17" s="20"/>
      <c r="FE17" s="92"/>
      <c r="FF17" s="93"/>
      <c r="FG17" s="92"/>
      <c r="FH17" s="94"/>
      <c r="FI17" s="95"/>
      <c r="FJ17" s="17"/>
      <c r="FK17" s="17"/>
      <c r="FL17" s="17"/>
      <c r="FM17" s="20"/>
      <c r="FN17" s="92"/>
      <c r="FO17" s="93"/>
      <c r="FP17" s="92"/>
      <c r="FQ17" s="94"/>
      <c r="FR17" s="95"/>
      <c r="FS17" s="17"/>
      <c r="FT17" s="17"/>
      <c r="FU17" s="17"/>
      <c r="FV17" s="20"/>
      <c r="FW17" s="92"/>
      <c r="FX17" s="93"/>
      <c r="FY17" s="92"/>
      <c r="FZ17" s="94"/>
      <c r="GA17" s="95"/>
      <c r="GB17" s="17"/>
      <c r="GC17" s="17"/>
      <c r="GD17" s="17"/>
      <c r="GE17" s="20"/>
      <c r="GF17" s="92"/>
      <c r="GG17" s="93"/>
      <c r="GH17" s="92"/>
      <c r="GI17" s="94"/>
      <c r="GJ17" s="95"/>
      <c r="GK17" s="17"/>
      <c r="GL17" s="17"/>
      <c r="GM17" s="17"/>
      <c r="GN17" s="20"/>
      <c r="GO17" s="92"/>
      <c r="GP17" s="93"/>
      <c r="GQ17" s="92"/>
      <c r="GR17" s="94"/>
      <c r="GS17" s="95"/>
      <c r="GT17" s="97">
        <v>43068</v>
      </c>
      <c r="GU17" s="98">
        <v>22176</v>
      </c>
      <c r="GV17" s="65" t="s">
        <v>970</v>
      </c>
      <c r="GW17" s="74"/>
      <c r="GX17" s="74"/>
      <c r="GY17" s="391" t="s">
        <v>1102</v>
      </c>
      <c r="GZ17" s="67">
        <v>3480</v>
      </c>
    </row>
    <row r="18" spans="1:209" ht="16.5" thickBot="1" x14ac:dyDescent="0.3">
      <c r="C18" s="87"/>
      <c r="D18" s="35"/>
      <c r="E18" s="36"/>
      <c r="F18" s="37"/>
      <c r="G18" s="38"/>
      <c r="H18" s="39"/>
      <c r="I18" s="40"/>
      <c r="J18" s="455" t="s">
        <v>960</v>
      </c>
      <c r="K18" s="407" t="s">
        <v>214</v>
      </c>
      <c r="L18" s="110">
        <v>11040</v>
      </c>
      <c r="M18" s="71">
        <v>43051</v>
      </c>
      <c r="N18" s="56" t="s">
        <v>1020</v>
      </c>
      <c r="O18" s="72">
        <v>14255</v>
      </c>
      <c r="P18" s="113">
        <f t="shared" si="0"/>
        <v>3215</v>
      </c>
      <c r="Q18" s="64">
        <v>24</v>
      </c>
      <c r="R18" s="653"/>
      <c r="S18" s="653"/>
      <c r="T18" s="39">
        <f t="shared" si="1"/>
        <v>342120</v>
      </c>
      <c r="U18" s="90" t="s">
        <v>72</v>
      </c>
      <c r="V18" s="112">
        <v>43069</v>
      </c>
      <c r="W18" s="109">
        <v>9844.4</v>
      </c>
      <c r="X18" s="17"/>
      <c r="Y18" s="20"/>
      <c r="Z18" s="92"/>
      <c r="AA18" s="93"/>
      <c r="AB18" s="92"/>
      <c r="AC18" s="94"/>
      <c r="AD18" s="95"/>
      <c r="AE18" s="17"/>
      <c r="AF18" s="17"/>
      <c r="AG18" s="17"/>
      <c r="AH18" s="20"/>
      <c r="AI18" s="92"/>
      <c r="AJ18" s="93"/>
      <c r="AK18" s="92"/>
      <c r="AL18" s="94"/>
      <c r="AM18" s="95"/>
      <c r="AN18" s="17"/>
      <c r="AO18" s="17"/>
      <c r="AP18" s="17"/>
      <c r="AQ18" s="20"/>
      <c r="AR18" s="92"/>
      <c r="AS18" s="93"/>
      <c r="AT18" s="92"/>
      <c r="AU18" s="94"/>
      <c r="AV18" s="95"/>
      <c r="AW18" s="17"/>
      <c r="AX18" s="17"/>
      <c r="AY18" s="17"/>
      <c r="AZ18" s="20"/>
      <c r="BA18" s="92"/>
      <c r="BB18" s="93"/>
      <c r="BC18" s="92"/>
      <c r="BD18" s="94"/>
      <c r="BE18" s="95"/>
      <c r="BF18" s="17"/>
      <c r="BG18" s="17"/>
      <c r="BH18" s="17"/>
      <c r="BI18" s="20"/>
      <c r="BJ18" s="92"/>
      <c r="BK18" s="93"/>
      <c r="BL18" s="92"/>
      <c r="BM18" s="94"/>
      <c r="BN18" s="95"/>
      <c r="BO18" s="17"/>
      <c r="BP18" s="17"/>
      <c r="BQ18" s="17"/>
      <c r="BR18" s="20"/>
      <c r="BS18" s="92"/>
      <c r="BT18" s="93"/>
      <c r="BU18" s="92"/>
      <c r="BV18" s="94"/>
      <c r="BW18" s="95"/>
      <c r="BX18" s="17"/>
      <c r="BY18" s="17"/>
      <c r="BZ18" s="17"/>
      <c r="CA18" s="20"/>
      <c r="CB18" s="92"/>
      <c r="CC18" s="93"/>
      <c r="CD18" s="92"/>
      <c r="CE18" s="94"/>
      <c r="CF18" s="95"/>
      <c r="CG18" s="17"/>
      <c r="CH18" s="17"/>
      <c r="CI18" s="17"/>
      <c r="CJ18" s="20"/>
      <c r="CK18" s="92"/>
      <c r="CL18" s="93"/>
      <c r="CM18" s="92"/>
      <c r="CN18" s="94"/>
      <c r="CO18" s="95"/>
      <c r="CP18" s="17"/>
      <c r="CQ18" s="17"/>
      <c r="CR18" s="17"/>
      <c r="CS18" s="20"/>
      <c r="CT18" s="92"/>
      <c r="CU18" s="93"/>
      <c r="CV18" s="96"/>
      <c r="CW18" s="94"/>
      <c r="CX18" s="95"/>
      <c r="CY18" s="17"/>
      <c r="CZ18" s="17"/>
      <c r="DA18" s="17"/>
      <c r="DB18" s="20"/>
      <c r="DC18" s="92"/>
      <c r="DD18" s="93"/>
      <c r="DE18" s="92"/>
      <c r="DF18" s="94"/>
      <c r="DG18" s="95"/>
      <c r="DH18" s="17"/>
      <c r="DI18" s="17"/>
      <c r="DJ18" s="17"/>
      <c r="DK18" s="20"/>
      <c r="DL18" s="92"/>
      <c r="DM18" s="93"/>
      <c r="DN18" s="92"/>
      <c r="DO18" s="94"/>
      <c r="DP18" s="95"/>
      <c r="DQ18" s="17"/>
      <c r="DR18" s="17"/>
      <c r="DS18" s="17"/>
      <c r="DT18" s="20"/>
      <c r="DU18" s="92"/>
      <c r="DV18" s="93"/>
      <c r="DW18" s="92"/>
      <c r="DX18" s="94"/>
      <c r="DY18" s="95"/>
      <c r="DZ18" s="17"/>
      <c r="EA18" s="17"/>
      <c r="EB18" s="17"/>
      <c r="EC18" s="20"/>
      <c r="ED18" s="92"/>
      <c r="EE18" s="93"/>
      <c r="EF18" s="92"/>
      <c r="EG18" s="94"/>
      <c r="EH18" s="95"/>
      <c r="EI18" s="17"/>
      <c r="EJ18" s="17"/>
      <c r="EK18" s="17"/>
      <c r="EL18" s="20"/>
      <c r="EM18" s="92"/>
      <c r="EN18" s="93"/>
      <c r="EO18" s="92"/>
      <c r="EP18" s="94"/>
      <c r="EQ18" s="95"/>
      <c r="ER18" s="17"/>
      <c r="ES18" s="17"/>
      <c r="ET18" s="17"/>
      <c r="EU18" s="20"/>
      <c r="EV18" s="92"/>
      <c r="EW18" s="93"/>
      <c r="EX18" s="92"/>
      <c r="EY18" s="94"/>
      <c r="EZ18" s="95"/>
      <c r="FA18" s="17"/>
      <c r="FB18" s="17"/>
      <c r="FC18" s="17"/>
      <c r="FD18" s="20"/>
      <c r="FE18" s="92"/>
      <c r="FF18" s="93"/>
      <c r="FG18" s="92"/>
      <c r="FH18" s="94"/>
      <c r="FI18" s="95"/>
      <c r="FJ18" s="17"/>
      <c r="FK18" s="17"/>
      <c r="FL18" s="17"/>
      <c r="FM18" s="20"/>
      <c r="FN18" s="92"/>
      <c r="FO18" s="93"/>
      <c r="FP18" s="92"/>
      <c r="FQ18" s="94"/>
      <c r="FR18" s="95"/>
      <c r="FS18" s="17"/>
      <c r="FT18" s="17"/>
      <c r="FU18" s="17"/>
      <c r="FV18" s="20"/>
      <c r="FW18" s="92"/>
      <c r="FX18" s="93"/>
      <c r="FY18" s="92"/>
      <c r="FZ18" s="94"/>
      <c r="GA18" s="95"/>
      <c r="GB18" s="17"/>
      <c r="GC18" s="17"/>
      <c r="GD18" s="17"/>
      <c r="GE18" s="20"/>
      <c r="GF18" s="92"/>
      <c r="GG18" s="93"/>
      <c r="GH18" s="92"/>
      <c r="GI18" s="94"/>
      <c r="GJ18" s="95"/>
      <c r="GK18" s="17"/>
      <c r="GL18" s="17"/>
      <c r="GM18" s="17"/>
      <c r="GN18" s="20"/>
      <c r="GO18" s="92"/>
      <c r="GP18" s="93"/>
      <c r="GQ18" s="92"/>
      <c r="GR18" s="94"/>
      <c r="GS18" s="95"/>
      <c r="GT18" s="97">
        <v>43069</v>
      </c>
      <c r="GU18" s="98">
        <v>17584</v>
      </c>
      <c r="GV18" s="65" t="s">
        <v>973</v>
      </c>
      <c r="GW18" s="74"/>
      <c r="GX18" s="74"/>
      <c r="GY18" s="391" t="s">
        <v>1102</v>
      </c>
      <c r="GZ18" s="67">
        <v>1856</v>
      </c>
    </row>
    <row r="19" spans="1:209" ht="45" customHeight="1" thickBot="1" x14ac:dyDescent="0.3">
      <c r="C19" s="87"/>
      <c r="D19" s="35"/>
      <c r="E19" s="36"/>
      <c r="F19" s="37"/>
      <c r="G19" s="38"/>
      <c r="H19" s="39"/>
      <c r="I19" s="40"/>
      <c r="J19" s="455" t="s">
        <v>44</v>
      </c>
      <c r="K19" s="407" t="s">
        <v>41</v>
      </c>
      <c r="L19" s="110">
        <v>23040</v>
      </c>
      <c r="M19" s="71">
        <v>43051</v>
      </c>
      <c r="N19" s="651" t="s">
        <v>1150</v>
      </c>
      <c r="O19" s="72">
        <f>28955</f>
        <v>28955</v>
      </c>
      <c r="P19" s="113">
        <f t="shared" si="0"/>
        <v>5915</v>
      </c>
      <c r="Q19" s="566">
        <v>24</v>
      </c>
      <c r="R19" s="911" t="s">
        <v>1151</v>
      </c>
      <c r="S19" s="912"/>
      <c r="T19" s="652">
        <f>Q19*O19-3000+3000</f>
        <v>694920</v>
      </c>
      <c r="U19" s="90" t="s">
        <v>72</v>
      </c>
      <c r="V19" s="112">
        <v>43069</v>
      </c>
      <c r="W19" s="109">
        <v>18850</v>
      </c>
      <c r="X19" s="17"/>
      <c r="Y19" s="20"/>
      <c r="Z19" s="92"/>
      <c r="AA19" s="93"/>
      <c r="AB19" s="92"/>
      <c r="AC19" s="94"/>
      <c r="AD19" s="95"/>
      <c r="AE19" s="17"/>
      <c r="AF19" s="17"/>
      <c r="AG19" s="17"/>
      <c r="AH19" s="20"/>
      <c r="AI19" s="92"/>
      <c r="AJ19" s="93"/>
      <c r="AK19" s="92"/>
      <c r="AL19" s="94"/>
      <c r="AM19" s="95"/>
      <c r="AN19" s="17"/>
      <c r="AO19" s="17"/>
      <c r="AP19" s="17"/>
      <c r="AQ19" s="20"/>
      <c r="AR19" s="92"/>
      <c r="AS19" s="93"/>
      <c r="AT19" s="92"/>
      <c r="AU19" s="94"/>
      <c r="AV19" s="95"/>
      <c r="AW19" s="17"/>
      <c r="AX19" s="17"/>
      <c r="AY19" s="17"/>
      <c r="AZ19" s="20"/>
      <c r="BA19" s="92"/>
      <c r="BB19" s="93"/>
      <c r="BC19" s="92"/>
      <c r="BD19" s="94"/>
      <c r="BE19" s="95"/>
      <c r="BF19" s="17"/>
      <c r="BG19" s="17"/>
      <c r="BH19" s="17"/>
      <c r="BI19" s="20"/>
      <c r="BJ19" s="92"/>
      <c r="BK19" s="93"/>
      <c r="BL19" s="92"/>
      <c r="BM19" s="94"/>
      <c r="BN19" s="95"/>
      <c r="BO19" s="17"/>
      <c r="BP19" s="17"/>
      <c r="BQ19" s="17"/>
      <c r="BR19" s="20"/>
      <c r="BS19" s="92"/>
      <c r="BT19" s="93"/>
      <c r="BU19" s="92"/>
      <c r="BV19" s="94"/>
      <c r="BW19" s="95"/>
      <c r="BX19" s="17"/>
      <c r="BY19" s="17"/>
      <c r="BZ19" s="17"/>
      <c r="CA19" s="20"/>
      <c r="CB19" s="92"/>
      <c r="CC19" s="93"/>
      <c r="CD19" s="92"/>
      <c r="CE19" s="94"/>
      <c r="CF19" s="95"/>
      <c r="CG19" s="17"/>
      <c r="CH19" s="17"/>
      <c r="CI19" s="17"/>
      <c r="CJ19" s="20"/>
      <c r="CK19" s="92"/>
      <c r="CL19" s="93"/>
      <c r="CM19" s="92"/>
      <c r="CN19" s="94"/>
      <c r="CO19" s="95"/>
      <c r="CP19" s="17"/>
      <c r="CQ19" s="17"/>
      <c r="CR19" s="17"/>
      <c r="CS19" s="20"/>
      <c r="CT19" s="92"/>
      <c r="CU19" s="93"/>
      <c r="CV19" s="96"/>
      <c r="CW19" s="94"/>
      <c r="CX19" s="95"/>
      <c r="CY19" s="17"/>
      <c r="CZ19" s="17"/>
      <c r="DA19" s="17"/>
      <c r="DB19" s="20"/>
      <c r="DC19" s="92"/>
      <c r="DD19" s="93"/>
      <c r="DE19" s="92"/>
      <c r="DF19" s="94"/>
      <c r="DG19" s="95"/>
      <c r="DH19" s="17"/>
      <c r="DI19" s="17"/>
      <c r="DJ19" s="17"/>
      <c r="DK19" s="20"/>
      <c r="DL19" s="92"/>
      <c r="DM19" s="93"/>
      <c r="DN19" s="92"/>
      <c r="DO19" s="94"/>
      <c r="DP19" s="95"/>
      <c r="DQ19" s="17"/>
      <c r="DR19" s="17"/>
      <c r="DS19" s="17"/>
      <c r="DT19" s="20"/>
      <c r="DU19" s="92"/>
      <c r="DV19" s="93"/>
      <c r="DW19" s="92"/>
      <c r="DX19" s="94"/>
      <c r="DY19" s="95"/>
      <c r="DZ19" s="17"/>
      <c r="EA19" s="17"/>
      <c r="EB19" s="17"/>
      <c r="EC19" s="20"/>
      <c r="ED19" s="92"/>
      <c r="EE19" s="93"/>
      <c r="EF19" s="92"/>
      <c r="EG19" s="94"/>
      <c r="EH19" s="95"/>
      <c r="EI19" s="17"/>
      <c r="EJ19" s="17"/>
      <c r="EK19" s="17"/>
      <c r="EL19" s="20"/>
      <c r="EM19" s="92"/>
      <c r="EN19" s="93"/>
      <c r="EO19" s="92"/>
      <c r="EP19" s="94"/>
      <c r="EQ19" s="95"/>
      <c r="ER19" s="17"/>
      <c r="ES19" s="17"/>
      <c r="ET19" s="17"/>
      <c r="EU19" s="20"/>
      <c r="EV19" s="92"/>
      <c r="EW19" s="93"/>
      <c r="EX19" s="92"/>
      <c r="EY19" s="94"/>
      <c r="EZ19" s="95"/>
      <c r="FA19" s="17"/>
      <c r="FB19" s="17"/>
      <c r="FC19" s="17"/>
      <c r="FD19" s="20"/>
      <c r="FE19" s="92"/>
      <c r="FF19" s="93"/>
      <c r="FG19" s="92"/>
      <c r="FH19" s="94"/>
      <c r="FI19" s="95"/>
      <c r="FJ19" s="17"/>
      <c r="FK19" s="17"/>
      <c r="FL19" s="17"/>
      <c r="FM19" s="20"/>
      <c r="FN19" s="92"/>
      <c r="FO19" s="93"/>
      <c r="FP19" s="92"/>
      <c r="FQ19" s="94"/>
      <c r="FR19" s="95"/>
      <c r="FS19" s="17"/>
      <c r="FT19" s="17"/>
      <c r="FU19" s="17"/>
      <c r="FV19" s="20"/>
      <c r="FW19" s="92"/>
      <c r="FX19" s="93"/>
      <c r="FY19" s="92"/>
      <c r="FZ19" s="94"/>
      <c r="GA19" s="95"/>
      <c r="GB19" s="17"/>
      <c r="GC19" s="17"/>
      <c r="GD19" s="17"/>
      <c r="GE19" s="20"/>
      <c r="GF19" s="92"/>
      <c r="GG19" s="93"/>
      <c r="GH19" s="92"/>
      <c r="GI19" s="94"/>
      <c r="GJ19" s="95"/>
      <c r="GK19" s="17"/>
      <c r="GL19" s="17"/>
      <c r="GM19" s="17"/>
      <c r="GN19" s="20"/>
      <c r="GO19" s="92"/>
      <c r="GP19" s="93"/>
      <c r="GQ19" s="92"/>
      <c r="GR19" s="94"/>
      <c r="GS19" s="95"/>
      <c r="GT19" s="97">
        <v>43069</v>
      </c>
      <c r="GU19" s="98"/>
      <c r="GV19" s="65"/>
      <c r="GW19" s="74"/>
      <c r="GX19" s="74"/>
      <c r="GY19" s="391" t="s">
        <v>1102</v>
      </c>
      <c r="GZ19" s="67">
        <v>3480</v>
      </c>
    </row>
    <row r="20" spans="1:209" x14ac:dyDescent="0.25">
      <c r="C20" s="87"/>
      <c r="D20" s="35"/>
      <c r="E20" s="36"/>
      <c r="F20" s="37"/>
      <c r="G20" s="38"/>
      <c r="H20" s="39"/>
      <c r="I20" s="40"/>
      <c r="J20" s="455" t="s">
        <v>45</v>
      </c>
      <c r="K20" s="407" t="s">
        <v>41</v>
      </c>
      <c r="L20" s="110">
        <v>22210</v>
      </c>
      <c r="M20" s="71">
        <v>43052</v>
      </c>
      <c r="N20" s="380" t="s">
        <v>1039</v>
      </c>
      <c r="O20" s="72">
        <v>28420</v>
      </c>
      <c r="P20" s="113">
        <f t="shared" si="0"/>
        <v>6210</v>
      </c>
      <c r="Q20" s="64">
        <v>24</v>
      </c>
      <c r="R20" s="909"/>
      <c r="S20" s="910"/>
      <c r="T20" s="39">
        <f t="shared" si="1"/>
        <v>682080</v>
      </c>
      <c r="U20" s="352" t="s">
        <v>72</v>
      </c>
      <c r="V20" s="353">
        <v>43073</v>
      </c>
      <c r="W20" s="354">
        <v>18850</v>
      </c>
      <c r="X20" s="355"/>
      <c r="Y20" s="356"/>
      <c r="Z20" s="357"/>
      <c r="AA20" s="358"/>
      <c r="AB20" s="357"/>
      <c r="AC20" s="359"/>
      <c r="AD20" s="360"/>
      <c r="AE20" s="355"/>
      <c r="AF20" s="355"/>
      <c r="AG20" s="355"/>
      <c r="AH20" s="356"/>
      <c r="AI20" s="357"/>
      <c r="AJ20" s="358"/>
      <c r="AK20" s="357"/>
      <c r="AL20" s="359"/>
      <c r="AM20" s="360"/>
      <c r="AN20" s="355"/>
      <c r="AO20" s="355"/>
      <c r="AP20" s="355"/>
      <c r="AQ20" s="356"/>
      <c r="AR20" s="357"/>
      <c r="AS20" s="358"/>
      <c r="AT20" s="357"/>
      <c r="AU20" s="359"/>
      <c r="AV20" s="360"/>
      <c r="AW20" s="355"/>
      <c r="AX20" s="355"/>
      <c r="AY20" s="355"/>
      <c r="AZ20" s="356"/>
      <c r="BA20" s="357"/>
      <c r="BB20" s="358"/>
      <c r="BC20" s="357"/>
      <c r="BD20" s="359"/>
      <c r="BE20" s="360"/>
      <c r="BF20" s="355"/>
      <c r="BG20" s="355"/>
      <c r="BH20" s="355"/>
      <c r="BI20" s="356"/>
      <c r="BJ20" s="357"/>
      <c r="BK20" s="358"/>
      <c r="BL20" s="357"/>
      <c r="BM20" s="359"/>
      <c r="BN20" s="360"/>
      <c r="BO20" s="355"/>
      <c r="BP20" s="355"/>
      <c r="BQ20" s="355"/>
      <c r="BR20" s="356"/>
      <c r="BS20" s="357"/>
      <c r="BT20" s="358"/>
      <c r="BU20" s="357"/>
      <c r="BV20" s="359"/>
      <c r="BW20" s="360"/>
      <c r="BX20" s="355"/>
      <c r="BY20" s="355"/>
      <c r="BZ20" s="355"/>
      <c r="CA20" s="356"/>
      <c r="CB20" s="357"/>
      <c r="CC20" s="358"/>
      <c r="CD20" s="357"/>
      <c r="CE20" s="359"/>
      <c r="CF20" s="360"/>
      <c r="CG20" s="355"/>
      <c r="CH20" s="355"/>
      <c r="CI20" s="355"/>
      <c r="CJ20" s="356"/>
      <c r="CK20" s="357"/>
      <c r="CL20" s="358"/>
      <c r="CM20" s="357"/>
      <c r="CN20" s="359"/>
      <c r="CO20" s="360"/>
      <c r="CP20" s="355"/>
      <c r="CQ20" s="355"/>
      <c r="CR20" s="355"/>
      <c r="CS20" s="356"/>
      <c r="CT20" s="357"/>
      <c r="CU20" s="358"/>
      <c r="CV20" s="361"/>
      <c r="CW20" s="359"/>
      <c r="CX20" s="360"/>
      <c r="CY20" s="355"/>
      <c r="CZ20" s="355"/>
      <c r="DA20" s="355"/>
      <c r="DB20" s="356"/>
      <c r="DC20" s="357"/>
      <c r="DD20" s="358"/>
      <c r="DE20" s="357"/>
      <c r="DF20" s="359"/>
      <c r="DG20" s="360"/>
      <c r="DH20" s="355"/>
      <c r="DI20" s="355"/>
      <c r="DJ20" s="355"/>
      <c r="DK20" s="356"/>
      <c r="DL20" s="357"/>
      <c r="DM20" s="358"/>
      <c r="DN20" s="357"/>
      <c r="DO20" s="359"/>
      <c r="DP20" s="360"/>
      <c r="DQ20" s="355"/>
      <c r="DR20" s="355"/>
      <c r="DS20" s="355"/>
      <c r="DT20" s="356"/>
      <c r="DU20" s="357"/>
      <c r="DV20" s="358"/>
      <c r="DW20" s="357"/>
      <c r="DX20" s="359"/>
      <c r="DY20" s="360"/>
      <c r="DZ20" s="355"/>
      <c r="EA20" s="355"/>
      <c r="EB20" s="355"/>
      <c r="EC20" s="356"/>
      <c r="ED20" s="357"/>
      <c r="EE20" s="358"/>
      <c r="EF20" s="357"/>
      <c r="EG20" s="359"/>
      <c r="EH20" s="360"/>
      <c r="EI20" s="355"/>
      <c r="EJ20" s="355"/>
      <c r="EK20" s="355"/>
      <c r="EL20" s="356"/>
      <c r="EM20" s="357"/>
      <c r="EN20" s="358"/>
      <c r="EO20" s="357"/>
      <c r="EP20" s="359"/>
      <c r="EQ20" s="360"/>
      <c r="ER20" s="355"/>
      <c r="ES20" s="355"/>
      <c r="ET20" s="355"/>
      <c r="EU20" s="356"/>
      <c r="EV20" s="357"/>
      <c r="EW20" s="358"/>
      <c r="EX20" s="357"/>
      <c r="EY20" s="359"/>
      <c r="EZ20" s="360"/>
      <c r="FA20" s="355"/>
      <c r="FB20" s="355"/>
      <c r="FC20" s="355"/>
      <c r="FD20" s="356"/>
      <c r="FE20" s="357"/>
      <c r="FF20" s="358"/>
      <c r="FG20" s="357"/>
      <c r="FH20" s="359"/>
      <c r="FI20" s="360"/>
      <c r="FJ20" s="355"/>
      <c r="FK20" s="355"/>
      <c r="FL20" s="355"/>
      <c r="FM20" s="356"/>
      <c r="FN20" s="357"/>
      <c r="FO20" s="358"/>
      <c r="FP20" s="357"/>
      <c r="FQ20" s="359"/>
      <c r="FR20" s="360"/>
      <c r="FS20" s="355"/>
      <c r="FT20" s="355"/>
      <c r="FU20" s="355"/>
      <c r="FV20" s="356"/>
      <c r="FW20" s="357"/>
      <c r="FX20" s="358"/>
      <c r="FY20" s="357"/>
      <c r="FZ20" s="359"/>
      <c r="GA20" s="360"/>
      <c r="GB20" s="355"/>
      <c r="GC20" s="355"/>
      <c r="GD20" s="355"/>
      <c r="GE20" s="356"/>
      <c r="GF20" s="357"/>
      <c r="GG20" s="358"/>
      <c r="GH20" s="357"/>
      <c r="GI20" s="359"/>
      <c r="GJ20" s="360"/>
      <c r="GK20" s="355"/>
      <c r="GL20" s="355"/>
      <c r="GM20" s="355"/>
      <c r="GN20" s="356"/>
      <c r="GO20" s="357"/>
      <c r="GP20" s="358"/>
      <c r="GQ20" s="357"/>
      <c r="GR20" s="359"/>
      <c r="GS20" s="360"/>
      <c r="GT20" s="362">
        <v>43073</v>
      </c>
      <c r="GU20" s="98">
        <v>22176</v>
      </c>
      <c r="GV20" s="65" t="s">
        <v>974</v>
      </c>
      <c r="GW20" s="74"/>
      <c r="GX20" s="74"/>
      <c r="GY20" s="391" t="s">
        <v>1102</v>
      </c>
      <c r="GZ20" s="67">
        <v>3480</v>
      </c>
    </row>
    <row r="21" spans="1:209" x14ac:dyDescent="0.25">
      <c r="C21" s="87"/>
      <c r="D21" s="35"/>
      <c r="E21" s="36"/>
      <c r="F21" s="37"/>
      <c r="G21" s="38"/>
      <c r="H21" s="39"/>
      <c r="I21" s="40"/>
      <c r="J21" s="68" t="s">
        <v>982</v>
      </c>
      <c r="K21" s="407" t="s">
        <v>41</v>
      </c>
      <c r="L21" s="70">
        <v>23640</v>
      </c>
      <c r="M21" s="71">
        <v>43053</v>
      </c>
      <c r="N21" s="380" t="s">
        <v>1045</v>
      </c>
      <c r="O21" s="72">
        <v>29480</v>
      </c>
      <c r="P21" s="113">
        <f t="shared" si="0"/>
        <v>5840</v>
      </c>
      <c r="Q21" s="64">
        <v>24</v>
      </c>
      <c r="R21" s="64"/>
      <c r="S21" s="64"/>
      <c r="T21" s="39">
        <f t="shared" si="1"/>
        <v>707520</v>
      </c>
      <c r="U21" s="363" t="s">
        <v>72</v>
      </c>
      <c r="V21" s="353">
        <v>43074</v>
      </c>
      <c r="W21" s="364">
        <v>18850</v>
      </c>
      <c r="X21" s="355"/>
      <c r="Y21" s="356"/>
      <c r="Z21" s="357"/>
      <c r="AA21" s="358"/>
      <c r="AB21" s="357"/>
      <c r="AC21" s="359"/>
      <c r="AD21" s="360"/>
      <c r="AE21" s="355"/>
      <c r="AF21" s="355"/>
      <c r="AG21" s="355"/>
      <c r="AH21" s="356"/>
      <c r="AI21" s="357"/>
      <c r="AJ21" s="358"/>
      <c r="AK21" s="357"/>
      <c r="AL21" s="359"/>
      <c r="AM21" s="360"/>
      <c r="AN21" s="355"/>
      <c r="AO21" s="355"/>
      <c r="AP21" s="355"/>
      <c r="AQ21" s="356"/>
      <c r="AR21" s="357"/>
      <c r="AS21" s="358"/>
      <c r="AT21" s="357"/>
      <c r="AU21" s="359"/>
      <c r="AV21" s="360"/>
      <c r="AW21" s="355"/>
      <c r="AX21" s="355"/>
      <c r="AY21" s="355"/>
      <c r="AZ21" s="356"/>
      <c r="BA21" s="357"/>
      <c r="BB21" s="358"/>
      <c r="BC21" s="357"/>
      <c r="BD21" s="359"/>
      <c r="BE21" s="360"/>
      <c r="BF21" s="355"/>
      <c r="BG21" s="355"/>
      <c r="BH21" s="355"/>
      <c r="BI21" s="356"/>
      <c r="BJ21" s="357"/>
      <c r="BK21" s="358"/>
      <c r="BL21" s="357"/>
      <c r="BM21" s="359"/>
      <c r="BN21" s="360"/>
      <c r="BO21" s="355"/>
      <c r="BP21" s="355"/>
      <c r="BQ21" s="355"/>
      <c r="BR21" s="356"/>
      <c r="BS21" s="357"/>
      <c r="BT21" s="358"/>
      <c r="BU21" s="357"/>
      <c r="BV21" s="359"/>
      <c r="BW21" s="360"/>
      <c r="BX21" s="355"/>
      <c r="BY21" s="355"/>
      <c r="BZ21" s="355"/>
      <c r="CA21" s="356"/>
      <c r="CB21" s="357"/>
      <c r="CC21" s="358"/>
      <c r="CD21" s="357"/>
      <c r="CE21" s="359"/>
      <c r="CF21" s="360"/>
      <c r="CG21" s="355"/>
      <c r="CH21" s="355"/>
      <c r="CI21" s="355"/>
      <c r="CJ21" s="356"/>
      <c r="CK21" s="357"/>
      <c r="CL21" s="358"/>
      <c r="CM21" s="357"/>
      <c r="CN21" s="359"/>
      <c r="CO21" s="360"/>
      <c r="CP21" s="355"/>
      <c r="CQ21" s="355"/>
      <c r="CR21" s="355"/>
      <c r="CS21" s="356"/>
      <c r="CT21" s="357"/>
      <c r="CU21" s="358"/>
      <c r="CV21" s="361"/>
      <c r="CW21" s="359"/>
      <c r="CX21" s="360"/>
      <c r="CY21" s="355"/>
      <c r="CZ21" s="355"/>
      <c r="DA21" s="355"/>
      <c r="DB21" s="356"/>
      <c r="DC21" s="357"/>
      <c r="DD21" s="358"/>
      <c r="DE21" s="357"/>
      <c r="DF21" s="359"/>
      <c r="DG21" s="360"/>
      <c r="DH21" s="355"/>
      <c r="DI21" s="355"/>
      <c r="DJ21" s="355"/>
      <c r="DK21" s="356"/>
      <c r="DL21" s="357"/>
      <c r="DM21" s="358"/>
      <c r="DN21" s="357"/>
      <c r="DO21" s="359"/>
      <c r="DP21" s="360"/>
      <c r="DQ21" s="355"/>
      <c r="DR21" s="355"/>
      <c r="DS21" s="355"/>
      <c r="DT21" s="356"/>
      <c r="DU21" s="357"/>
      <c r="DV21" s="358"/>
      <c r="DW21" s="357"/>
      <c r="DX21" s="359"/>
      <c r="DY21" s="360"/>
      <c r="DZ21" s="355"/>
      <c r="EA21" s="355"/>
      <c r="EB21" s="355"/>
      <c r="EC21" s="356"/>
      <c r="ED21" s="357"/>
      <c r="EE21" s="358"/>
      <c r="EF21" s="357"/>
      <c r="EG21" s="359"/>
      <c r="EH21" s="360"/>
      <c r="EI21" s="355"/>
      <c r="EJ21" s="355"/>
      <c r="EK21" s="355"/>
      <c r="EL21" s="356"/>
      <c r="EM21" s="357"/>
      <c r="EN21" s="358"/>
      <c r="EO21" s="357"/>
      <c r="EP21" s="359"/>
      <c r="EQ21" s="360"/>
      <c r="ER21" s="355"/>
      <c r="ES21" s="355"/>
      <c r="ET21" s="355"/>
      <c r="EU21" s="356"/>
      <c r="EV21" s="357"/>
      <c r="EW21" s="358"/>
      <c r="EX21" s="357"/>
      <c r="EY21" s="359"/>
      <c r="EZ21" s="360"/>
      <c r="FA21" s="355"/>
      <c r="FB21" s="355"/>
      <c r="FC21" s="355"/>
      <c r="FD21" s="356"/>
      <c r="FE21" s="357"/>
      <c r="FF21" s="358"/>
      <c r="FG21" s="357"/>
      <c r="FH21" s="359"/>
      <c r="FI21" s="360"/>
      <c r="FJ21" s="355"/>
      <c r="FK21" s="355"/>
      <c r="FL21" s="355"/>
      <c r="FM21" s="356"/>
      <c r="FN21" s="357"/>
      <c r="FO21" s="358"/>
      <c r="FP21" s="357"/>
      <c r="FQ21" s="359"/>
      <c r="FR21" s="360"/>
      <c r="FS21" s="355"/>
      <c r="FT21" s="355"/>
      <c r="FU21" s="355"/>
      <c r="FV21" s="356"/>
      <c r="FW21" s="357"/>
      <c r="FX21" s="358"/>
      <c r="FY21" s="357"/>
      <c r="FZ21" s="359"/>
      <c r="GA21" s="360"/>
      <c r="GB21" s="355"/>
      <c r="GC21" s="355"/>
      <c r="GD21" s="355"/>
      <c r="GE21" s="356"/>
      <c r="GF21" s="357"/>
      <c r="GG21" s="358"/>
      <c r="GH21" s="357"/>
      <c r="GI21" s="359"/>
      <c r="GJ21" s="360"/>
      <c r="GK21" s="355"/>
      <c r="GL21" s="355"/>
      <c r="GM21" s="355"/>
      <c r="GN21" s="356"/>
      <c r="GO21" s="357"/>
      <c r="GP21" s="358"/>
      <c r="GQ21" s="357"/>
      <c r="GR21" s="359"/>
      <c r="GS21" s="360"/>
      <c r="GT21" s="362">
        <v>43074</v>
      </c>
      <c r="GU21" s="98"/>
      <c r="GV21" s="617"/>
      <c r="GW21" s="74"/>
      <c r="GX21" s="74"/>
      <c r="GY21" s="391" t="s">
        <v>1102</v>
      </c>
      <c r="GZ21" s="67">
        <v>3480</v>
      </c>
    </row>
    <row r="22" spans="1:209" x14ac:dyDescent="0.25">
      <c r="C22" s="87"/>
      <c r="D22" s="35"/>
      <c r="E22" s="36"/>
      <c r="F22" s="37"/>
      <c r="G22" s="38"/>
      <c r="H22" s="39"/>
      <c r="I22" s="40"/>
      <c r="J22" s="68" t="s">
        <v>64</v>
      </c>
      <c r="K22" s="407" t="s">
        <v>334</v>
      </c>
      <c r="L22" s="70">
        <v>20780</v>
      </c>
      <c r="M22" s="71">
        <v>43054</v>
      </c>
      <c r="N22" s="380" t="s">
        <v>1046</v>
      </c>
      <c r="O22" s="72">
        <v>26350</v>
      </c>
      <c r="P22" s="113">
        <f t="shared" si="0"/>
        <v>5570</v>
      </c>
      <c r="Q22" s="64">
        <v>24</v>
      </c>
      <c r="R22" s="64"/>
      <c r="S22" s="64"/>
      <c r="T22" s="39">
        <f t="shared" si="1"/>
        <v>632400</v>
      </c>
      <c r="U22" s="363" t="s">
        <v>72</v>
      </c>
      <c r="V22" s="353">
        <v>43074</v>
      </c>
      <c r="W22" s="364">
        <v>18850</v>
      </c>
      <c r="X22" s="355"/>
      <c r="Y22" s="356"/>
      <c r="Z22" s="357"/>
      <c r="AA22" s="358"/>
      <c r="AB22" s="357"/>
      <c r="AC22" s="359"/>
      <c r="AD22" s="360"/>
      <c r="AE22" s="355"/>
      <c r="AF22" s="355"/>
      <c r="AG22" s="355"/>
      <c r="AH22" s="356"/>
      <c r="AI22" s="357"/>
      <c r="AJ22" s="358"/>
      <c r="AK22" s="357"/>
      <c r="AL22" s="359"/>
      <c r="AM22" s="360"/>
      <c r="AN22" s="355"/>
      <c r="AO22" s="355"/>
      <c r="AP22" s="355"/>
      <c r="AQ22" s="356"/>
      <c r="AR22" s="357"/>
      <c r="AS22" s="358"/>
      <c r="AT22" s="357"/>
      <c r="AU22" s="359"/>
      <c r="AV22" s="360"/>
      <c r="AW22" s="355"/>
      <c r="AX22" s="355"/>
      <c r="AY22" s="355"/>
      <c r="AZ22" s="356"/>
      <c r="BA22" s="357"/>
      <c r="BB22" s="358"/>
      <c r="BC22" s="357"/>
      <c r="BD22" s="359"/>
      <c r="BE22" s="360"/>
      <c r="BF22" s="355"/>
      <c r="BG22" s="355"/>
      <c r="BH22" s="355"/>
      <c r="BI22" s="356"/>
      <c r="BJ22" s="357"/>
      <c r="BK22" s="358"/>
      <c r="BL22" s="357"/>
      <c r="BM22" s="359"/>
      <c r="BN22" s="360"/>
      <c r="BO22" s="355"/>
      <c r="BP22" s="355"/>
      <c r="BQ22" s="355"/>
      <c r="BR22" s="356"/>
      <c r="BS22" s="357"/>
      <c r="BT22" s="358"/>
      <c r="BU22" s="357"/>
      <c r="BV22" s="359"/>
      <c r="BW22" s="360"/>
      <c r="BX22" s="355"/>
      <c r="BY22" s="355"/>
      <c r="BZ22" s="355"/>
      <c r="CA22" s="356"/>
      <c r="CB22" s="357"/>
      <c r="CC22" s="358"/>
      <c r="CD22" s="357"/>
      <c r="CE22" s="359"/>
      <c r="CF22" s="360"/>
      <c r="CG22" s="355"/>
      <c r="CH22" s="355"/>
      <c r="CI22" s="355"/>
      <c r="CJ22" s="356"/>
      <c r="CK22" s="357"/>
      <c r="CL22" s="358"/>
      <c r="CM22" s="357"/>
      <c r="CN22" s="359"/>
      <c r="CO22" s="360"/>
      <c r="CP22" s="355"/>
      <c r="CQ22" s="355"/>
      <c r="CR22" s="355"/>
      <c r="CS22" s="356"/>
      <c r="CT22" s="357"/>
      <c r="CU22" s="358"/>
      <c r="CV22" s="361"/>
      <c r="CW22" s="359"/>
      <c r="CX22" s="360"/>
      <c r="CY22" s="355"/>
      <c r="CZ22" s="355"/>
      <c r="DA22" s="355"/>
      <c r="DB22" s="356"/>
      <c r="DC22" s="357"/>
      <c r="DD22" s="358"/>
      <c r="DE22" s="357"/>
      <c r="DF22" s="359"/>
      <c r="DG22" s="360"/>
      <c r="DH22" s="355"/>
      <c r="DI22" s="355"/>
      <c r="DJ22" s="355"/>
      <c r="DK22" s="356"/>
      <c r="DL22" s="357"/>
      <c r="DM22" s="358"/>
      <c r="DN22" s="357"/>
      <c r="DO22" s="359"/>
      <c r="DP22" s="360"/>
      <c r="DQ22" s="355"/>
      <c r="DR22" s="355"/>
      <c r="DS22" s="355"/>
      <c r="DT22" s="356"/>
      <c r="DU22" s="357"/>
      <c r="DV22" s="358"/>
      <c r="DW22" s="357"/>
      <c r="DX22" s="359"/>
      <c r="DY22" s="360"/>
      <c r="DZ22" s="355"/>
      <c r="EA22" s="355"/>
      <c r="EB22" s="355"/>
      <c r="EC22" s="356"/>
      <c r="ED22" s="357"/>
      <c r="EE22" s="358"/>
      <c r="EF22" s="357"/>
      <c r="EG22" s="359"/>
      <c r="EH22" s="360"/>
      <c r="EI22" s="355"/>
      <c r="EJ22" s="355"/>
      <c r="EK22" s="355"/>
      <c r="EL22" s="356"/>
      <c r="EM22" s="357"/>
      <c r="EN22" s="358"/>
      <c r="EO22" s="357"/>
      <c r="EP22" s="359"/>
      <c r="EQ22" s="360"/>
      <c r="ER22" s="355"/>
      <c r="ES22" s="355"/>
      <c r="ET22" s="355"/>
      <c r="EU22" s="356"/>
      <c r="EV22" s="357"/>
      <c r="EW22" s="358"/>
      <c r="EX22" s="357"/>
      <c r="EY22" s="359"/>
      <c r="EZ22" s="360"/>
      <c r="FA22" s="355"/>
      <c r="FB22" s="355"/>
      <c r="FC22" s="355"/>
      <c r="FD22" s="356"/>
      <c r="FE22" s="357"/>
      <c r="FF22" s="358"/>
      <c r="FG22" s="357"/>
      <c r="FH22" s="359"/>
      <c r="FI22" s="360"/>
      <c r="FJ22" s="355"/>
      <c r="FK22" s="355"/>
      <c r="FL22" s="355"/>
      <c r="FM22" s="356"/>
      <c r="FN22" s="357"/>
      <c r="FO22" s="358"/>
      <c r="FP22" s="357"/>
      <c r="FQ22" s="359"/>
      <c r="FR22" s="360"/>
      <c r="FS22" s="355"/>
      <c r="FT22" s="355"/>
      <c r="FU22" s="355"/>
      <c r="FV22" s="356"/>
      <c r="FW22" s="357"/>
      <c r="FX22" s="358"/>
      <c r="FY22" s="357"/>
      <c r="FZ22" s="359"/>
      <c r="GA22" s="360"/>
      <c r="GB22" s="355"/>
      <c r="GC22" s="355"/>
      <c r="GD22" s="355"/>
      <c r="GE22" s="356"/>
      <c r="GF22" s="357"/>
      <c r="GG22" s="358"/>
      <c r="GH22" s="357"/>
      <c r="GI22" s="359"/>
      <c r="GJ22" s="360"/>
      <c r="GK22" s="355"/>
      <c r="GL22" s="355"/>
      <c r="GM22" s="355"/>
      <c r="GN22" s="356"/>
      <c r="GO22" s="357"/>
      <c r="GP22" s="358"/>
      <c r="GQ22" s="357"/>
      <c r="GR22" s="359"/>
      <c r="GS22" s="360"/>
      <c r="GT22" s="362">
        <v>43074</v>
      </c>
      <c r="GU22" s="98">
        <v>22176</v>
      </c>
      <c r="GV22" s="84" t="s">
        <v>975</v>
      </c>
      <c r="GW22" s="74"/>
      <c r="GX22" s="74"/>
      <c r="GY22" s="389" t="s">
        <v>1102</v>
      </c>
      <c r="GZ22" s="67">
        <v>3480</v>
      </c>
      <c r="HA22" s="406"/>
    </row>
    <row r="23" spans="1:209" x14ac:dyDescent="0.25">
      <c r="C23" s="87"/>
      <c r="D23" s="35"/>
      <c r="E23" s="36"/>
      <c r="F23" s="37"/>
      <c r="G23" s="38"/>
      <c r="H23" s="39"/>
      <c r="I23" s="40"/>
      <c r="J23" s="76" t="s">
        <v>983</v>
      </c>
      <c r="K23" s="407" t="s">
        <v>370</v>
      </c>
      <c r="L23" s="70">
        <v>25090</v>
      </c>
      <c r="M23" s="71">
        <v>43055</v>
      </c>
      <c r="N23" s="380" t="s">
        <v>1047</v>
      </c>
      <c r="O23" s="72">
        <v>31865</v>
      </c>
      <c r="P23" s="113">
        <f t="shared" si="0"/>
        <v>6775</v>
      </c>
      <c r="Q23" s="64">
        <v>24.5</v>
      </c>
      <c r="R23" s="64"/>
      <c r="S23" s="64"/>
      <c r="T23" s="39">
        <f t="shared" si="1"/>
        <v>780692.5</v>
      </c>
      <c r="U23" s="363" t="s">
        <v>72</v>
      </c>
      <c r="V23" s="353">
        <v>43075</v>
      </c>
      <c r="W23" s="364">
        <v>18623.8</v>
      </c>
      <c r="X23" s="355"/>
      <c r="Y23" s="356"/>
      <c r="Z23" s="357"/>
      <c r="AA23" s="358"/>
      <c r="AB23" s="357"/>
      <c r="AC23" s="359"/>
      <c r="AD23" s="360"/>
      <c r="AE23" s="355"/>
      <c r="AF23" s="355"/>
      <c r="AG23" s="355"/>
      <c r="AH23" s="356"/>
      <c r="AI23" s="357"/>
      <c r="AJ23" s="358"/>
      <c r="AK23" s="357"/>
      <c r="AL23" s="359"/>
      <c r="AM23" s="360"/>
      <c r="AN23" s="355"/>
      <c r="AO23" s="355"/>
      <c r="AP23" s="355"/>
      <c r="AQ23" s="356"/>
      <c r="AR23" s="357"/>
      <c r="AS23" s="358"/>
      <c r="AT23" s="357"/>
      <c r="AU23" s="359"/>
      <c r="AV23" s="360"/>
      <c r="AW23" s="355"/>
      <c r="AX23" s="355"/>
      <c r="AY23" s="355"/>
      <c r="AZ23" s="356"/>
      <c r="BA23" s="357"/>
      <c r="BB23" s="358"/>
      <c r="BC23" s="357"/>
      <c r="BD23" s="359"/>
      <c r="BE23" s="360"/>
      <c r="BF23" s="355"/>
      <c r="BG23" s="355"/>
      <c r="BH23" s="355"/>
      <c r="BI23" s="356"/>
      <c r="BJ23" s="357"/>
      <c r="BK23" s="358"/>
      <c r="BL23" s="357"/>
      <c r="BM23" s="359"/>
      <c r="BN23" s="360"/>
      <c r="BO23" s="355"/>
      <c r="BP23" s="355"/>
      <c r="BQ23" s="355"/>
      <c r="BR23" s="356"/>
      <c r="BS23" s="357"/>
      <c r="BT23" s="358"/>
      <c r="BU23" s="357"/>
      <c r="BV23" s="359"/>
      <c r="BW23" s="360"/>
      <c r="BX23" s="355"/>
      <c r="BY23" s="355"/>
      <c r="BZ23" s="355"/>
      <c r="CA23" s="356"/>
      <c r="CB23" s="357"/>
      <c r="CC23" s="358"/>
      <c r="CD23" s="357"/>
      <c r="CE23" s="359"/>
      <c r="CF23" s="360"/>
      <c r="CG23" s="355"/>
      <c r="CH23" s="355"/>
      <c r="CI23" s="355"/>
      <c r="CJ23" s="356"/>
      <c r="CK23" s="357"/>
      <c r="CL23" s="358"/>
      <c r="CM23" s="357"/>
      <c r="CN23" s="359"/>
      <c r="CO23" s="360"/>
      <c r="CP23" s="355"/>
      <c r="CQ23" s="355"/>
      <c r="CR23" s="355"/>
      <c r="CS23" s="356"/>
      <c r="CT23" s="357"/>
      <c r="CU23" s="358"/>
      <c r="CV23" s="361"/>
      <c r="CW23" s="359"/>
      <c r="CX23" s="360"/>
      <c r="CY23" s="355"/>
      <c r="CZ23" s="355"/>
      <c r="DA23" s="355"/>
      <c r="DB23" s="356"/>
      <c r="DC23" s="357"/>
      <c r="DD23" s="358"/>
      <c r="DE23" s="357"/>
      <c r="DF23" s="359"/>
      <c r="DG23" s="360"/>
      <c r="DH23" s="355"/>
      <c r="DI23" s="355"/>
      <c r="DJ23" s="355"/>
      <c r="DK23" s="356"/>
      <c r="DL23" s="357"/>
      <c r="DM23" s="358"/>
      <c r="DN23" s="357"/>
      <c r="DO23" s="359"/>
      <c r="DP23" s="360"/>
      <c r="DQ23" s="355"/>
      <c r="DR23" s="355"/>
      <c r="DS23" s="355"/>
      <c r="DT23" s="356"/>
      <c r="DU23" s="357"/>
      <c r="DV23" s="358"/>
      <c r="DW23" s="357"/>
      <c r="DX23" s="359"/>
      <c r="DY23" s="360"/>
      <c r="DZ23" s="355"/>
      <c r="EA23" s="355"/>
      <c r="EB23" s="355"/>
      <c r="EC23" s="356"/>
      <c r="ED23" s="357"/>
      <c r="EE23" s="358"/>
      <c r="EF23" s="357"/>
      <c r="EG23" s="359"/>
      <c r="EH23" s="360"/>
      <c r="EI23" s="355"/>
      <c r="EJ23" s="355"/>
      <c r="EK23" s="355"/>
      <c r="EL23" s="356"/>
      <c r="EM23" s="357"/>
      <c r="EN23" s="358"/>
      <c r="EO23" s="357"/>
      <c r="EP23" s="359"/>
      <c r="EQ23" s="360"/>
      <c r="ER23" s="355"/>
      <c r="ES23" s="355"/>
      <c r="ET23" s="355"/>
      <c r="EU23" s="356"/>
      <c r="EV23" s="357"/>
      <c r="EW23" s="358"/>
      <c r="EX23" s="357"/>
      <c r="EY23" s="359"/>
      <c r="EZ23" s="360"/>
      <c r="FA23" s="355"/>
      <c r="FB23" s="355"/>
      <c r="FC23" s="355"/>
      <c r="FD23" s="356"/>
      <c r="FE23" s="357"/>
      <c r="FF23" s="358"/>
      <c r="FG23" s="357"/>
      <c r="FH23" s="359"/>
      <c r="FI23" s="360"/>
      <c r="FJ23" s="355"/>
      <c r="FK23" s="355"/>
      <c r="FL23" s="355"/>
      <c r="FM23" s="356"/>
      <c r="FN23" s="357"/>
      <c r="FO23" s="358"/>
      <c r="FP23" s="357"/>
      <c r="FQ23" s="359"/>
      <c r="FR23" s="360"/>
      <c r="FS23" s="355"/>
      <c r="FT23" s="355"/>
      <c r="FU23" s="355"/>
      <c r="FV23" s="356"/>
      <c r="FW23" s="357"/>
      <c r="FX23" s="358"/>
      <c r="FY23" s="357"/>
      <c r="FZ23" s="359"/>
      <c r="GA23" s="360"/>
      <c r="GB23" s="355"/>
      <c r="GC23" s="355"/>
      <c r="GD23" s="355"/>
      <c r="GE23" s="356"/>
      <c r="GF23" s="357"/>
      <c r="GG23" s="358"/>
      <c r="GH23" s="357"/>
      <c r="GI23" s="359"/>
      <c r="GJ23" s="360"/>
      <c r="GK23" s="355"/>
      <c r="GL23" s="355"/>
      <c r="GM23" s="355"/>
      <c r="GN23" s="356"/>
      <c r="GO23" s="357"/>
      <c r="GP23" s="358"/>
      <c r="GQ23" s="357"/>
      <c r="GR23" s="359"/>
      <c r="GS23" s="360"/>
      <c r="GT23" s="362">
        <v>43075</v>
      </c>
      <c r="GU23" s="98"/>
      <c r="GV23" s="84"/>
      <c r="GW23" s="74"/>
      <c r="GX23" s="74"/>
      <c r="GY23" s="389" t="s">
        <v>1109</v>
      </c>
      <c r="GZ23" s="67">
        <v>3480</v>
      </c>
    </row>
    <row r="24" spans="1:209" x14ac:dyDescent="0.25">
      <c r="C24" s="87"/>
      <c r="D24" s="35"/>
      <c r="E24" s="36"/>
      <c r="F24" s="37"/>
      <c r="G24" s="38"/>
      <c r="H24" s="39"/>
      <c r="I24" s="40"/>
      <c r="J24" s="76" t="s">
        <v>984</v>
      </c>
      <c r="K24" s="407" t="s">
        <v>35</v>
      </c>
      <c r="L24" s="70">
        <v>12990</v>
      </c>
      <c r="M24" s="71">
        <v>43055</v>
      </c>
      <c r="N24" s="380" t="s">
        <v>1048</v>
      </c>
      <c r="O24" s="72">
        <v>15840</v>
      </c>
      <c r="P24" s="113">
        <f t="shared" si="0"/>
        <v>2850</v>
      </c>
      <c r="Q24" s="64">
        <v>24.5</v>
      </c>
      <c r="R24" s="64"/>
      <c r="S24" s="64"/>
      <c r="T24" s="39">
        <f t="shared" si="1"/>
        <v>388080</v>
      </c>
      <c r="U24" s="363" t="s">
        <v>72</v>
      </c>
      <c r="V24" s="353">
        <v>43075</v>
      </c>
      <c r="W24" s="364">
        <v>9802</v>
      </c>
      <c r="X24" s="355"/>
      <c r="Y24" s="356"/>
      <c r="Z24" s="357"/>
      <c r="AA24" s="358"/>
      <c r="AB24" s="357"/>
      <c r="AC24" s="359"/>
      <c r="AD24" s="360"/>
      <c r="AE24" s="355"/>
      <c r="AF24" s="355"/>
      <c r="AG24" s="355"/>
      <c r="AH24" s="356"/>
      <c r="AI24" s="357"/>
      <c r="AJ24" s="358"/>
      <c r="AK24" s="357"/>
      <c r="AL24" s="359"/>
      <c r="AM24" s="360"/>
      <c r="AN24" s="355"/>
      <c r="AO24" s="355"/>
      <c r="AP24" s="355"/>
      <c r="AQ24" s="356"/>
      <c r="AR24" s="357"/>
      <c r="AS24" s="358"/>
      <c r="AT24" s="357"/>
      <c r="AU24" s="359"/>
      <c r="AV24" s="360"/>
      <c r="AW24" s="355"/>
      <c r="AX24" s="355"/>
      <c r="AY24" s="355"/>
      <c r="AZ24" s="356"/>
      <c r="BA24" s="357"/>
      <c r="BB24" s="358"/>
      <c r="BC24" s="357"/>
      <c r="BD24" s="359"/>
      <c r="BE24" s="360"/>
      <c r="BF24" s="355"/>
      <c r="BG24" s="355"/>
      <c r="BH24" s="355"/>
      <c r="BI24" s="356"/>
      <c r="BJ24" s="357"/>
      <c r="BK24" s="358"/>
      <c r="BL24" s="357"/>
      <c r="BM24" s="359"/>
      <c r="BN24" s="360"/>
      <c r="BO24" s="355"/>
      <c r="BP24" s="355"/>
      <c r="BQ24" s="355"/>
      <c r="BR24" s="356"/>
      <c r="BS24" s="357"/>
      <c r="BT24" s="358"/>
      <c r="BU24" s="357"/>
      <c r="BV24" s="359"/>
      <c r="BW24" s="360"/>
      <c r="BX24" s="355"/>
      <c r="BY24" s="355"/>
      <c r="BZ24" s="355"/>
      <c r="CA24" s="356"/>
      <c r="CB24" s="357"/>
      <c r="CC24" s="358"/>
      <c r="CD24" s="357"/>
      <c r="CE24" s="359"/>
      <c r="CF24" s="360"/>
      <c r="CG24" s="355"/>
      <c r="CH24" s="355"/>
      <c r="CI24" s="355"/>
      <c r="CJ24" s="356"/>
      <c r="CK24" s="357"/>
      <c r="CL24" s="358"/>
      <c r="CM24" s="357"/>
      <c r="CN24" s="359"/>
      <c r="CO24" s="360"/>
      <c r="CP24" s="355"/>
      <c r="CQ24" s="355"/>
      <c r="CR24" s="355"/>
      <c r="CS24" s="356"/>
      <c r="CT24" s="357"/>
      <c r="CU24" s="358"/>
      <c r="CV24" s="361"/>
      <c r="CW24" s="359"/>
      <c r="CX24" s="360"/>
      <c r="CY24" s="355"/>
      <c r="CZ24" s="355"/>
      <c r="DA24" s="355"/>
      <c r="DB24" s="356"/>
      <c r="DC24" s="357"/>
      <c r="DD24" s="358"/>
      <c r="DE24" s="357"/>
      <c r="DF24" s="359"/>
      <c r="DG24" s="360"/>
      <c r="DH24" s="355"/>
      <c r="DI24" s="355"/>
      <c r="DJ24" s="355"/>
      <c r="DK24" s="356"/>
      <c r="DL24" s="357"/>
      <c r="DM24" s="358"/>
      <c r="DN24" s="357"/>
      <c r="DO24" s="359"/>
      <c r="DP24" s="360"/>
      <c r="DQ24" s="355"/>
      <c r="DR24" s="355"/>
      <c r="DS24" s="355"/>
      <c r="DT24" s="356"/>
      <c r="DU24" s="357"/>
      <c r="DV24" s="358"/>
      <c r="DW24" s="357"/>
      <c r="DX24" s="359"/>
      <c r="DY24" s="360"/>
      <c r="DZ24" s="355"/>
      <c r="EA24" s="355"/>
      <c r="EB24" s="355"/>
      <c r="EC24" s="356"/>
      <c r="ED24" s="357"/>
      <c r="EE24" s="358"/>
      <c r="EF24" s="357"/>
      <c r="EG24" s="359"/>
      <c r="EH24" s="360"/>
      <c r="EI24" s="355"/>
      <c r="EJ24" s="355"/>
      <c r="EK24" s="355"/>
      <c r="EL24" s="356"/>
      <c r="EM24" s="357"/>
      <c r="EN24" s="358"/>
      <c r="EO24" s="357"/>
      <c r="EP24" s="359"/>
      <c r="EQ24" s="360"/>
      <c r="ER24" s="355"/>
      <c r="ES24" s="355"/>
      <c r="ET24" s="355"/>
      <c r="EU24" s="356"/>
      <c r="EV24" s="357"/>
      <c r="EW24" s="358"/>
      <c r="EX24" s="357"/>
      <c r="EY24" s="359"/>
      <c r="EZ24" s="360"/>
      <c r="FA24" s="355"/>
      <c r="FB24" s="355"/>
      <c r="FC24" s="355"/>
      <c r="FD24" s="356"/>
      <c r="FE24" s="357"/>
      <c r="FF24" s="358"/>
      <c r="FG24" s="357"/>
      <c r="FH24" s="359"/>
      <c r="FI24" s="360"/>
      <c r="FJ24" s="355"/>
      <c r="FK24" s="355"/>
      <c r="FL24" s="355"/>
      <c r="FM24" s="356"/>
      <c r="FN24" s="357"/>
      <c r="FO24" s="358"/>
      <c r="FP24" s="357"/>
      <c r="FQ24" s="359"/>
      <c r="FR24" s="360"/>
      <c r="FS24" s="355"/>
      <c r="FT24" s="355"/>
      <c r="FU24" s="355"/>
      <c r="FV24" s="356"/>
      <c r="FW24" s="357"/>
      <c r="FX24" s="358"/>
      <c r="FY24" s="357"/>
      <c r="FZ24" s="359"/>
      <c r="GA24" s="360"/>
      <c r="GB24" s="355"/>
      <c r="GC24" s="355"/>
      <c r="GD24" s="355"/>
      <c r="GE24" s="356"/>
      <c r="GF24" s="357"/>
      <c r="GG24" s="358"/>
      <c r="GH24" s="357"/>
      <c r="GI24" s="359"/>
      <c r="GJ24" s="360"/>
      <c r="GK24" s="355"/>
      <c r="GL24" s="355"/>
      <c r="GM24" s="355"/>
      <c r="GN24" s="356"/>
      <c r="GO24" s="357"/>
      <c r="GP24" s="358"/>
      <c r="GQ24" s="357"/>
      <c r="GR24" s="359"/>
      <c r="GS24" s="360"/>
      <c r="GT24" s="362">
        <v>43075</v>
      </c>
      <c r="GU24" s="98">
        <v>17584</v>
      </c>
      <c r="GV24" s="65" t="s">
        <v>990</v>
      </c>
      <c r="GW24" s="74"/>
      <c r="GX24" s="74"/>
      <c r="GY24" s="389" t="s">
        <v>1109</v>
      </c>
      <c r="GZ24" s="67">
        <v>1856</v>
      </c>
    </row>
    <row r="25" spans="1:209" x14ac:dyDescent="0.25">
      <c r="C25" s="87"/>
      <c r="D25" s="35"/>
      <c r="E25" s="36"/>
      <c r="F25" s="37"/>
      <c r="G25" s="38"/>
      <c r="H25" s="39"/>
      <c r="I25" s="40"/>
      <c r="J25" s="76" t="s">
        <v>985</v>
      </c>
      <c r="K25" s="450" t="s">
        <v>46</v>
      </c>
      <c r="L25" s="70">
        <v>10800</v>
      </c>
      <c r="M25" s="71">
        <v>43056</v>
      </c>
      <c r="N25" s="380" t="s">
        <v>1050</v>
      </c>
      <c r="O25" s="72">
        <v>10920</v>
      </c>
      <c r="P25" s="113">
        <f t="shared" si="0"/>
        <v>120</v>
      </c>
      <c r="Q25" s="64">
        <v>24.5</v>
      </c>
      <c r="R25" s="64"/>
      <c r="S25" s="64"/>
      <c r="T25" s="39">
        <f t="shared" si="1"/>
        <v>267540</v>
      </c>
      <c r="U25" s="363" t="s">
        <v>72</v>
      </c>
      <c r="V25" s="353">
        <v>43076</v>
      </c>
      <c r="W25" s="364">
        <v>7540</v>
      </c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61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362">
        <v>43076</v>
      </c>
      <c r="GU25" s="98">
        <v>17584</v>
      </c>
      <c r="GV25" s="65" t="s">
        <v>991</v>
      </c>
      <c r="GW25" s="74"/>
      <c r="GX25" s="74"/>
      <c r="GY25" s="389" t="s">
        <v>1109</v>
      </c>
      <c r="GZ25" s="67">
        <v>1856</v>
      </c>
    </row>
    <row r="26" spans="1:209" x14ac:dyDescent="0.25">
      <c r="C26" s="87"/>
      <c r="D26" s="35"/>
      <c r="E26" s="36"/>
      <c r="F26" s="37"/>
      <c r="G26" s="38"/>
      <c r="H26" s="39"/>
      <c r="I26" s="40"/>
      <c r="J26" s="76" t="s">
        <v>986</v>
      </c>
      <c r="K26" s="407" t="s">
        <v>59</v>
      </c>
      <c r="L26" s="70">
        <v>18330</v>
      </c>
      <c r="M26" s="71">
        <v>43056</v>
      </c>
      <c r="N26" s="380" t="s">
        <v>1049</v>
      </c>
      <c r="O26" s="72">
        <v>26355</v>
      </c>
      <c r="P26" s="113">
        <f t="shared" si="0"/>
        <v>8025</v>
      </c>
      <c r="Q26" s="64">
        <v>24.5</v>
      </c>
      <c r="R26" s="64"/>
      <c r="S26" s="64"/>
      <c r="T26" s="39">
        <f t="shared" si="1"/>
        <v>645697.5</v>
      </c>
      <c r="U26" s="363" t="s">
        <v>72</v>
      </c>
      <c r="V26" s="353">
        <v>43076</v>
      </c>
      <c r="W26" s="364">
        <v>17342</v>
      </c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61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365">
        <v>43076</v>
      </c>
      <c r="GU26" s="98">
        <v>22176</v>
      </c>
      <c r="GV26" s="65" t="s">
        <v>992</v>
      </c>
      <c r="GW26" s="74"/>
      <c r="GX26" s="74"/>
      <c r="GY26" s="389" t="s">
        <v>1109</v>
      </c>
      <c r="GZ26" s="67">
        <v>3480</v>
      </c>
    </row>
    <row r="27" spans="1:209" x14ac:dyDescent="0.25">
      <c r="C27" s="87"/>
      <c r="D27" s="35"/>
      <c r="E27" s="36"/>
      <c r="F27" s="37"/>
      <c r="G27" s="38"/>
      <c r="H27" s="39"/>
      <c r="I27" s="40"/>
      <c r="J27" s="68" t="s">
        <v>64</v>
      </c>
      <c r="K27" s="407" t="s">
        <v>37</v>
      </c>
      <c r="L27" s="70">
        <v>17320</v>
      </c>
      <c r="M27" s="71">
        <v>43058</v>
      </c>
      <c r="N27" s="380" t="s">
        <v>1051</v>
      </c>
      <c r="O27" s="72">
        <v>24070</v>
      </c>
      <c r="P27" s="113">
        <f t="shared" si="0"/>
        <v>6750</v>
      </c>
      <c r="Q27" s="64">
        <v>25</v>
      </c>
      <c r="R27" s="64"/>
      <c r="S27" s="64"/>
      <c r="T27" s="39">
        <f t="shared" si="1"/>
        <v>601750</v>
      </c>
      <c r="U27" s="363" t="s">
        <v>72</v>
      </c>
      <c r="V27" s="353">
        <v>43077</v>
      </c>
      <c r="W27" s="364">
        <v>15080</v>
      </c>
      <c r="X27" s="355"/>
      <c r="Y27" s="356"/>
      <c r="Z27" s="357"/>
      <c r="AA27" s="358"/>
      <c r="AB27" s="357"/>
      <c r="AC27" s="359"/>
      <c r="AD27" s="360"/>
      <c r="AE27" s="355"/>
      <c r="AF27" s="355"/>
      <c r="AG27" s="355"/>
      <c r="AH27" s="356"/>
      <c r="AI27" s="357"/>
      <c r="AJ27" s="358"/>
      <c r="AK27" s="357"/>
      <c r="AL27" s="359"/>
      <c r="AM27" s="360"/>
      <c r="AN27" s="355"/>
      <c r="AO27" s="355"/>
      <c r="AP27" s="355"/>
      <c r="AQ27" s="356"/>
      <c r="AR27" s="357"/>
      <c r="AS27" s="358"/>
      <c r="AT27" s="357"/>
      <c r="AU27" s="359"/>
      <c r="AV27" s="360"/>
      <c r="AW27" s="355"/>
      <c r="AX27" s="355"/>
      <c r="AY27" s="355"/>
      <c r="AZ27" s="356"/>
      <c r="BA27" s="357"/>
      <c r="BB27" s="358"/>
      <c r="BC27" s="357"/>
      <c r="BD27" s="359"/>
      <c r="BE27" s="360"/>
      <c r="BF27" s="355"/>
      <c r="BG27" s="355"/>
      <c r="BH27" s="355"/>
      <c r="BI27" s="356"/>
      <c r="BJ27" s="357"/>
      <c r="BK27" s="358"/>
      <c r="BL27" s="357"/>
      <c r="BM27" s="359"/>
      <c r="BN27" s="360"/>
      <c r="BO27" s="355"/>
      <c r="BP27" s="355"/>
      <c r="BQ27" s="355"/>
      <c r="BR27" s="356"/>
      <c r="BS27" s="357"/>
      <c r="BT27" s="358"/>
      <c r="BU27" s="357"/>
      <c r="BV27" s="359"/>
      <c r="BW27" s="360"/>
      <c r="BX27" s="355"/>
      <c r="BY27" s="355"/>
      <c r="BZ27" s="355"/>
      <c r="CA27" s="356"/>
      <c r="CB27" s="357"/>
      <c r="CC27" s="358"/>
      <c r="CD27" s="357"/>
      <c r="CE27" s="359"/>
      <c r="CF27" s="360"/>
      <c r="CG27" s="355"/>
      <c r="CH27" s="355"/>
      <c r="CI27" s="355"/>
      <c r="CJ27" s="356"/>
      <c r="CK27" s="357"/>
      <c r="CL27" s="358"/>
      <c r="CM27" s="357"/>
      <c r="CN27" s="359"/>
      <c r="CO27" s="360"/>
      <c r="CP27" s="355"/>
      <c r="CQ27" s="355"/>
      <c r="CR27" s="355"/>
      <c r="CS27" s="356"/>
      <c r="CT27" s="357"/>
      <c r="CU27" s="358"/>
      <c r="CV27" s="361"/>
      <c r="CW27" s="359"/>
      <c r="CX27" s="360"/>
      <c r="CY27" s="355"/>
      <c r="CZ27" s="355"/>
      <c r="DA27" s="355"/>
      <c r="DB27" s="356"/>
      <c r="DC27" s="357"/>
      <c r="DD27" s="358"/>
      <c r="DE27" s="357"/>
      <c r="DF27" s="359"/>
      <c r="DG27" s="360"/>
      <c r="DH27" s="355"/>
      <c r="DI27" s="355"/>
      <c r="DJ27" s="355"/>
      <c r="DK27" s="356"/>
      <c r="DL27" s="357"/>
      <c r="DM27" s="358"/>
      <c r="DN27" s="357"/>
      <c r="DO27" s="359"/>
      <c r="DP27" s="360"/>
      <c r="DQ27" s="355"/>
      <c r="DR27" s="355"/>
      <c r="DS27" s="355"/>
      <c r="DT27" s="356"/>
      <c r="DU27" s="357"/>
      <c r="DV27" s="358"/>
      <c r="DW27" s="357"/>
      <c r="DX27" s="359"/>
      <c r="DY27" s="360"/>
      <c r="DZ27" s="355"/>
      <c r="EA27" s="355"/>
      <c r="EB27" s="355"/>
      <c r="EC27" s="356"/>
      <c r="ED27" s="357"/>
      <c r="EE27" s="358"/>
      <c r="EF27" s="357"/>
      <c r="EG27" s="359"/>
      <c r="EH27" s="360"/>
      <c r="EI27" s="355"/>
      <c r="EJ27" s="355"/>
      <c r="EK27" s="355"/>
      <c r="EL27" s="356"/>
      <c r="EM27" s="357"/>
      <c r="EN27" s="358"/>
      <c r="EO27" s="357"/>
      <c r="EP27" s="359"/>
      <c r="EQ27" s="360"/>
      <c r="ER27" s="355"/>
      <c r="ES27" s="355"/>
      <c r="ET27" s="355"/>
      <c r="EU27" s="356"/>
      <c r="EV27" s="357"/>
      <c r="EW27" s="358"/>
      <c r="EX27" s="357"/>
      <c r="EY27" s="359"/>
      <c r="EZ27" s="360"/>
      <c r="FA27" s="355"/>
      <c r="FB27" s="355"/>
      <c r="FC27" s="355"/>
      <c r="FD27" s="356"/>
      <c r="FE27" s="357"/>
      <c r="FF27" s="358"/>
      <c r="FG27" s="357"/>
      <c r="FH27" s="359"/>
      <c r="FI27" s="360"/>
      <c r="FJ27" s="355"/>
      <c r="FK27" s="355"/>
      <c r="FL27" s="355"/>
      <c r="FM27" s="356"/>
      <c r="FN27" s="357"/>
      <c r="FO27" s="358"/>
      <c r="FP27" s="357"/>
      <c r="FQ27" s="359"/>
      <c r="FR27" s="360"/>
      <c r="FS27" s="355"/>
      <c r="FT27" s="355"/>
      <c r="FU27" s="355"/>
      <c r="FV27" s="356"/>
      <c r="FW27" s="357"/>
      <c r="FX27" s="358"/>
      <c r="FY27" s="357"/>
      <c r="FZ27" s="359"/>
      <c r="GA27" s="360"/>
      <c r="GB27" s="355"/>
      <c r="GC27" s="355"/>
      <c r="GD27" s="355"/>
      <c r="GE27" s="356"/>
      <c r="GF27" s="357"/>
      <c r="GG27" s="358"/>
      <c r="GH27" s="357"/>
      <c r="GI27" s="359"/>
      <c r="GJ27" s="360"/>
      <c r="GK27" s="355"/>
      <c r="GL27" s="355"/>
      <c r="GM27" s="355"/>
      <c r="GN27" s="356"/>
      <c r="GO27" s="357"/>
      <c r="GP27" s="358"/>
      <c r="GQ27" s="357"/>
      <c r="GR27" s="359"/>
      <c r="GS27" s="360"/>
      <c r="GT27" s="362">
        <v>43077</v>
      </c>
      <c r="GU27" s="98">
        <v>22176</v>
      </c>
      <c r="GV27" s="65" t="s">
        <v>1006</v>
      </c>
      <c r="GW27" s="74"/>
      <c r="GX27" s="74"/>
      <c r="GY27" s="389" t="s">
        <v>1109</v>
      </c>
      <c r="GZ27" s="67">
        <v>3480</v>
      </c>
    </row>
    <row r="28" spans="1:209" x14ac:dyDescent="0.25">
      <c r="A28" s="1">
        <v>23</v>
      </c>
      <c r="B28" t="e">
        <f>#REF!</f>
        <v>#REF!</v>
      </c>
      <c r="C28" t="e">
        <f>#REF!</f>
        <v>#REF!</v>
      </c>
      <c r="D28" s="35" t="e">
        <f>#REF!</f>
        <v>#REF!</v>
      </c>
      <c r="E28" s="36" t="e">
        <f>#REF!</f>
        <v>#REF!</v>
      </c>
      <c r="F28" s="37" t="e">
        <f>#REF!</f>
        <v>#REF!</v>
      </c>
      <c r="G28" s="38" t="e">
        <f>#REF!</f>
        <v>#REF!</v>
      </c>
      <c r="H28" s="39" t="e">
        <f>#REF!</f>
        <v>#REF!</v>
      </c>
      <c r="I28" s="40" t="e">
        <f>#REF!</f>
        <v>#REF!</v>
      </c>
      <c r="J28" s="68" t="s">
        <v>96</v>
      </c>
      <c r="K28" s="407" t="s">
        <v>987</v>
      </c>
      <c r="L28" s="70">
        <v>23540</v>
      </c>
      <c r="M28" s="71">
        <v>43058</v>
      </c>
      <c r="N28" s="380" t="s">
        <v>1054</v>
      </c>
      <c r="O28" s="72">
        <v>27250</v>
      </c>
      <c r="P28" s="113">
        <f t="shared" si="0"/>
        <v>3710</v>
      </c>
      <c r="Q28" s="64">
        <v>25</v>
      </c>
      <c r="R28" s="64"/>
      <c r="S28" s="64"/>
      <c r="T28" s="39">
        <f t="shared" si="1"/>
        <v>681250</v>
      </c>
      <c r="U28" s="363" t="s">
        <v>72</v>
      </c>
      <c r="V28" s="366">
        <v>43080</v>
      </c>
      <c r="W28" s="367">
        <v>18774.599999999999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362">
        <v>43080</v>
      </c>
      <c r="GU28" s="98"/>
      <c r="GV28" s="84"/>
      <c r="GW28" s="74"/>
      <c r="GX28" s="74"/>
      <c r="GY28" s="391" t="s">
        <v>1109</v>
      </c>
      <c r="GZ28" s="67">
        <v>3480</v>
      </c>
    </row>
    <row r="29" spans="1:209" x14ac:dyDescent="0.25">
      <c r="D29" s="35"/>
      <c r="E29" s="36"/>
      <c r="F29" s="37"/>
      <c r="G29" s="38"/>
      <c r="H29" s="39"/>
      <c r="I29" s="40"/>
      <c r="J29" s="68" t="s">
        <v>96</v>
      </c>
      <c r="K29" s="407" t="s">
        <v>37</v>
      </c>
      <c r="L29" s="70">
        <v>17630</v>
      </c>
      <c r="M29" s="71">
        <v>43059</v>
      </c>
      <c r="N29" s="380" t="s">
        <v>1055</v>
      </c>
      <c r="O29" s="72">
        <v>22110</v>
      </c>
      <c r="P29" s="113">
        <f t="shared" si="0"/>
        <v>4480</v>
      </c>
      <c r="Q29" s="117">
        <v>25</v>
      </c>
      <c r="R29" s="117"/>
      <c r="S29" s="117"/>
      <c r="T29" s="39">
        <f t="shared" si="1"/>
        <v>552750</v>
      </c>
      <c r="U29" s="363" t="s">
        <v>72</v>
      </c>
      <c r="V29" s="353">
        <v>43080</v>
      </c>
      <c r="W29" s="368">
        <v>15080</v>
      </c>
      <c r="X29" s="355"/>
      <c r="Y29" s="356"/>
      <c r="Z29" s="357"/>
      <c r="AA29" s="358"/>
      <c r="AB29" s="357"/>
      <c r="AC29" s="359"/>
      <c r="AD29" s="360"/>
      <c r="AE29" s="355"/>
      <c r="AF29" s="355"/>
      <c r="AG29" s="355"/>
      <c r="AH29" s="356"/>
      <c r="AI29" s="357"/>
      <c r="AJ29" s="358"/>
      <c r="AK29" s="357"/>
      <c r="AL29" s="359"/>
      <c r="AM29" s="360"/>
      <c r="AN29" s="355"/>
      <c r="AO29" s="355"/>
      <c r="AP29" s="355"/>
      <c r="AQ29" s="356"/>
      <c r="AR29" s="357"/>
      <c r="AS29" s="358"/>
      <c r="AT29" s="357"/>
      <c r="AU29" s="359"/>
      <c r="AV29" s="360"/>
      <c r="AW29" s="355"/>
      <c r="AX29" s="355"/>
      <c r="AY29" s="355"/>
      <c r="AZ29" s="356"/>
      <c r="BA29" s="357"/>
      <c r="BB29" s="358"/>
      <c r="BC29" s="357"/>
      <c r="BD29" s="359"/>
      <c r="BE29" s="360"/>
      <c r="BF29" s="355"/>
      <c r="BG29" s="355"/>
      <c r="BH29" s="355"/>
      <c r="BI29" s="356"/>
      <c r="BJ29" s="357"/>
      <c r="BK29" s="358"/>
      <c r="BL29" s="357"/>
      <c r="BM29" s="359"/>
      <c r="BN29" s="360"/>
      <c r="BO29" s="355"/>
      <c r="BP29" s="355"/>
      <c r="BQ29" s="355"/>
      <c r="BR29" s="356"/>
      <c r="BS29" s="357"/>
      <c r="BT29" s="358"/>
      <c r="BU29" s="357"/>
      <c r="BV29" s="359"/>
      <c r="BW29" s="360"/>
      <c r="BX29" s="355"/>
      <c r="BY29" s="355"/>
      <c r="BZ29" s="355"/>
      <c r="CA29" s="356"/>
      <c r="CB29" s="357"/>
      <c r="CC29" s="358"/>
      <c r="CD29" s="357"/>
      <c r="CE29" s="359"/>
      <c r="CF29" s="360"/>
      <c r="CG29" s="355"/>
      <c r="CH29" s="355"/>
      <c r="CI29" s="355"/>
      <c r="CJ29" s="356"/>
      <c r="CK29" s="357"/>
      <c r="CL29" s="358"/>
      <c r="CM29" s="357"/>
      <c r="CN29" s="359"/>
      <c r="CO29" s="360"/>
      <c r="CP29" s="355"/>
      <c r="CQ29" s="355"/>
      <c r="CR29" s="355"/>
      <c r="CS29" s="356"/>
      <c r="CT29" s="357"/>
      <c r="CU29" s="358"/>
      <c r="CV29" s="357"/>
      <c r="CW29" s="359"/>
      <c r="CX29" s="360"/>
      <c r="CY29" s="355"/>
      <c r="CZ29" s="355"/>
      <c r="DA29" s="355"/>
      <c r="DB29" s="356"/>
      <c r="DC29" s="357"/>
      <c r="DD29" s="358"/>
      <c r="DE29" s="357"/>
      <c r="DF29" s="359"/>
      <c r="DG29" s="360"/>
      <c r="DH29" s="355"/>
      <c r="DI29" s="355"/>
      <c r="DJ29" s="355"/>
      <c r="DK29" s="356"/>
      <c r="DL29" s="357"/>
      <c r="DM29" s="358"/>
      <c r="DN29" s="357"/>
      <c r="DO29" s="359"/>
      <c r="DP29" s="360"/>
      <c r="DQ29" s="355"/>
      <c r="DR29" s="355"/>
      <c r="DS29" s="355"/>
      <c r="DT29" s="356"/>
      <c r="DU29" s="357"/>
      <c r="DV29" s="358"/>
      <c r="DW29" s="357"/>
      <c r="DX29" s="359"/>
      <c r="DY29" s="360"/>
      <c r="DZ29" s="355"/>
      <c r="EA29" s="355"/>
      <c r="EB29" s="355"/>
      <c r="EC29" s="356"/>
      <c r="ED29" s="357"/>
      <c r="EE29" s="358"/>
      <c r="EF29" s="357"/>
      <c r="EG29" s="359"/>
      <c r="EH29" s="360"/>
      <c r="EI29" s="355"/>
      <c r="EJ29" s="355"/>
      <c r="EK29" s="355"/>
      <c r="EL29" s="356"/>
      <c r="EM29" s="357"/>
      <c r="EN29" s="358"/>
      <c r="EO29" s="357"/>
      <c r="EP29" s="359"/>
      <c r="EQ29" s="360"/>
      <c r="ER29" s="355"/>
      <c r="ES29" s="355"/>
      <c r="ET29" s="355"/>
      <c r="EU29" s="356"/>
      <c r="EV29" s="357"/>
      <c r="EW29" s="358"/>
      <c r="EX29" s="357"/>
      <c r="EY29" s="359"/>
      <c r="EZ29" s="360"/>
      <c r="FA29" s="355"/>
      <c r="FB29" s="355"/>
      <c r="FC29" s="355"/>
      <c r="FD29" s="356"/>
      <c r="FE29" s="357"/>
      <c r="FF29" s="358"/>
      <c r="FG29" s="357"/>
      <c r="FH29" s="359"/>
      <c r="FI29" s="360"/>
      <c r="FJ29" s="355"/>
      <c r="FK29" s="355"/>
      <c r="FL29" s="355"/>
      <c r="FM29" s="356"/>
      <c r="FN29" s="357"/>
      <c r="FO29" s="358"/>
      <c r="FP29" s="357"/>
      <c r="FQ29" s="359"/>
      <c r="FR29" s="360"/>
      <c r="FS29" s="355"/>
      <c r="FT29" s="355"/>
      <c r="FU29" s="355"/>
      <c r="FV29" s="356"/>
      <c r="FW29" s="357"/>
      <c r="FX29" s="358"/>
      <c r="FY29" s="357"/>
      <c r="FZ29" s="359"/>
      <c r="GA29" s="360"/>
      <c r="GB29" s="355"/>
      <c r="GC29" s="355"/>
      <c r="GD29" s="355"/>
      <c r="GE29" s="356"/>
      <c r="GF29" s="357"/>
      <c r="GG29" s="358"/>
      <c r="GH29" s="357"/>
      <c r="GI29" s="359"/>
      <c r="GJ29" s="360"/>
      <c r="GK29" s="355"/>
      <c r="GL29" s="355"/>
      <c r="GM29" s="355"/>
      <c r="GN29" s="356"/>
      <c r="GO29" s="357"/>
      <c r="GP29" s="358"/>
      <c r="GQ29" s="357"/>
      <c r="GR29" s="359"/>
      <c r="GS29" s="360"/>
      <c r="GT29" s="362">
        <v>43080</v>
      </c>
      <c r="GU29" s="98">
        <v>22176</v>
      </c>
      <c r="GV29" s="65" t="s">
        <v>1007</v>
      </c>
      <c r="GW29" s="74"/>
      <c r="GX29" s="74"/>
      <c r="GY29" s="389" t="s">
        <v>1109</v>
      </c>
      <c r="GZ29" s="67">
        <v>3480</v>
      </c>
    </row>
    <row r="30" spans="1:209" x14ac:dyDescent="0.25">
      <c r="D30" s="35"/>
      <c r="E30" s="36"/>
      <c r="F30" s="37"/>
      <c r="G30" s="38"/>
      <c r="H30" s="39"/>
      <c r="I30" s="40"/>
      <c r="J30" s="68" t="s">
        <v>44</v>
      </c>
      <c r="K30" s="407" t="s">
        <v>178</v>
      </c>
      <c r="L30" s="70">
        <v>19180</v>
      </c>
      <c r="M30" s="71">
        <v>43060</v>
      </c>
      <c r="N30" s="380" t="s">
        <v>1065</v>
      </c>
      <c r="O30" s="72">
        <v>23580</v>
      </c>
      <c r="P30" s="113">
        <f t="shared" si="0"/>
        <v>4400</v>
      </c>
      <c r="Q30" s="117">
        <v>25</v>
      </c>
      <c r="R30" s="905"/>
      <c r="S30" s="906"/>
      <c r="T30" s="39">
        <f t="shared" si="1"/>
        <v>589500</v>
      </c>
      <c r="U30" s="363" t="s">
        <v>72</v>
      </c>
      <c r="V30" s="353">
        <v>43082</v>
      </c>
      <c r="W30" s="368">
        <v>15155.4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362">
        <v>43082</v>
      </c>
      <c r="GU30" s="98"/>
      <c r="GV30" s="65"/>
      <c r="GW30" s="74" t="s">
        <v>998</v>
      </c>
      <c r="GX30" s="74"/>
      <c r="GY30" s="389" t="s">
        <v>1109</v>
      </c>
      <c r="GZ30" s="67">
        <v>3480</v>
      </c>
    </row>
    <row r="31" spans="1:209" ht="31.5" x14ac:dyDescent="0.25">
      <c r="D31" s="35"/>
      <c r="E31" s="36"/>
      <c r="F31" s="37"/>
      <c r="G31" s="38"/>
      <c r="H31" s="39"/>
      <c r="I31" s="40"/>
      <c r="J31" s="76" t="s">
        <v>1021</v>
      </c>
      <c r="K31" s="643" t="s">
        <v>1022</v>
      </c>
      <c r="L31" s="70">
        <v>153.4</v>
      </c>
      <c r="M31" s="71">
        <v>43060</v>
      </c>
      <c r="N31" s="661" t="s">
        <v>1168</v>
      </c>
      <c r="O31" s="72">
        <v>153.4</v>
      </c>
      <c r="P31" s="113">
        <f t="shared" si="0"/>
        <v>0</v>
      </c>
      <c r="Q31" s="117">
        <v>188</v>
      </c>
      <c r="R31" s="913" t="s">
        <v>349</v>
      </c>
      <c r="S31" s="914"/>
      <c r="T31" s="39">
        <f t="shared" si="1"/>
        <v>28839.200000000001</v>
      </c>
      <c r="U31" s="659" t="s">
        <v>1169</v>
      </c>
      <c r="V31" s="660">
        <v>43068</v>
      </c>
      <c r="W31" s="368"/>
      <c r="X31" s="355"/>
      <c r="Y31" s="356"/>
      <c r="Z31" s="357"/>
      <c r="AA31" s="358"/>
      <c r="AB31" s="357"/>
      <c r="AC31" s="359"/>
      <c r="AD31" s="360"/>
      <c r="AE31" s="355"/>
      <c r="AF31" s="355"/>
      <c r="AG31" s="355"/>
      <c r="AH31" s="356"/>
      <c r="AI31" s="357"/>
      <c r="AJ31" s="358"/>
      <c r="AK31" s="357"/>
      <c r="AL31" s="359"/>
      <c r="AM31" s="360"/>
      <c r="AN31" s="355"/>
      <c r="AO31" s="355"/>
      <c r="AP31" s="355"/>
      <c r="AQ31" s="356"/>
      <c r="AR31" s="357"/>
      <c r="AS31" s="358"/>
      <c r="AT31" s="357"/>
      <c r="AU31" s="359"/>
      <c r="AV31" s="360"/>
      <c r="AW31" s="355"/>
      <c r="AX31" s="355"/>
      <c r="AY31" s="355"/>
      <c r="AZ31" s="356"/>
      <c r="BA31" s="357"/>
      <c r="BB31" s="358"/>
      <c r="BC31" s="357"/>
      <c r="BD31" s="359"/>
      <c r="BE31" s="360"/>
      <c r="BF31" s="355"/>
      <c r="BG31" s="355"/>
      <c r="BH31" s="355"/>
      <c r="BI31" s="356"/>
      <c r="BJ31" s="357"/>
      <c r="BK31" s="358"/>
      <c r="BL31" s="357"/>
      <c r="BM31" s="359"/>
      <c r="BN31" s="360"/>
      <c r="BO31" s="355"/>
      <c r="BP31" s="355"/>
      <c r="BQ31" s="355"/>
      <c r="BR31" s="356"/>
      <c r="BS31" s="357"/>
      <c r="BT31" s="358"/>
      <c r="BU31" s="357"/>
      <c r="BV31" s="359"/>
      <c r="BW31" s="360"/>
      <c r="BX31" s="355"/>
      <c r="BY31" s="355"/>
      <c r="BZ31" s="355"/>
      <c r="CA31" s="356"/>
      <c r="CB31" s="357"/>
      <c r="CC31" s="358"/>
      <c r="CD31" s="357"/>
      <c r="CE31" s="359"/>
      <c r="CF31" s="360"/>
      <c r="CG31" s="355"/>
      <c r="CH31" s="355"/>
      <c r="CI31" s="355"/>
      <c r="CJ31" s="356"/>
      <c r="CK31" s="357"/>
      <c r="CL31" s="358"/>
      <c r="CM31" s="357"/>
      <c r="CN31" s="359"/>
      <c r="CO31" s="360"/>
      <c r="CP31" s="355"/>
      <c r="CQ31" s="355"/>
      <c r="CR31" s="355"/>
      <c r="CS31" s="356"/>
      <c r="CT31" s="357"/>
      <c r="CU31" s="358"/>
      <c r="CV31" s="357"/>
      <c r="CW31" s="359"/>
      <c r="CX31" s="360"/>
      <c r="CY31" s="355"/>
      <c r="CZ31" s="355"/>
      <c r="DA31" s="355"/>
      <c r="DB31" s="356"/>
      <c r="DC31" s="357"/>
      <c r="DD31" s="358"/>
      <c r="DE31" s="357"/>
      <c r="DF31" s="359"/>
      <c r="DG31" s="360"/>
      <c r="DH31" s="355"/>
      <c r="DI31" s="355"/>
      <c r="DJ31" s="355"/>
      <c r="DK31" s="356"/>
      <c r="DL31" s="357"/>
      <c r="DM31" s="358"/>
      <c r="DN31" s="357"/>
      <c r="DO31" s="359"/>
      <c r="DP31" s="360"/>
      <c r="DQ31" s="355"/>
      <c r="DR31" s="355"/>
      <c r="DS31" s="355"/>
      <c r="DT31" s="356"/>
      <c r="DU31" s="357"/>
      <c r="DV31" s="358"/>
      <c r="DW31" s="357"/>
      <c r="DX31" s="359"/>
      <c r="DY31" s="360"/>
      <c r="DZ31" s="355"/>
      <c r="EA31" s="355"/>
      <c r="EB31" s="355"/>
      <c r="EC31" s="356"/>
      <c r="ED31" s="357"/>
      <c r="EE31" s="358"/>
      <c r="EF31" s="357"/>
      <c r="EG31" s="359"/>
      <c r="EH31" s="360"/>
      <c r="EI31" s="355"/>
      <c r="EJ31" s="355"/>
      <c r="EK31" s="355"/>
      <c r="EL31" s="356"/>
      <c r="EM31" s="357"/>
      <c r="EN31" s="358"/>
      <c r="EO31" s="357"/>
      <c r="EP31" s="359"/>
      <c r="EQ31" s="360"/>
      <c r="ER31" s="355"/>
      <c r="ES31" s="355"/>
      <c r="ET31" s="355"/>
      <c r="EU31" s="356"/>
      <c r="EV31" s="357"/>
      <c r="EW31" s="358"/>
      <c r="EX31" s="357"/>
      <c r="EY31" s="359"/>
      <c r="EZ31" s="360"/>
      <c r="FA31" s="355"/>
      <c r="FB31" s="355"/>
      <c r="FC31" s="355"/>
      <c r="FD31" s="356"/>
      <c r="FE31" s="357"/>
      <c r="FF31" s="358"/>
      <c r="FG31" s="357"/>
      <c r="FH31" s="359"/>
      <c r="FI31" s="360"/>
      <c r="FJ31" s="355"/>
      <c r="FK31" s="355"/>
      <c r="FL31" s="355"/>
      <c r="FM31" s="356"/>
      <c r="FN31" s="357"/>
      <c r="FO31" s="358"/>
      <c r="FP31" s="357"/>
      <c r="FQ31" s="359"/>
      <c r="FR31" s="360"/>
      <c r="FS31" s="355"/>
      <c r="FT31" s="355"/>
      <c r="FU31" s="355"/>
      <c r="FV31" s="356"/>
      <c r="FW31" s="357"/>
      <c r="FX31" s="358"/>
      <c r="FY31" s="357"/>
      <c r="FZ31" s="359"/>
      <c r="GA31" s="360"/>
      <c r="GB31" s="355"/>
      <c r="GC31" s="355"/>
      <c r="GD31" s="355"/>
      <c r="GE31" s="356"/>
      <c r="GF31" s="357"/>
      <c r="GG31" s="358"/>
      <c r="GH31" s="357"/>
      <c r="GI31" s="359"/>
      <c r="GJ31" s="360"/>
      <c r="GK31" s="355"/>
      <c r="GL31" s="355"/>
      <c r="GM31" s="355"/>
      <c r="GN31" s="356"/>
      <c r="GO31" s="357"/>
      <c r="GP31" s="358"/>
      <c r="GQ31" s="357"/>
      <c r="GR31" s="359"/>
      <c r="GS31" s="360"/>
      <c r="GT31" s="362"/>
      <c r="GU31" s="98"/>
      <c r="GV31" s="65"/>
      <c r="GW31" s="74"/>
      <c r="GX31" s="74"/>
      <c r="GY31" s="389"/>
      <c r="GZ31" s="67">
        <v>0</v>
      </c>
    </row>
    <row r="32" spans="1:209" ht="31.5" x14ac:dyDescent="0.25">
      <c r="D32" s="35"/>
      <c r="E32" s="36"/>
      <c r="F32" s="37"/>
      <c r="G32" s="38"/>
      <c r="H32" s="39"/>
      <c r="I32" s="40"/>
      <c r="J32" s="76" t="s">
        <v>1021</v>
      </c>
      <c r="K32" s="643" t="s">
        <v>1023</v>
      </c>
      <c r="L32" s="70">
        <v>204.3</v>
      </c>
      <c r="M32" s="71">
        <v>43060</v>
      </c>
      <c r="N32" s="661" t="s">
        <v>1168</v>
      </c>
      <c r="O32" s="72">
        <v>204.3</v>
      </c>
      <c r="P32" s="113">
        <f t="shared" si="0"/>
        <v>0</v>
      </c>
      <c r="Q32" s="117">
        <v>50.5</v>
      </c>
      <c r="R32" s="913" t="s">
        <v>349</v>
      </c>
      <c r="S32" s="914"/>
      <c r="T32" s="39">
        <f t="shared" si="1"/>
        <v>10317.150000000001</v>
      </c>
      <c r="U32" s="659" t="s">
        <v>1169</v>
      </c>
      <c r="V32" s="660">
        <v>43068</v>
      </c>
      <c r="W32" s="368"/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362"/>
      <c r="GU32" s="98"/>
      <c r="GV32" s="65"/>
      <c r="GW32" s="74"/>
      <c r="GX32" s="74"/>
      <c r="GY32" s="389"/>
      <c r="GZ32" s="67">
        <v>0</v>
      </c>
    </row>
    <row r="33" spans="1:208" x14ac:dyDescent="0.25">
      <c r="D33" s="35"/>
      <c r="E33" s="36"/>
      <c r="F33" s="37"/>
      <c r="G33" s="38"/>
      <c r="H33" s="39"/>
      <c r="I33" s="40"/>
      <c r="J33" s="68" t="s">
        <v>988</v>
      </c>
      <c r="K33" s="407" t="s">
        <v>37</v>
      </c>
      <c r="L33" s="70">
        <v>18030</v>
      </c>
      <c r="M33" s="71">
        <v>43061</v>
      </c>
      <c r="N33" s="380" t="s">
        <v>1066</v>
      </c>
      <c r="O33" s="72">
        <v>22590</v>
      </c>
      <c r="P33" s="113">
        <f t="shared" si="0"/>
        <v>4560</v>
      </c>
      <c r="Q33" s="568">
        <v>25</v>
      </c>
      <c r="R33" s="64"/>
      <c r="S33" s="64"/>
      <c r="T33" s="39">
        <f t="shared" si="1"/>
        <v>564750</v>
      </c>
      <c r="U33" s="363" t="s">
        <v>72</v>
      </c>
      <c r="V33" s="353">
        <v>43082</v>
      </c>
      <c r="W33" s="368">
        <v>15080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430">
        <v>43082</v>
      </c>
      <c r="GU33" s="98">
        <v>22176</v>
      </c>
      <c r="GV33" s="65" t="s">
        <v>1009</v>
      </c>
      <c r="GW33" s="74" t="s">
        <v>1008</v>
      </c>
      <c r="GX33" s="74"/>
      <c r="GY33" s="391" t="s">
        <v>1109</v>
      </c>
      <c r="GZ33" s="67">
        <v>3480</v>
      </c>
    </row>
    <row r="34" spans="1:208" x14ac:dyDescent="0.25">
      <c r="D34" s="35"/>
      <c r="E34" s="36"/>
      <c r="F34" s="37"/>
      <c r="G34" s="38"/>
      <c r="H34" s="39"/>
      <c r="I34" s="40"/>
      <c r="J34" s="68" t="s">
        <v>96</v>
      </c>
      <c r="K34" s="407" t="s">
        <v>37</v>
      </c>
      <c r="L34" s="70">
        <v>17350</v>
      </c>
      <c r="M34" s="71">
        <v>43062</v>
      </c>
      <c r="N34" s="381" t="s">
        <v>1067</v>
      </c>
      <c r="O34" s="72">
        <v>21790</v>
      </c>
      <c r="P34" s="113">
        <f t="shared" si="0"/>
        <v>4440</v>
      </c>
      <c r="Q34" s="117">
        <v>25.5</v>
      </c>
      <c r="R34" s="64"/>
      <c r="S34" s="120"/>
      <c r="T34" s="39">
        <f t="shared" si="1"/>
        <v>555645</v>
      </c>
      <c r="U34" s="363" t="s">
        <v>72</v>
      </c>
      <c r="V34" s="353">
        <v>43082</v>
      </c>
      <c r="W34" s="369">
        <v>15080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370">
        <v>43082</v>
      </c>
      <c r="GU34" s="98"/>
      <c r="GV34" s="84"/>
      <c r="GW34" s="74"/>
      <c r="GX34" s="74"/>
      <c r="GY34" s="391" t="s">
        <v>1109</v>
      </c>
      <c r="GZ34" s="67">
        <v>3480</v>
      </c>
    </row>
    <row r="35" spans="1:208" x14ac:dyDescent="0.25">
      <c r="D35" s="35"/>
      <c r="E35" s="36"/>
      <c r="F35" s="37"/>
      <c r="G35" s="38"/>
      <c r="H35" s="39"/>
      <c r="I35" s="40"/>
      <c r="J35" s="68" t="s">
        <v>68</v>
      </c>
      <c r="K35" s="451" t="s">
        <v>67</v>
      </c>
      <c r="L35" s="70">
        <v>18780</v>
      </c>
      <c r="M35" s="71">
        <v>43063</v>
      </c>
      <c r="N35" s="380" t="s">
        <v>1069</v>
      </c>
      <c r="O35" s="72">
        <v>21745</v>
      </c>
      <c r="P35" s="113">
        <f t="shared" si="0"/>
        <v>2965</v>
      </c>
      <c r="Q35" s="117">
        <v>25.5</v>
      </c>
      <c r="R35" s="117"/>
      <c r="S35" s="89"/>
      <c r="T35" s="39">
        <f t="shared" si="1"/>
        <v>554497.5</v>
      </c>
      <c r="U35" s="363" t="s">
        <v>72</v>
      </c>
      <c r="V35" s="353">
        <v>43083</v>
      </c>
      <c r="W35" s="368">
        <v>15004.6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430">
        <v>43083</v>
      </c>
      <c r="GU35" s="98">
        <v>22176</v>
      </c>
      <c r="GV35" s="65" t="s">
        <v>1010</v>
      </c>
      <c r="GW35" s="74"/>
      <c r="GX35" s="74"/>
      <c r="GY35" s="391" t="s">
        <v>1109</v>
      </c>
      <c r="GZ35" s="67">
        <v>3480</v>
      </c>
    </row>
    <row r="36" spans="1:208" x14ac:dyDescent="0.25">
      <c r="D36" s="35"/>
      <c r="E36" s="36"/>
      <c r="F36" s="37"/>
      <c r="G36" s="38"/>
      <c r="H36" s="39"/>
      <c r="I36" s="40"/>
      <c r="J36" s="68" t="s">
        <v>989</v>
      </c>
      <c r="K36" s="451" t="s">
        <v>35</v>
      </c>
      <c r="L36" s="70">
        <v>10550</v>
      </c>
      <c r="M36" s="71">
        <v>43063</v>
      </c>
      <c r="N36" s="380" t="s">
        <v>1068</v>
      </c>
      <c r="O36" s="72">
        <v>15485</v>
      </c>
      <c r="P36" s="113">
        <f t="shared" si="0"/>
        <v>4935</v>
      </c>
      <c r="Q36" s="117">
        <v>25.5</v>
      </c>
      <c r="R36" s="117"/>
      <c r="S36" s="89"/>
      <c r="T36" s="39">
        <f t="shared" si="1"/>
        <v>394867.5</v>
      </c>
      <c r="U36" s="363" t="s">
        <v>72</v>
      </c>
      <c r="V36" s="353">
        <v>43083</v>
      </c>
      <c r="W36" s="368">
        <v>9802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430">
        <v>43083</v>
      </c>
      <c r="GU36" s="98">
        <v>17584</v>
      </c>
      <c r="GV36" s="65" t="s">
        <v>1011</v>
      </c>
      <c r="GW36" s="74"/>
      <c r="GX36" s="74"/>
      <c r="GY36" s="391" t="s">
        <v>1109</v>
      </c>
      <c r="GZ36" s="67">
        <v>1856</v>
      </c>
    </row>
    <row r="37" spans="1:208" x14ac:dyDescent="0.25">
      <c r="D37" s="35"/>
      <c r="E37" s="36"/>
      <c r="F37" s="37"/>
      <c r="G37" s="38"/>
      <c r="H37" s="39"/>
      <c r="I37" s="40"/>
      <c r="J37" s="68" t="s">
        <v>45</v>
      </c>
      <c r="K37" s="407" t="s">
        <v>35</v>
      </c>
      <c r="L37" s="70">
        <v>11400</v>
      </c>
      <c r="M37" s="71">
        <v>43065</v>
      </c>
      <c r="N37" s="380" t="s">
        <v>1081</v>
      </c>
      <c r="O37" s="72">
        <v>15075</v>
      </c>
      <c r="P37" s="113">
        <f t="shared" si="0"/>
        <v>3675</v>
      </c>
      <c r="Q37" s="64">
        <v>26</v>
      </c>
      <c r="R37" s="124"/>
      <c r="S37" s="117"/>
      <c r="T37" s="39">
        <f t="shared" si="1"/>
        <v>391950</v>
      </c>
      <c r="U37" s="363" t="s">
        <v>72</v>
      </c>
      <c r="V37" s="353">
        <v>43087</v>
      </c>
      <c r="W37" s="371">
        <v>9802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370">
        <v>43087</v>
      </c>
      <c r="GU37" s="411">
        <v>17584</v>
      </c>
      <c r="GV37" s="412" t="s">
        <v>1040</v>
      </c>
      <c r="GW37" s="74"/>
      <c r="GX37" s="74"/>
      <c r="GY37" s="391" t="s">
        <v>1109</v>
      </c>
      <c r="GZ37" s="67">
        <v>2088</v>
      </c>
    </row>
    <row r="38" spans="1:208" x14ac:dyDescent="0.25">
      <c r="D38" s="35"/>
      <c r="E38" s="36"/>
      <c r="F38" s="37"/>
      <c r="G38" s="38"/>
      <c r="H38" s="39"/>
      <c r="I38" s="40"/>
      <c r="J38" s="68" t="s">
        <v>38</v>
      </c>
      <c r="K38" s="407" t="s">
        <v>67</v>
      </c>
      <c r="L38" s="70">
        <v>15900</v>
      </c>
      <c r="M38" s="71">
        <v>43065</v>
      </c>
      <c r="N38" s="380" t="s">
        <v>1080</v>
      </c>
      <c r="O38" s="72">
        <v>19890</v>
      </c>
      <c r="P38" s="113">
        <f t="shared" si="0"/>
        <v>3990</v>
      </c>
      <c r="Q38" s="64">
        <v>26</v>
      </c>
      <c r="R38" s="124"/>
      <c r="S38" s="125"/>
      <c r="T38" s="39">
        <f t="shared" si="1"/>
        <v>517140</v>
      </c>
      <c r="U38" s="363" t="s">
        <v>72</v>
      </c>
      <c r="V38" s="353">
        <v>43087</v>
      </c>
      <c r="W38" s="371">
        <v>15004.6</v>
      </c>
      <c r="X38" s="355"/>
      <c r="Y38" s="356"/>
      <c r="Z38" s="357"/>
      <c r="AA38" s="358"/>
      <c r="AB38" s="357"/>
      <c r="AC38" s="359"/>
      <c r="AD38" s="360"/>
      <c r="AE38" s="355"/>
      <c r="AF38" s="355"/>
      <c r="AG38" s="355"/>
      <c r="AH38" s="356"/>
      <c r="AI38" s="357"/>
      <c r="AJ38" s="358"/>
      <c r="AK38" s="357"/>
      <c r="AL38" s="359"/>
      <c r="AM38" s="360"/>
      <c r="AN38" s="355"/>
      <c r="AO38" s="355"/>
      <c r="AP38" s="355"/>
      <c r="AQ38" s="356"/>
      <c r="AR38" s="357"/>
      <c r="AS38" s="358"/>
      <c r="AT38" s="357"/>
      <c r="AU38" s="359"/>
      <c r="AV38" s="360"/>
      <c r="AW38" s="355"/>
      <c r="AX38" s="355"/>
      <c r="AY38" s="355"/>
      <c r="AZ38" s="356"/>
      <c r="BA38" s="357"/>
      <c r="BB38" s="358"/>
      <c r="BC38" s="357"/>
      <c r="BD38" s="359"/>
      <c r="BE38" s="360"/>
      <c r="BF38" s="355"/>
      <c r="BG38" s="355"/>
      <c r="BH38" s="355"/>
      <c r="BI38" s="356"/>
      <c r="BJ38" s="357"/>
      <c r="BK38" s="358"/>
      <c r="BL38" s="357"/>
      <c r="BM38" s="359"/>
      <c r="BN38" s="360"/>
      <c r="BO38" s="355"/>
      <c r="BP38" s="355"/>
      <c r="BQ38" s="355"/>
      <c r="BR38" s="356"/>
      <c r="BS38" s="357"/>
      <c r="BT38" s="358"/>
      <c r="BU38" s="357"/>
      <c r="BV38" s="359"/>
      <c r="BW38" s="360"/>
      <c r="BX38" s="355"/>
      <c r="BY38" s="355"/>
      <c r="BZ38" s="355"/>
      <c r="CA38" s="356"/>
      <c r="CB38" s="357"/>
      <c r="CC38" s="358"/>
      <c r="CD38" s="357"/>
      <c r="CE38" s="359"/>
      <c r="CF38" s="360"/>
      <c r="CG38" s="355"/>
      <c r="CH38" s="355"/>
      <c r="CI38" s="355"/>
      <c r="CJ38" s="356"/>
      <c r="CK38" s="357"/>
      <c r="CL38" s="358"/>
      <c r="CM38" s="357"/>
      <c r="CN38" s="359"/>
      <c r="CO38" s="360"/>
      <c r="CP38" s="355"/>
      <c r="CQ38" s="355"/>
      <c r="CR38" s="355"/>
      <c r="CS38" s="356"/>
      <c r="CT38" s="357"/>
      <c r="CU38" s="358"/>
      <c r="CV38" s="357"/>
      <c r="CW38" s="359"/>
      <c r="CX38" s="360"/>
      <c r="CY38" s="355"/>
      <c r="CZ38" s="355"/>
      <c r="DA38" s="355"/>
      <c r="DB38" s="356"/>
      <c r="DC38" s="357"/>
      <c r="DD38" s="358"/>
      <c r="DE38" s="357"/>
      <c r="DF38" s="359"/>
      <c r="DG38" s="360"/>
      <c r="DH38" s="355"/>
      <c r="DI38" s="355"/>
      <c r="DJ38" s="355"/>
      <c r="DK38" s="356"/>
      <c r="DL38" s="357"/>
      <c r="DM38" s="358"/>
      <c r="DN38" s="357"/>
      <c r="DO38" s="359"/>
      <c r="DP38" s="360"/>
      <c r="DQ38" s="355"/>
      <c r="DR38" s="355"/>
      <c r="DS38" s="355"/>
      <c r="DT38" s="356"/>
      <c r="DU38" s="357"/>
      <c r="DV38" s="358"/>
      <c r="DW38" s="357"/>
      <c r="DX38" s="359"/>
      <c r="DY38" s="360"/>
      <c r="DZ38" s="355"/>
      <c r="EA38" s="355"/>
      <c r="EB38" s="355"/>
      <c r="EC38" s="356"/>
      <c r="ED38" s="357"/>
      <c r="EE38" s="358"/>
      <c r="EF38" s="357"/>
      <c r="EG38" s="359"/>
      <c r="EH38" s="360"/>
      <c r="EI38" s="355"/>
      <c r="EJ38" s="355"/>
      <c r="EK38" s="355"/>
      <c r="EL38" s="356"/>
      <c r="EM38" s="357"/>
      <c r="EN38" s="358"/>
      <c r="EO38" s="357"/>
      <c r="EP38" s="359"/>
      <c r="EQ38" s="360"/>
      <c r="ER38" s="355"/>
      <c r="ES38" s="355"/>
      <c r="ET38" s="355"/>
      <c r="EU38" s="356"/>
      <c r="EV38" s="357"/>
      <c r="EW38" s="358"/>
      <c r="EX38" s="357"/>
      <c r="EY38" s="359"/>
      <c r="EZ38" s="360"/>
      <c r="FA38" s="355"/>
      <c r="FB38" s="355"/>
      <c r="FC38" s="355"/>
      <c r="FD38" s="356"/>
      <c r="FE38" s="357"/>
      <c r="FF38" s="358"/>
      <c r="FG38" s="357"/>
      <c r="FH38" s="359"/>
      <c r="FI38" s="360"/>
      <c r="FJ38" s="355"/>
      <c r="FK38" s="355"/>
      <c r="FL38" s="355"/>
      <c r="FM38" s="356"/>
      <c r="FN38" s="357"/>
      <c r="FO38" s="358"/>
      <c r="FP38" s="357"/>
      <c r="FQ38" s="359"/>
      <c r="FR38" s="360"/>
      <c r="FS38" s="355"/>
      <c r="FT38" s="355"/>
      <c r="FU38" s="355"/>
      <c r="FV38" s="356"/>
      <c r="FW38" s="357"/>
      <c r="FX38" s="358"/>
      <c r="FY38" s="357"/>
      <c r="FZ38" s="359"/>
      <c r="GA38" s="360"/>
      <c r="GB38" s="355"/>
      <c r="GC38" s="355"/>
      <c r="GD38" s="355"/>
      <c r="GE38" s="356"/>
      <c r="GF38" s="357"/>
      <c r="GG38" s="358"/>
      <c r="GH38" s="357"/>
      <c r="GI38" s="359"/>
      <c r="GJ38" s="360"/>
      <c r="GK38" s="355"/>
      <c r="GL38" s="355"/>
      <c r="GM38" s="355"/>
      <c r="GN38" s="356"/>
      <c r="GO38" s="357"/>
      <c r="GP38" s="358"/>
      <c r="GQ38" s="357"/>
      <c r="GR38" s="359"/>
      <c r="GS38" s="360"/>
      <c r="GT38" s="370">
        <v>43087</v>
      </c>
      <c r="GU38" s="411"/>
      <c r="GV38" s="412"/>
      <c r="GW38" s="74"/>
      <c r="GX38" s="74"/>
      <c r="GY38" s="391" t="s">
        <v>1109</v>
      </c>
      <c r="GZ38" s="67">
        <v>3480</v>
      </c>
    </row>
    <row r="39" spans="1:208" x14ac:dyDescent="0.25">
      <c r="A39"/>
      <c r="D39" s="35"/>
      <c r="E39" s="36"/>
      <c r="F39" s="37"/>
      <c r="G39" s="38"/>
      <c r="H39" s="39"/>
      <c r="I39" s="40"/>
      <c r="J39" s="68" t="s">
        <v>44</v>
      </c>
      <c r="K39" s="407" t="s">
        <v>34</v>
      </c>
      <c r="L39" s="70">
        <v>19030</v>
      </c>
      <c r="M39" s="71">
        <v>43066</v>
      </c>
      <c r="N39" s="380" t="s">
        <v>1082</v>
      </c>
      <c r="O39" s="72">
        <v>23475</v>
      </c>
      <c r="P39" s="113">
        <f t="shared" si="0"/>
        <v>4445</v>
      </c>
      <c r="Q39" s="126">
        <v>26</v>
      </c>
      <c r="R39" s="127"/>
      <c r="S39" s="127"/>
      <c r="T39" s="39">
        <f t="shared" si="1"/>
        <v>610350</v>
      </c>
      <c r="U39" s="363" t="s">
        <v>72</v>
      </c>
      <c r="V39" s="353">
        <v>43087</v>
      </c>
      <c r="W39" s="368">
        <v>15834</v>
      </c>
      <c r="X39" s="355"/>
      <c r="Y39" s="356"/>
      <c r="Z39" s="357"/>
      <c r="AA39" s="358"/>
      <c r="AB39" s="357"/>
      <c r="AC39" s="359"/>
      <c r="AD39" s="360"/>
      <c r="AE39" s="355"/>
      <c r="AF39" s="355"/>
      <c r="AG39" s="355"/>
      <c r="AH39" s="356"/>
      <c r="AI39" s="357"/>
      <c r="AJ39" s="358"/>
      <c r="AK39" s="357"/>
      <c r="AL39" s="359"/>
      <c r="AM39" s="360"/>
      <c r="AN39" s="355"/>
      <c r="AO39" s="355"/>
      <c r="AP39" s="355"/>
      <c r="AQ39" s="356"/>
      <c r="AR39" s="357"/>
      <c r="AS39" s="358"/>
      <c r="AT39" s="357"/>
      <c r="AU39" s="359"/>
      <c r="AV39" s="360"/>
      <c r="AW39" s="355"/>
      <c r="AX39" s="355"/>
      <c r="AY39" s="355"/>
      <c r="AZ39" s="356"/>
      <c r="BA39" s="357"/>
      <c r="BB39" s="358"/>
      <c r="BC39" s="357"/>
      <c r="BD39" s="359"/>
      <c r="BE39" s="360"/>
      <c r="BF39" s="355"/>
      <c r="BG39" s="355"/>
      <c r="BH39" s="355"/>
      <c r="BI39" s="356"/>
      <c r="BJ39" s="357"/>
      <c r="BK39" s="358"/>
      <c r="BL39" s="357"/>
      <c r="BM39" s="359"/>
      <c r="BN39" s="360"/>
      <c r="BO39" s="355"/>
      <c r="BP39" s="355"/>
      <c r="BQ39" s="355"/>
      <c r="BR39" s="356"/>
      <c r="BS39" s="357"/>
      <c r="BT39" s="358"/>
      <c r="BU39" s="357"/>
      <c r="BV39" s="359"/>
      <c r="BW39" s="360"/>
      <c r="BX39" s="355"/>
      <c r="BY39" s="355"/>
      <c r="BZ39" s="355"/>
      <c r="CA39" s="356"/>
      <c r="CB39" s="357"/>
      <c r="CC39" s="358"/>
      <c r="CD39" s="357"/>
      <c r="CE39" s="359"/>
      <c r="CF39" s="360"/>
      <c r="CG39" s="355"/>
      <c r="CH39" s="355"/>
      <c r="CI39" s="355"/>
      <c r="CJ39" s="356"/>
      <c r="CK39" s="357"/>
      <c r="CL39" s="358"/>
      <c r="CM39" s="357"/>
      <c r="CN39" s="359"/>
      <c r="CO39" s="360"/>
      <c r="CP39" s="355"/>
      <c r="CQ39" s="355"/>
      <c r="CR39" s="355"/>
      <c r="CS39" s="356"/>
      <c r="CT39" s="357"/>
      <c r="CU39" s="358"/>
      <c r="CV39" s="357"/>
      <c r="CW39" s="359"/>
      <c r="CX39" s="360"/>
      <c r="CY39" s="355"/>
      <c r="CZ39" s="355"/>
      <c r="DA39" s="355"/>
      <c r="DB39" s="356"/>
      <c r="DC39" s="357"/>
      <c r="DD39" s="358"/>
      <c r="DE39" s="357"/>
      <c r="DF39" s="359"/>
      <c r="DG39" s="360"/>
      <c r="DH39" s="355"/>
      <c r="DI39" s="355"/>
      <c r="DJ39" s="355"/>
      <c r="DK39" s="356"/>
      <c r="DL39" s="357"/>
      <c r="DM39" s="358"/>
      <c r="DN39" s="357"/>
      <c r="DO39" s="359"/>
      <c r="DP39" s="360"/>
      <c r="DQ39" s="355"/>
      <c r="DR39" s="355"/>
      <c r="DS39" s="355"/>
      <c r="DT39" s="356"/>
      <c r="DU39" s="357"/>
      <c r="DV39" s="358"/>
      <c r="DW39" s="357"/>
      <c r="DX39" s="359"/>
      <c r="DY39" s="360"/>
      <c r="DZ39" s="355"/>
      <c r="EA39" s="355"/>
      <c r="EB39" s="355"/>
      <c r="EC39" s="356"/>
      <c r="ED39" s="357"/>
      <c r="EE39" s="358"/>
      <c r="EF39" s="357"/>
      <c r="EG39" s="359"/>
      <c r="EH39" s="360"/>
      <c r="EI39" s="355"/>
      <c r="EJ39" s="355"/>
      <c r="EK39" s="355"/>
      <c r="EL39" s="356"/>
      <c r="EM39" s="357"/>
      <c r="EN39" s="358"/>
      <c r="EO39" s="357"/>
      <c r="EP39" s="359"/>
      <c r="EQ39" s="360"/>
      <c r="ER39" s="355"/>
      <c r="ES39" s="355"/>
      <c r="ET39" s="355"/>
      <c r="EU39" s="356"/>
      <c r="EV39" s="357"/>
      <c r="EW39" s="358"/>
      <c r="EX39" s="357"/>
      <c r="EY39" s="359"/>
      <c r="EZ39" s="360"/>
      <c r="FA39" s="355"/>
      <c r="FB39" s="355"/>
      <c r="FC39" s="355"/>
      <c r="FD39" s="356"/>
      <c r="FE39" s="357"/>
      <c r="FF39" s="358"/>
      <c r="FG39" s="357"/>
      <c r="FH39" s="359"/>
      <c r="FI39" s="360"/>
      <c r="FJ39" s="355"/>
      <c r="FK39" s="355"/>
      <c r="FL39" s="355"/>
      <c r="FM39" s="356"/>
      <c r="FN39" s="357"/>
      <c r="FO39" s="358"/>
      <c r="FP39" s="357"/>
      <c r="FQ39" s="359"/>
      <c r="FR39" s="360"/>
      <c r="FS39" s="355"/>
      <c r="FT39" s="355"/>
      <c r="FU39" s="355"/>
      <c r="FV39" s="356"/>
      <c r="FW39" s="357"/>
      <c r="FX39" s="358"/>
      <c r="FY39" s="357"/>
      <c r="FZ39" s="359"/>
      <c r="GA39" s="360"/>
      <c r="GB39" s="355"/>
      <c r="GC39" s="355"/>
      <c r="GD39" s="355"/>
      <c r="GE39" s="356"/>
      <c r="GF39" s="357"/>
      <c r="GG39" s="358"/>
      <c r="GH39" s="357"/>
      <c r="GI39" s="359"/>
      <c r="GJ39" s="360"/>
      <c r="GK39" s="355"/>
      <c r="GL39" s="355"/>
      <c r="GM39" s="355"/>
      <c r="GN39" s="356"/>
      <c r="GO39" s="357"/>
      <c r="GP39" s="358"/>
      <c r="GQ39" s="357"/>
      <c r="GR39" s="359"/>
      <c r="GS39" s="360"/>
      <c r="GT39" s="430">
        <v>43087</v>
      </c>
      <c r="GU39" s="411">
        <v>22176</v>
      </c>
      <c r="GV39" s="412" t="s">
        <v>1041</v>
      </c>
      <c r="GW39" s="74"/>
      <c r="GX39" s="74"/>
      <c r="GY39" s="391" t="s">
        <v>1109</v>
      </c>
      <c r="GZ39" s="67">
        <v>3480</v>
      </c>
    </row>
    <row r="40" spans="1:208" x14ac:dyDescent="0.25">
      <c r="A40"/>
      <c r="D40" s="35"/>
      <c r="E40" s="36"/>
      <c r="F40" s="37"/>
      <c r="G40" s="38"/>
      <c r="H40" s="39"/>
      <c r="I40" s="40"/>
      <c r="J40" s="68" t="s">
        <v>1012</v>
      </c>
      <c r="K40" s="407" t="s">
        <v>37</v>
      </c>
      <c r="L40" s="70">
        <v>19860</v>
      </c>
      <c r="M40" s="71">
        <v>43067</v>
      </c>
      <c r="N40" s="380" t="s">
        <v>1083</v>
      </c>
      <c r="O40" s="72">
        <v>21545</v>
      </c>
      <c r="P40" s="113">
        <f t="shared" si="0"/>
        <v>1685</v>
      </c>
      <c r="Q40" s="117">
        <v>26</v>
      </c>
      <c r="R40" s="127"/>
      <c r="S40" s="127"/>
      <c r="T40" s="39">
        <f t="shared" si="1"/>
        <v>560170</v>
      </c>
      <c r="U40" s="363" t="s">
        <v>72</v>
      </c>
      <c r="V40" s="353">
        <v>43087</v>
      </c>
      <c r="W40" s="368">
        <v>15080</v>
      </c>
      <c r="X40" s="355"/>
      <c r="Y40" s="356"/>
      <c r="Z40" s="357"/>
      <c r="AA40" s="358"/>
      <c r="AB40" s="357"/>
      <c r="AC40" s="359"/>
      <c r="AD40" s="360"/>
      <c r="AE40" s="355"/>
      <c r="AF40" s="355"/>
      <c r="AG40" s="355"/>
      <c r="AH40" s="356"/>
      <c r="AI40" s="357"/>
      <c r="AJ40" s="358"/>
      <c r="AK40" s="357"/>
      <c r="AL40" s="359"/>
      <c r="AM40" s="360"/>
      <c r="AN40" s="355"/>
      <c r="AO40" s="355"/>
      <c r="AP40" s="355"/>
      <c r="AQ40" s="356"/>
      <c r="AR40" s="357"/>
      <c r="AS40" s="358"/>
      <c r="AT40" s="357"/>
      <c r="AU40" s="359"/>
      <c r="AV40" s="360"/>
      <c r="AW40" s="355"/>
      <c r="AX40" s="355"/>
      <c r="AY40" s="355"/>
      <c r="AZ40" s="356"/>
      <c r="BA40" s="357"/>
      <c r="BB40" s="358"/>
      <c r="BC40" s="357"/>
      <c r="BD40" s="359"/>
      <c r="BE40" s="360"/>
      <c r="BF40" s="355"/>
      <c r="BG40" s="355"/>
      <c r="BH40" s="355"/>
      <c r="BI40" s="356"/>
      <c r="BJ40" s="357"/>
      <c r="BK40" s="358"/>
      <c r="BL40" s="357"/>
      <c r="BM40" s="359"/>
      <c r="BN40" s="360"/>
      <c r="BO40" s="355"/>
      <c r="BP40" s="355"/>
      <c r="BQ40" s="355"/>
      <c r="BR40" s="356"/>
      <c r="BS40" s="357"/>
      <c r="BT40" s="358"/>
      <c r="BU40" s="357"/>
      <c r="BV40" s="359"/>
      <c r="BW40" s="360"/>
      <c r="BX40" s="355"/>
      <c r="BY40" s="355"/>
      <c r="BZ40" s="355"/>
      <c r="CA40" s="356"/>
      <c r="CB40" s="357"/>
      <c r="CC40" s="358"/>
      <c r="CD40" s="357"/>
      <c r="CE40" s="359"/>
      <c r="CF40" s="360"/>
      <c r="CG40" s="355"/>
      <c r="CH40" s="355"/>
      <c r="CI40" s="355"/>
      <c r="CJ40" s="356"/>
      <c r="CK40" s="357"/>
      <c r="CL40" s="358"/>
      <c r="CM40" s="357"/>
      <c r="CN40" s="359"/>
      <c r="CO40" s="360"/>
      <c r="CP40" s="355"/>
      <c r="CQ40" s="355"/>
      <c r="CR40" s="355"/>
      <c r="CS40" s="356"/>
      <c r="CT40" s="357"/>
      <c r="CU40" s="358"/>
      <c r="CV40" s="357"/>
      <c r="CW40" s="359"/>
      <c r="CX40" s="360"/>
      <c r="CY40" s="355"/>
      <c r="CZ40" s="355"/>
      <c r="DA40" s="355"/>
      <c r="DB40" s="356"/>
      <c r="DC40" s="357"/>
      <c r="DD40" s="358"/>
      <c r="DE40" s="357"/>
      <c r="DF40" s="359"/>
      <c r="DG40" s="360"/>
      <c r="DH40" s="355"/>
      <c r="DI40" s="355"/>
      <c r="DJ40" s="355"/>
      <c r="DK40" s="356"/>
      <c r="DL40" s="357"/>
      <c r="DM40" s="358"/>
      <c r="DN40" s="357"/>
      <c r="DO40" s="359"/>
      <c r="DP40" s="360"/>
      <c r="DQ40" s="355"/>
      <c r="DR40" s="355"/>
      <c r="DS40" s="355"/>
      <c r="DT40" s="356"/>
      <c r="DU40" s="357"/>
      <c r="DV40" s="358"/>
      <c r="DW40" s="357"/>
      <c r="DX40" s="359"/>
      <c r="DY40" s="360"/>
      <c r="DZ40" s="355"/>
      <c r="EA40" s="355"/>
      <c r="EB40" s="355"/>
      <c r="EC40" s="356"/>
      <c r="ED40" s="357"/>
      <c r="EE40" s="358"/>
      <c r="EF40" s="357"/>
      <c r="EG40" s="359"/>
      <c r="EH40" s="360"/>
      <c r="EI40" s="355"/>
      <c r="EJ40" s="355"/>
      <c r="EK40" s="355"/>
      <c r="EL40" s="356"/>
      <c r="EM40" s="357"/>
      <c r="EN40" s="358"/>
      <c r="EO40" s="357"/>
      <c r="EP40" s="359"/>
      <c r="EQ40" s="360"/>
      <c r="ER40" s="355"/>
      <c r="ES40" s="355"/>
      <c r="ET40" s="355"/>
      <c r="EU40" s="356"/>
      <c r="EV40" s="357"/>
      <c r="EW40" s="358"/>
      <c r="EX40" s="357"/>
      <c r="EY40" s="359"/>
      <c r="EZ40" s="360"/>
      <c r="FA40" s="355"/>
      <c r="FB40" s="355"/>
      <c r="FC40" s="355"/>
      <c r="FD40" s="356"/>
      <c r="FE40" s="357"/>
      <c r="FF40" s="358"/>
      <c r="FG40" s="357"/>
      <c r="FH40" s="359"/>
      <c r="FI40" s="360"/>
      <c r="FJ40" s="355"/>
      <c r="FK40" s="355"/>
      <c r="FL40" s="355"/>
      <c r="FM40" s="356"/>
      <c r="FN40" s="357"/>
      <c r="FO40" s="358"/>
      <c r="FP40" s="357"/>
      <c r="FQ40" s="359"/>
      <c r="FR40" s="360"/>
      <c r="FS40" s="355"/>
      <c r="FT40" s="355"/>
      <c r="FU40" s="355"/>
      <c r="FV40" s="356"/>
      <c r="FW40" s="357"/>
      <c r="FX40" s="358"/>
      <c r="FY40" s="357"/>
      <c r="FZ40" s="359"/>
      <c r="GA40" s="360"/>
      <c r="GB40" s="355"/>
      <c r="GC40" s="355"/>
      <c r="GD40" s="355"/>
      <c r="GE40" s="356"/>
      <c r="GF40" s="357"/>
      <c r="GG40" s="358"/>
      <c r="GH40" s="357"/>
      <c r="GI40" s="359"/>
      <c r="GJ40" s="360"/>
      <c r="GK40" s="355"/>
      <c r="GL40" s="355"/>
      <c r="GM40" s="355"/>
      <c r="GN40" s="356"/>
      <c r="GO40" s="357"/>
      <c r="GP40" s="358"/>
      <c r="GQ40" s="357"/>
      <c r="GR40" s="359"/>
      <c r="GS40" s="360"/>
      <c r="GT40" s="430">
        <v>43087</v>
      </c>
      <c r="GU40" s="411"/>
      <c r="GV40" s="412"/>
      <c r="GW40" s="74"/>
      <c r="GX40" s="74"/>
      <c r="GY40" s="391" t="s">
        <v>1109</v>
      </c>
      <c r="GZ40" s="67">
        <v>3480</v>
      </c>
    </row>
    <row r="41" spans="1:208" x14ac:dyDescent="0.25">
      <c r="A41"/>
      <c r="D41" s="35"/>
      <c r="E41" s="36"/>
      <c r="F41" s="37"/>
      <c r="G41" s="38"/>
      <c r="H41" s="39"/>
      <c r="I41" s="40"/>
      <c r="J41" s="68" t="s">
        <v>1013</v>
      </c>
      <c r="K41" s="407" t="s">
        <v>1014</v>
      </c>
      <c r="L41" s="70">
        <v>10960</v>
      </c>
      <c r="M41" s="71">
        <v>43067</v>
      </c>
      <c r="N41" s="380" t="s">
        <v>1084</v>
      </c>
      <c r="O41" s="72">
        <v>17050</v>
      </c>
      <c r="P41" s="113">
        <f t="shared" si="0"/>
        <v>6090</v>
      </c>
      <c r="Q41" s="117">
        <v>26</v>
      </c>
      <c r="R41" s="117"/>
      <c r="S41" s="117"/>
      <c r="T41" s="39">
        <f>Q41*O41</f>
        <v>443300</v>
      </c>
      <c r="U41" s="363" t="s">
        <v>72</v>
      </c>
      <c r="V41" s="353">
        <v>43087</v>
      </c>
      <c r="W41" s="368">
        <v>11310</v>
      </c>
      <c r="X41" s="355"/>
      <c r="Y41" s="356"/>
      <c r="Z41" s="357"/>
      <c r="AA41" s="358"/>
      <c r="AB41" s="357"/>
      <c r="AC41" s="359"/>
      <c r="AD41" s="360"/>
      <c r="AE41" s="355"/>
      <c r="AF41" s="355"/>
      <c r="AG41" s="355"/>
      <c r="AH41" s="356"/>
      <c r="AI41" s="357"/>
      <c r="AJ41" s="358"/>
      <c r="AK41" s="357"/>
      <c r="AL41" s="359"/>
      <c r="AM41" s="360"/>
      <c r="AN41" s="355"/>
      <c r="AO41" s="355"/>
      <c r="AP41" s="355"/>
      <c r="AQ41" s="356"/>
      <c r="AR41" s="357"/>
      <c r="AS41" s="358"/>
      <c r="AT41" s="357"/>
      <c r="AU41" s="359"/>
      <c r="AV41" s="360"/>
      <c r="AW41" s="355"/>
      <c r="AX41" s="355"/>
      <c r="AY41" s="355"/>
      <c r="AZ41" s="356"/>
      <c r="BA41" s="357"/>
      <c r="BB41" s="358"/>
      <c r="BC41" s="357"/>
      <c r="BD41" s="359"/>
      <c r="BE41" s="360"/>
      <c r="BF41" s="355"/>
      <c r="BG41" s="355"/>
      <c r="BH41" s="355"/>
      <c r="BI41" s="356"/>
      <c r="BJ41" s="357"/>
      <c r="BK41" s="358"/>
      <c r="BL41" s="357"/>
      <c r="BM41" s="359"/>
      <c r="BN41" s="360"/>
      <c r="BO41" s="355"/>
      <c r="BP41" s="355"/>
      <c r="BQ41" s="355"/>
      <c r="BR41" s="356"/>
      <c r="BS41" s="357"/>
      <c r="BT41" s="358"/>
      <c r="BU41" s="357"/>
      <c r="BV41" s="359"/>
      <c r="BW41" s="360"/>
      <c r="BX41" s="355"/>
      <c r="BY41" s="355"/>
      <c r="BZ41" s="355"/>
      <c r="CA41" s="356"/>
      <c r="CB41" s="357"/>
      <c r="CC41" s="358"/>
      <c r="CD41" s="357"/>
      <c r="CE41" s="359"/>
      <c r="CF41" s="360"/>
      <c r="CG41" s="355"/>
      <c r="CH41" s="355"/>
      <c r="CI41" s="355"/>
      <c r="CJ41" s="356"/>
      <c r="CK41" s="357"/>
      <c r="CL41" s="358"/>
      <c r="CM41" s="357"/>
      <c r="CN41" s="359"/>
      <c r="CO41" s="360"/>
      <c r="CP41" s="355"/>
      <c r="CQ41" s="355"/>
      <c r="CR41" s="355"/>
      <c r="CS41" s="356"/>
      <c r="CT41" s="357"/>
      <c r="CU41" s="358"/>
      <c r="CV41" s="357"/>
      <c r="CW41" s="359"/>
      <c r="CX41" s="360"/>
      <c r="CY41" s="355"/>
      <c r="CZ41" s="355"/>
      <c r="DA41" s="355"/>
      <c r="DB41" s="356"/>
      <c r="DC41" s="357"/>
      <c r="DD41" s="358"/>
      <c r="DE41" s="357"/>
      <c r="DF41" s="359"/>
      <c r="DG41" s="360"/>
      <c r="DH41" s="355"/>
      <c r="DI41" s="355"/>
      <c r="DJ41" s="355"/>
      <c r="DK41" s="356"/>
      <c r="DL41" s="357"/>
      <c r="DM41" s="358"/>
      <c r="DN41" s="357"/>
      <c r="DO41" s="359"/>
      <c r="DP41" s="360"/>
      <c r="DQ41" s="355"/>
      <c r="DR41" s="355"/>
      <c r="DS41" s="355"/>
      <c r="DT41" s="356"/>
      <c r="DU41" s="357"/>
      <c r="DV41" s="358"/>
      <c r="DW41" s="357"/>
      <c r="DX41" s="359"/>
      <c r="DY41" s="360"/>
      <c r="DZ41" s="355"/>
      <c r="EA41" s="355"/>
      <c r="EB41" s="355"/>
      <c r="EC41" s="356"/>
      <c r="ED41" s="357"/>
      <c r="EE41" s="358"/>
      <c r="EF41" s="357"/>
      <c r="EG41" s="359"/>
      <c r="EH41" s="360"/>
      <c r="EI41" s="355"/>
      <c r="EJ41" s="355"/>
      <c r="EK41" s="355"/>
      <c r="EL41" s="356"/>
      <c r="EM41" s="357"/>
      <c r="EN41" s="358"/>
      <c r="EO41" s="357"/>
      <c r="EP41" s="359"/>
      <c r="EQ41" s="360"/>
      <c r="ER41" s="355"/>
      <c r="ES41" s="355"/>
      <c r="ET41" s="355"/>
      <c r="EU41" s="356"/>
      <c r="EV41" s="357"/>
      <c r="EW41" s="358"/>
      <c r="EX41" s="357"/>
      <c r="EY41" s="359"/>
      <c r="EZ41" s="360"/>
      <c r="FA41" s="355"/>
      <c r="FB41" s="355"/>
      <c r="FC41" s="355"/>
      <c r="FD41" s="356"/>
      <c r="FE41" s="357"/>
      <c r="FF41" s="358"/>
      <c r="FG41" s="357"/>
      <c r="FH41" s="359"/>
      <c r="FI41" s="360"/>
      <c r="FJ41" s="355"/>
      <c r="FK41" s="355"/>
      <c r="FL41" s="355"/>
      <c r="FM41" s="356"/>
      <c r="FN41" s="357"/>
      <c r="FO41" s="358"/>
      <c r="FP41" s="357"/>
      <c r="FQ41" s="359"/>
      <c r="FR41" s="360"/>
      <c r="FS41" s="355"/>
      <c r="FT41" s="355"/>
      <c r="FU41" s="355"/>
      <c r="FV41" s="356"/>
      <c r="FW41" s="357"/>
      <c r="FX41" s="358"/>
      <c r="FY41" s="357"/>
      <c r="FZ41" s="359"/>
      <c r="GA41" s="360"/>
      <c r="GB41" s="355"/>
      <c r="GC41" s="355"/>
      <c r="GD41" s="355"/>
      <c r="GE41" s="356"/>
      <c r="GF41" s="357"/>
      <c r="GG41" s="358"/>
      <c r="GH41" s="357"/>
      <c r="GI41" s="359"/>
      <c r="GJ41" s="360"/>
      <c r="GK41" s="355"/>
      <c r="GL41" s="355"/>
      <c r="GM41" s="355"/>
      <c r="GN41" s="356"/>
      <c r="GO41" s="357"/>
      <c r="GP41" s="358"/>
      <c r="GQ41" s="357"/>
      <c r="GR41" s="359"/>
      <c r="GS41" s="360"/>
      <c r="GT41" s="370">
        <v>43087</v>
      </c>
      <c r="GU41" s="411">
        <v>17584</v>
      </c>
      <c r="GV41" s="412" t="s">
        <v>1042</v>
      </c>
      <c r="GW41" s="74"/>
      <c r="GX41" s="74"/>
      <c r="GY41" s="391" t="s">
        <v>1109</v>
      </c>
      <c r="GZ41" s="67">
        <v>2088</v>
      </c>
    </row>
    <row r="42" spans="1:208" x14ac:dyDescent="0.25">
      <c r="A42"/>
      <c r="D42" s="35"/>
      <c r="E42" s="36"/>
      <c r="F42" s="37"/>
      <c r="G42" s="38"/>
      <c r="H42" s="39"/>
      <c r="I42" s="40"/>
      <c r="J42" s="68" t="s">
        <v>42</v>
      </c>
      <c r="K42" s="407" t="s">
        <v>37</v>
      </c>
      <c r="L42" s="70">
        <v>18020</v>
      </c>
      <c r="M42" s="71">
        <v>43068</v>
      </c>
      <c r="N42" s="380" t="s">
        <v>1085</v>
      </c>
      <c r="O42" s="72">
        <v>22365</v>
      </c>
      <c r="P42" s="113">
        <f t="shared" si="0"/>
        <v>4345</v>
      </c>
      <c r="Q42" s="117">
        <v>26</v>
      </c>
      <c r="R42" s="117"/>
      <c r="S42" s="117"/>
      <c r="T42" s="39">
        <f>Q42*O42</f>
        <v>581490</v>
      </c>
      <c r="U42" s="363" t="s">
        <v>72</v>
      </c>
      <c r="V42" s="353">
        <v>43088</v>
      </c>
      <c r="W42" s="368">
        <v>15080</v>
      </c>
      <c r="X42" s="355"/>
      <c r="Y42" s="356"/>
      <c r="Z42" s="357"/>
      <c r="AA42" s="358"/>
      <c r="AB42" s="357"/>
      <c r="AC42" s="359"/>
      <c r="AD42" s="360"/>
      <c r="AE42" s="355"/>
      <c r="AF42" s="355"/>
      <c r="AG42" s="355"/>
      <c r="AH42" s="356"/>
      <c r="AI42" s="357"/>
      <c r="AJ42" s="358"/>
      <c r="AK42" s="357"/>
      <c r="AL42" s="359"/>
      <c r="AM42" s="360"/>
      <c r="AN42" s="355"/>
      <c r="AO42" s="355"/>
      <c r="AP42" s="355"/>
      <c r="AQ42" s="356"/>
      <c r="AR42" s="357"/>
      <c r="AS42" s="358"/>
      <c r="AT42" s="357"/>
      <c r="AU42" s="359"/>
      <c r="AV42" s="360"/>
      <c r="AW42" s="355"/>
      <c r="AX42" s="355"/>
      <c r="AY42" s="355"/>
      <c r="AZ42" s="356"/>
      <c r="BA42" s="357"/>
      <c r="BB42" s="358"/>
      <c r="BC42" s="357"/>
      <c r="BD42" s="359"/>
      <c r="BE42" s="360"/>
      <c r="BF42" s="355"/>
      <c r="BG42" s="355"/>
      <c r="BH42" s="355"/>
      <c r="BI42" s="356"/>
      <c r="BJ42" s="357"/>
      <c r="BK42" s="358"/>
      <c r="BL42" s="357"/>
      <c r="BM42" s="359"/>
      <c r="BN42" s="360"/>
      <c r="BO42" s="355"/>
      <c r="BP42" s="355"/>
      <c r="BQ42" s="355"/>
      <c r="BR42" s="356"/>
      <c r="BS42" s="357"/>
      <c r="BT42" s="358"/>
      <c r="BU42" s="357"/>
      <c r="BV42" s="359"/>
      <c r="BW42" s="360"/>
      <c r="BX42" s="355"/>
      <c r="BY42" s="355"/>
      <c r="BZ42" s="355"/>
      <c r="CA42" s="356"/>
      <c r="CB42" s="357"/>
      <c r="CC42" s="358"/>
      <c r="CD42" s="357"/>
      <c r="CE42" s="359"/>
      <c r="CF42" s="360"/>
      <c r="CG42" s="355"/>
      <c r="CH42" s="355"/>
      <c r="CI42" s="355"/>
      <c r="CJ42" s="356"/>
      <c r="CK42" s="357"/>
      <c r="CL42" s="358"/>
      <c r="CM42" s="357"/>
      <c r="CN42" s="359"/>
      <c r="CO42" s="360"/>
      <c r="CP42" s="355"/>
      <c r="CQ42" s="355"/>
      <c r="CR42" s="355"/>
      <c r="CS42" s="356"/>
      <c r="CT42" s="357"/>
      <c r="CU42" s="358"/>
      <c r="CV42" s="357"/>
      <c r="CW42" s="359"/>
      <c r="CX42" s="360"/>
      <c r="CY42" s="355"/>
      <c r="CZ42" s="355"/>
      <c r="DA42" s="355"/>
      <c r="DB42" s="356"/>
      <c r="DC42" s="357"/>
      <c r="DD42" s="358"/>
      <c r="DE42" s="357"/>
      <c r="DF42" s="359"/>
      <c r="DG42" s="360"/>
      <c r="DH42" s="355"/>
      <c r="DI42" s="355"/>
      <c r="DJ42" s="355"/>
      <c r="DK42" s="356"/>
      <c r="DL42" s="357"/>
      <c r="DM42" s="358"/>
      <c r="DN42" s="357"/>
      <c r="DO42" s="359"/>
      <c r="DP42" s="360"/>
      <c r="DQ42" s="355"/>
      <c r="DR42" s="355"/>
      <c r="DS42" s="355"/>
      <c r="DT42" s="356"/>
      <c r="DU42" s="357"/>
      <c r="DV42" s="358"/>
      <c r="DW42" s="357"/>
      <c r="DX42" s="359"/>
      <c r="DY42" s="360"/>
      <c r="DZ42" s="355"/>
      <c r="EA42" s="355"/>
      <c r="EB42" s="355"/>
      <c r="EC42" s="356"/>
      <c r="ED42" s="357"/>
      <c r="EE42" s="358"/>
      <c r="EF42" s="357"/>
      <c r="EG42" s="359"/>
      <c r="EH42" s="360"/>
      <c r="EI42" s="355"/>
      <c r="EJ42" s="355"/>
      <c r="EK42" s="355"/>
      <c r="EL42" s="356"/>
      <c r="EM42" s="357"/>
      <c r="EN42" s="358"/>
      <c r="EO42" s="357"/>
      <c r="EP42" s="359"/>
      <c r="EQ42" s="360"/>
      <c r="ER42" s="355"/>
      <c r="ES42" s="355"/>
      <c r="ET42" s="355"/>
      <c r="EU42" s="356"/>
      <c r="EV42" s="357"/>
      <c r="EW42" s="358"/>
      <c r="EX42" s="357"/>
      <c r="EY42" s="359"/>
      <c r="EZ42" s="360"/>
      <c r="FA42" s="355"/>
      <c r="FB42" s="355"/>
      <c r="FC42" s="355"/>
      <c r="FD42" s="356"/>
      <c r="FE42" s="357"/>
      <c r="FF42" s="358"/>
      <c r="FG42" s="357"/>
      <c r="FH42" s="359"/>
      <c r="FI42" s="360"/>
      <c r="FJ42" s="355"/>
      <c r="FK42" s="355"/>
      <c r="FL42" s="355"/>
      <c r="FM42" s="356"/>
      <c r="FN42" s="357"/>
      <c r="FO42" s="358"/>
      <c r="FP42" s="357"/>
      <c r="FQ42" s="359"/>
      <c r="FR42" s="360"/>
      <c r="FS42" s="355"/>
      <c r="FT42" s="355"/>
      <c r="FU42" s="355"/>
      <c r="FV42" s="356"/>
      <c r="FW42" s="357"/>
      <c r="FX42" s="358"/>
      <c r="FY42" s="357"/>
      <c r="FZ42" s="359"/>
      <c r="GA42" s="360"/>
      <c r="GB42" s="355"/>
      <c r="GC42" s="355"/>
      <c r="GD42" s="355"/>
      <c r="GE42" s="356"/>
      <c r="GF42" s="357"/>
      <c r="GG42" s="358"/>
      <c r="GH42" s="357"/>
      <c r="GI42" s="359"/>
      <c r="GJ42" s="360"/>
      <c r="GK42" s="355"/>
      <c r="GL42" s="355"/>
      <c r="GM42" s="355"/>
      <c r="GN42" s="356"/>
      <c r="GO42" s="357"/>
      <c r="GP42" s="358"/>
      <c r="GQ42" s="357"/>
      <c r="GR42" s="359"/>
      <c r="GS42" s="360"/>
      <c r="GT42" s="430">
        <v>43088</v>
      </c>
      <c r="GU42" s="411">
        <v>22176</v>
      </c>
      <c r="GV42" s="412" t="s">
        <v>1043</v>
      </c>
      <c r="GW42" s="74"/>
      <c r="GX42" s="74"/>
      <c r="GY42" s="391" t="s">
        <v>1109</v>
      </c>
      <c r="GZ42" s="67">
        <v>3480</v>
      </c>
    </row>
    <row r="43" spans="1:208" x14ac:dyDescent="0.25">
      <c r="A43"/>
      <c r="D43" s="35"/>
      <c r="E43" s="36"/>
      <c r="F43" s="37"/>
      <c r="G43" s="38"/>
      <c r="H43" s="39"/>
      <c r="I43" s="40"/>
      <c r="J43" s="68" t="s">
        <v>42</v>
      </c>
      <c r="K43" s="451" t="s">
        <v>37</v>
      </c>
      <c r="L43" s="70">
        <v>17610</v>
      </c>
      <c r="M43" s="71">
        <v>43069</v>
      </c>
      <c r="N43" s="380" t="s">
        <v>1086</v>
      </c>
      <c r="O43" s="72">
        <v>20780</v>
      </c>
      <c r="P43" s="113">
        <f t="shared" si="0"/>
        <v>3170</v>
      </c>
      <c r="Q43" s="64">
        <v>26.5</v>
      </c>
      <c r="R43" s="117"/>
      <c r="S43" s="117"/>
      <c r="T43" s="39">
        <f>Q43*O43</f>
        <v>550670</v>
      </c>
      <c r="U43" s="363" t="s">
        <v>72</v>
      </c>
      <c r="V43" s="353">
        <v>43088</v>
      </c>
      <c r="W43" s="368">
        <v>15080</v>
      </c>
      <c r="X43" s="355"/>
      <c r="Y43" s="356"/>
      <c r="Z43" s="357"/>
      <c r="AA43" s="358"/>
      <c r="AB43" s="357"/>
      <c r="AC43" s="359"/>
      <c r="AD43" s="360"/>
      <c r="AE43" s="355"/>
      <c r="AF43" s="355"/>
      <c r="AG43" s="355"/>
      <c r="AH43" s="356"/>
      <c r="AI43" s="357"/>
      <c r="AJ43" s="358"/>
      <c r="AK43" s="357"/>
      <c r="AL43" s="359"/>
      <c r="AM43" s="360"/>
      <c r="AN43" s="355"/>
      <c r="AO43" s="355"/>
      <c r="AP43" s="355"/>
      <c r="AQ43" s="356"/>
      <c r="AR43" s="357"/>
      <c r="AS43" s="358"/>
      <c r="AT43" s="357"/>
      <c r="AU43" s="359"/>
      <c r="AV43" s="360"/>
      <c r="AW43" s="355"/>
      <c r="AX43" s="355"/>
      <c r="AY43" s="355"/>
      <c r="AZ43" s="356"/>
      <c r="BA43" s="357"/>
      <c r="BB43" s="358"/>
      <c r="BC43" s="357"/>
      <c r="BD43" s="359"/>
      <c r="BE43" s="360"/>
      <c r="BF43" s="355"/>
      <c r="BG43" s="355"/>
      <c r="BH43" s="355"/>
      <c r="BI43" s="356"/>
      <c r="BJ43" s="357"/>
      <c r="BK43" s="358"/>
      <c r="BL43" s="357"/>
      <c r="BM43" s="359"/>
      <c r="BN43" s="360"/>
      <c r="BO43" s="355"/>
      <c r="BP43" s="355"/>
      <c r="BQ43" s="355"/>
      <c r="BR43" s="356"/>
      <c r="BS43" s="357"/>
      <c r="BT43" s="358"/>
      <c r="BU43" s="357"/>
      <c r="BV43" s="359"/>
      <c r="BW43" s="360"/>
      <c r="BX43" s="355"/>
      <c r="BY43" s="355"/>
      <c r="BZ43" s="355"/>
      <c r="CA43" s="356"/>
      <c r="CB43" s="357"/>
      <c r="CC43" s="358"/>
      <c r="CD43" s="357"/>
      <c r="CE43" s="359"/>
      <c r="CF43" s="360"/>
      <c r="CG43" s="355"/>
      <c r="CH43" s="355"/>
      <c r="CI43" s="355"/>
      <c r="CJ43" s="356"/>
      <c r="CK43" s="357"/>
      <c r="CL43" s="358"/>
      <c r="CM43" s="357"/>
      <c r="CN43" s="359"/>
      <c r="CO43" s="360"/>
      <c r="CP43" s="355"/>
      <c r="CQ43" s="355"/>
      <c r="CR43" s="355"/>
      <c r="CS43" s="356"/>
      <c r="CT43" s="357"/>
      <c r="CU43" s="358"/>
      <c r="CV43" s="357"/>
      <c r="CW43" s="359"/>
      <c r="CX43" s="360"/>
      <c r="CY43" s="355"/>
      <c r="CZ43" s="355"/>
      <c r="DA43" s="355"/>
      <c r="DB43" s="356"/>
      <c r="DC43" s="357"/>
      <c r="DD43" s="358"/>
      <c r="DE43" s="357"/>
      <c r="DF43" s="359"/>
      <c r="DG43" s="360"/>
      <c r="DH43" s="355"/>
      <c r="DI43" s="355"/>
      <c r="DJ43" s="355"/>
      <c r="DK43" s="356"/>
      <c r="DL43" s="357"/>
      <c r="DM43" s="358"/>
      <c r="DN43" s="357"/>
      <c r="DO43" s="359"/>
      <c r="DP43" s="360"/>
      <c r="DQ43" s="355"/>
      <c r="DR43" s="355"/>
      <c r="DS43" s="355"/>
      <c r="DT43" s="356"/>
      <c r="DU43" s="357"/>
      <c r="DV43" s="358"/>
      <c r="DW43" s="357"/>
      <c r="DX43" s="359"/>
      <c r="DY43" s="360"/>
      <c r="DZ43" s="355"/>
      <c r="EA43" s="355"/>
      <c r="EB43" s="355"/>
      <c r="EC43" s="356"/>
      <c r="ED43" s="357"/>
      <c r="EE43" s="358"/>
      <c r="EF43" s="357"/>
      <c r="EG43" s="359"/>
      <c r="EH43" s="360"/>
      <c r="EI43" s="355"/>
      <c r="EJ43" s="355"/>
      <c r="EK43" s="355"/>
      <c r="EL43" s="356"/>
      <c r="EM43" s="357"/>
      <c r="EN43" s="358"/>
      <c r="EO43" s="357"/>
      <c r="EP43" s="359"/>
      <c r="EQ43" s="360"/>
      <c r="ER43" s="355"/>
      <c r="ES43" s="355"/>
      <c r="ET43" s="355"/>
      <c r="EU43" s="356"/>
      <c r="EV43" s="357"/>
      <c r="EW43" s="358"/>
      <c r="EX43" s="357"/>
      <c r="EY43" s="359"/>
      <c r="EZ43" s="360"/>
      <c r="FA43" s="355"/>
      <c r="FB43" s="355"/>
      <c r="FC43" s="355"/>
      <c r="FD43" s="356"/>
      <c r="FE43" s="357"/>
      <c r="FF43" s="358"/>
      <c r="FG43" s="357"/>
      <c r="FH43" s="359"/>
      <c r="FI43" s="360"/>
      <c r="FJ43" s="355"/>
      <c r="FK43" s="355"/>
      <c r="FL43" s="355"/>
      <c r="FM43" s="356"/>
      <c r="FN43" s="357"/>
      <c r="FO43" s="358"/>
      <c r="FP43" s="357"/>
      <c r="FQ43" s="359"/>
      <c r="FR43" s="360"/>
      <c r="FS43" s="355"/>
      <c r="FT43" s="355"/>
      <c r="FU43" s="355"/>
      <c r="FV43" s="356"/>
      <c r="FW43" s="357"/>
      <c r="FX43" s="358"/>
      <c r="FY43" s="357"/>
      <c r="FZ43" s="359"/>
      <c r="GA43" s="360"/>
      <c r="GB43" s="355"/>
      <c r="GC43" s="355"/>
      <c r="GD43" s="355"/>
      <c r="GE43" s="356"/>
      <c r="GF43" s="357"/>
      <c r="GG43" s="358"/>
      <c r="GH43" s="357"/>
      <c r="GI43" s="359"/>
      <c r="GJ43" s="360"/>
      <c r="GK43" s="355"/>
      <c r="GL43" s="355"/>
      <c r="GM43" s="355"/>
      <c r="GN43" s="356"/>
      <c r="GO43" s="357"/>
      <c r="GP43" s="358"/>
      <c r="GQ43" s="357"/>
      <c r="GR43" s="359"/>
      <c r="GS43" s="360"/>
      <c r="GT43" s="370">
        <v>43088</v>
      </c>
      <c r="GU43" s="411"/>
      <c r="GV43" s="415"/>
      <c r="GW43" s="74"/>
      <c r="GX43" s="74"/>
      <c r="GY43" s="391" t="s">
        <v>1109</v>
      </c>
      <c r="GZ43" s="67">
        <v>3480</v>
      </c>
    </row>
    <row r="44" spans="1:208" x14ac:dyDescent="0.25">
      <c r="A44"/>
      <c r="D44" s="35"/>
      <c r="E44" s="36"/>
      <c r="F44" s="37"/>
      <c r="G44" s="38"/>
      <c r="H44" s="39"/>
      <c r="I44" s="40"/>
      <c r="J44" s="68" t="s">
        <v>1015</v>
      </c>
      <c r="K44" s="407" t="s">
        <v>65</v>
      </c>
      <c r="L44" s="70">
        <v>12070</v>
      </c>
      <c r="M44" s="71">
        <v>43069</v>
      </c>
      <c r="N44" s="380" t="s">
        <v>1087</v>
      </c>
      <c r="O44" s="72">
        <v>16505</v>
      </c>
      <c r="P44" s="113">
        <f>O44-L44</f>
        <v>4435</v>
      </c>
      <c r="Q44" s="117">
        <v>26.5</v>
      </c>
      <c r="R44" s="117"/>
      <c r="S44" s="111"/>
      <c r="T44" s="39">
        <f>Q44*O44+S44+0</f>
        <v>437382.5</v>
      </c>
      <c r="U44" s="363" t="s">
        <v>72</v>
      </c>
      <c r="V44" s="353">
        <v>43088</v>
      </c>
      <c r="W44" s="368">
        <v>9726</v>
      </c>
      <c r="X44" s="355"/>
      <c r="Y44" s="356"/>
      <c r="Z44" s="357"/>
      <c r="AA44" s="358"/>
      <c r="AB44" s="357"/>
      <c r="AC44" s="359"/>
      <c r="AD44" s="360"/>
      <c r="AE44" s="355"/>
      <c r="AF44" s="355"/>
      <c r="AG44" s="355"/>
      <c r="AH44" s="356"/>
      <c r="AI44" s="357"/>
      <c r="AJ44" s="358"/>
      <c r="AK44" s="357"/>
      <c r="AL44" s="359"/>
      <c r="AM44" s="360"/>
      <c r="AN44" s="355"/>
      <c r="AO44" s="355"/>
      <c r="AP44" s="355"/>
      <c r="AQ44" s="356"/>
      <c r="AR44" s="357"/>
      <c r="AS44" s="358"/>
      <c r="AT44" s="357"/>
      <c r="AU44" s="359"/>
      <c r="AV44" s="360"/>
      <c r="AW44" s="355"/>
      <c r="AX44" s="355"/>
      <c r="AY44" s="355"/>
      <c r="AZ44" s="356"/>
      <c r="BA44" s="357"/>
      <c r="BB44" s="358"/>
      <c r="BC44" s="357"/>
      <c r="BD44" s="359"/>
      <c r="BE44" s="360"/>
      <c r="BF44" s="355"/>
      <c r="BG44" s="355"/>
      <c r="BH44" s="355"/>
      <c r="BI44" s="356"/>
      <c r="BJ44" s="357"/>
      <c r="BK44" s="358"/>
      <c r="BL44" s="357"/>
      <c r="BM44" s="359"/>
      <c r="BN44" s="360"/>
      <c r="BO44" s="355"/>
      <c r="BP44" s="355"/>
      <c r="BQ44" s="355"/>
      <c r="BR44" s="356"/>
      <c r="BS44" s="357"/>
      <c r="BT44" s="358"/>
      <c r="BU44" s="357"/>
      <c r="BV44" s="359"/>
      <c r="BW44" s="360"/>
      <c r="BX44" s="355"/>
      <c r="BY44" s="355"/>
      <c r="BZ44" s="355"/>
      <c r="CA44" s="356"/>
      <c r="CB44" s="357"/>
      <c r="CC44" s="358"/>
      <c r="CD44" s="357"/>
      <c r="CE44" s="359"/>
      <c r="CF44" s="360"/>
      <c r="CG44" s="355"/>
      <c r="CH44" s="355"/>
      <c r="CI44" s="355"/>
      <c r="CJ44" s="356"/>
      <c r="CK44" s="357"/>
      <c r="CL44" s="358"/>
      <c r="CM44" s="357"/>
      <c r="CN44" s="359"/>
      <c r="CO44" s="360"/>
      <c r="CP44" s="355"/>
      <c r="CQ44" s="355"/>
      <c r="CR44" s="355"/>
      <c r="CS44" s="356"/>
      <c r="CT44" s="357"/>
      <c r="CU44" s="358"/>
      <c r="CV44" s="357"/>
      <c r="CW44" s="359"/>
      <c r="CX44" s="360"/>
      <c r="CY44" s="355"/>
      <c r="CZ44" s="355"/>
      <c r="DA44" s="355"/>
      <c r="DB44" s="356"/>
      <c r="DC44" s="357"/>
      <c r="DD44" s="358"/>
      <c r="DE44" s="357"/>
      <c r="DF44" s="359"/>
      <c r="DG44" s="360"/>
      <c r="DH44" s="355"/>
      <c r="DI44" s="355"/>
      <c r="DJ44" s="355"/>
      <c r="DK44" s="356"/>
      <c r="DL44" s="357"/>
      <c r="DM44" s="358"/>
      <c r="DN44" s="357"/>
      <c r="DO44" s="359"/>
      <c r="DP44" s="360"/>
      <c r="DQ44" s="355"/>
      <c r="DR44" s="355"/>
      <c r="DS44" s="355"/>
      <c r="DT44" s="356"/>
      <c r="DU44" s="357"/>
      <c r="DV44" s="358"/>
      <c r="DW44" s="357"/>
      <c r="DX44" s="359"/>
      <c r="DY44" s="360"/>
      <c r="DZ44" s="355"/>
      <c r="EA44" s="355"/>
      <c r="EB44" s="355"/>
      <c r="EC44" s="356"/>
      <c r="ED44" s="357"/>
      <c r="EE44" s="358"/>
      <c r="EF44" s="357"/>
      <c r="EG44" s="359"/>
      <c r="EH44" s="360"/>
      <c r="EI44" s="355"/>
      <c r="EJ44" s="355"/>
      <c r="EK44" s="355"/>
      <c r="EL44" s="356"/>
      <c r="EM44" s="357"/>
      <c r="EN44" s="358"/>
      <c r="EO44" s="357"/>
      <c r="EP44" s="359"/>
      <c r="EQ44" s="360"/>
      <c r="ER44" s="355"/>
      <c r="ES44" s="355"/>
      <c r="ET44" s="355"/>
      <c r="EU44" s="356"/>
      <c r="EV44" s="357"/>
      <c r="EW44" s="358"/>
      <c r="EX44" s="357"/>
      <c r="EY44" s="359"/>
      <c r="EZ44" s="360"/>
      <c r="FA44" s="355"/>
      <c r="FB44" s="355"/>
      <c r="FC44" s="355"/>
      <c r="FD44" s="356"/>
      <c r="FE44" s="357"/>
      <c r="FF44" s="358"/>
      <c r="FG44" s="357"/>
      <c r="FH44" s="359"/>
      <c r="FI44" s="360"/>
      <c r="FJ44" s="355"/>
      <c r="FK44" s="355"/>
      <c r="FL44" s="355"/>
      <c r="FM44" s="356"/>
      <c r="FN44" s="357"/>
      <c r="FO44" s="358"/>
      <c r="FP44" s="357"/>
      <c r="FQ44" s="359"/>
      <c r="FR44" s="360"/>
      <c r="FS44" s="355"/>
      <c r="FT44" s="355"/>
      <c r="FU44" s="355"/>
      <c r="FV44" s="356"/>
      <c r="FW44" s="357"/>
      <c r="FX44" s="358"/>
      <c r="FY44" s="357"/>
      <c r="FZ44" s="359"/>
      <c r="GA44" s="360"/>
      <c r="GB44" s="355"/>
      <c r="GC44" s="355"/>
      <c r="GD44" s="355"/>
      <c r="GE44" s="356"/>
      <c r="GF44" s="357"/>
      <c r="GG44" s="358"/>
      <c r="GH44" s="357"/>
      <c r="GI44" s="359"/>
      <c r="GJ44" s="360"/>
      <c r="GK44" s="355"/>
      <c r="GL44" s="355"/>
      <c r="GM44" s="355"/>
      <c r="GN44" s="356"/>
      <c r="GO44" s="357"/>
      <c r="GP44" s="358"/>
      <c r="GQ44" s="357"/>
      <c r="GR44" s="359"/>
      <c r="GS44" s="360"/>
      <c r="GT44" s="362">
        <v>43088</v>
      </c>
      <c r="GU44" s="411">
        <v>17584</v>
      </c>
      <c r="GV44" s="412" t="s">
        <v>1044</v>
      </c>
      <c r="GW44" s="74"/>
      <c r="GX44" s="74"/>
      <c r="GY44" s="391" t="s">
        <v>1109</v>
      </c>
      <c r="GZ44" s="67">
        <v>2088</v>
      </c>
    </row>
    <row r="45" spans="1:208" x14ac:dyDescent="0.25">
      <c r="A45"/>
      <c r="D45" s="35"/>
      <c r="E45" s="36"/>
      <c r="F45" s="37"/>
      <c r="G45" s="38"/>
      <c r="H45" s="39"/>
      <c r="I45" s="40"/>
      <c r="J45" s="68"/>
      <c r="K45" s="407"/>
      <c r="L45" s="70"/>
      <c r="M45" s="71"/>
      <c r="N45" s="119"/>
      <c r="O45" s="72"/>
      <c r="P45" s="113">
        <f t="shared" ref="P45:P56" si="2">O45-L45</f>
        <v>0</v>
      </c>
      <c r="Q45" s="117" t="s">
        <v>15</v>
      </c>
      <c r="R45" s="117"/>
      <c r="S45" s="111"/>
      <c r="T45" s="39" t="e">
        <f>Q45*O45+S45+0</f>
        <v>#VALUE!</v>
      </c>
      <c r="U45" s="375"/>
      <c r="V45" s="144"/>
      <c r="W45" s="377"/>
      <c r="X45" s="146"/>
      <c r="Y45" s="147"/>
      <c r="Z45" s="148"/>
      <c r="AA45" s="149"/>
      <c r="AB45" s="148"/>
      <c r="AC45" s="150"/>
      <c r="AD45" s="151"/>
      <c r="AE45" s="146"/>
      <c r="AF45" s="146"/>
      <c r="AG45" s="146"/>
      <c r="AH45" s="147"/>
      <c r="AI45" s="148"/>
      <c r="AJ45" s="149"/>
      <c r="AK45" s="148"/>
      <c r="AL45" s="150"/>
      <c r="AM45" s="151"/>
      <c r="AN45" s="146"/>
      <c r="AO45" s="146"/>
      <c r="AP45" s="146"/>
      <c r="AQ45" s="147"/>
      <c r="AR45" s="148"/>
      <c r="AS45" s="149"/>
      <c r="AT45" s="148"/>
      <c r="AU45" s="150"/>
      <c r="AV45" s="151"/>
      <c r="AW45" s="146"/>
      <c r="AX45" s="146"/>
      <c r="AY45" s="146"/>
      <c r="AZ45" s="147"/>
      <c r="BA45" s="148"/>
      <c r="BB45" s="149"/>
      <c r="BC45" s="148"/>
      <c r="BD45" s="150"/>
      <c r="BE45" s="151"/>
      <c r="BF45" s="146"/>
      <c r="BG45" s="146"/>
      <c r="BH45" s="146"/>
      <c r="BI45" s="147"/>
      <c r="BJ45" s="148"/>
      <c r="BK45" s="149"/>
      <c r="BL45" s="148"/>
      <c r="BM45" s="150"/>
      <c r="BN45" s="151"/>
      <c r="BO45" s="146"/>
      <c r="BP45" s="146"/>
      <c r="BQ45" s="146"/>
      <c r="BR45" s="147"/>
      <c r="BS45" s="148"/>
      <c r="BT45" s="149"/>
      <c r="BU45" s="148"/>
      <c r="BV45" s="150"/>
      <c r="BW45" s="151"/>
      <c r="BX45" s="146"/>
      <c r="BY45" s="146"/>
      <c r="BZ45" s="146"/>
      <c r="CA45" s="147"/>
      <c r="CB45" s="148"/>
      <c r="CC45" s="149"/>
      <c r="CD45" s="148"/>
      <c r="CE45" s="150"/>
      <c r="CF45" s="151"/>
      <c r="CG45" s="146"/>
      <c r="CH45" s="146"/>
      <c r="CI45" s="146"/>
      <c r="CJ45" s="147"/>
      <c r="CK45" s="148"/>
      <c r="CL45" s="149"/>
      <c r="CM45" s="148"/>
      <c r="CN45" s="150"/>
      <c r="CO45" s="151"/>
      <c r="CP45" s="146"/>
      <c r="CQ45" s="146"/>
      <c r="CR45" s="146"/>
      <c r="CS45" s="147"/>
      <c r="CT45" s="148"/>
      <c r="CU45" s="149"/>
      <c r="CV45" s="148"/>
      <c r="CW45" s="150"/>
      <c r="CX45" s="151"/>
      <c r="CY45" s="146"/>
      <c r="CZ45" s="146"/>
      <c r="DA45" s="146"/>
      <c r="DB45" s="147"/>
      <c r="DC45" s="148"/>
      <c r="DD45" s="149"/>
      <c r="DE45" s="148"/>
      <c r="DF45" s="150"/>
      <c r="DG45" s="151"/>
      <c r="DH45" s="146"/>
      <c r="DI45" s="146"/>
      <c r="DJ45" s="146"/>
      <c r="DK45" s="147"/>
      <c r="DL45" s="148"/>
      <c r="DM45" s="149"/>
      <c r="DN45" s="148"/>
      <c r="DO45" s="150"/>
      <c r="DP45" s="151"/>
      <c r="DQ45" s="146"/>
      <c r="DR45" s="146"/>
      <c r="DS45" s="146"/>
      <c r="DT45" s="147"/>
      <c r="DU45" s="148"/>
      <c r="DV45" s="149"/>
      <c r="DW45" s="148"/>
      <c r="DX45" s="150"/>
      <c r="DY45" s="151"/>
      <c r="DZ45" s="146"/>
      <c r="EA45" s="146"/>
      <c r="EB45" s="146"/>
      <c r="EC45" s="147"/>
      <c r="ED45" s="148"/>
      <c r="EE45" s="149"/>
      <c r="EF45" s="148"/>
      <c r="EG45" s="150"/>
      <c r="EH45" s="151"/>
      <c r="EI45" s="146"/>
      <c r="EJ45" s="146"/>
      <c r="EK45" s="146"/>
      <c r="EL45" s="147"/>
      <c r="EM45" s="148"/>
      <c r="EN45" s="149"/>
      <c r="EO45" s="148"/>
      <c r="EP45" s="150"/>
      <c r="EQ45" s="151"/>
      <c r="ER45" s="146"/>
      <c r="ES45" s="146"/>
      <c r="ET45" s="146"/>
      <c r="EU45" s="147"/>
      <c r="EV45" s="148"/>
      <c r="EW45" s="149"/>
      <c r="EX45" s="148"/>
      <c r="EY45" s="150"/>
      <c r="EZ45" s="151"/>
      <c r="FA45" s="146"/>
      <c r="FB45" s="146"/>
      <c r="FC45" s="146"/>
      <c r="FD45" s="147"/>
      <c r="FE45" s="148"/>
      <c r="FF45" s="149"/>
      <c r="FG45" s="148"/>
      <c r="FH45" s="150"/>
      <c r="FI45" s="151"/>
      <c r="FJ45" s="146"/>
      <c r="FK45" s="146"/>
      <c r="FL45" s="146"/>
      <c r="FM45" s="147"/>
      <c r="FN45" s="148"/>
      <c r="FO45" s="149"/>
      <c r="FP45" s="148"/>
      <c r="FQ45" s="150"/>
      <c r="FR45" s="151"/>
      <c r="FS45" s="146"/>
      <c r="FT45" s="146"/>
      <c r="FU45" s="146"/>
      <c r="FV45" s="147"/>
      <c r="FW45" s="148"/>
      <c r="FX45" s="149"/>
      <c r="FY45" s="148"/>
      <c r="FZ45" s="150"/>
      <c r="GA45" s="151"/>
      <c r="GB45" s="146"/>
      <c r="GC45" s="146"/>
      <c r="GD45" s="146"/>
      <c r="GE45" s="147"/>
      <c r="GF45" s="148"/>
      <c r="GG45" s="149"/>
      <c r="GH45" s="148"/>
      <c r="GI45" s="150"/>
      <c r="GJ45" s="151"/>
      <c r="GK45" s="146"/>
      <c r="GL45" s="146"/>
      <c r="GM45" s="146"/>
      <c r="GN45" s="147"/>
      <c r="GO45" s="148"/>
      <c r="GP45" s="149"/>
      <c r="GQ45" s="148"/>
      <c r="GR45" s="150"/>
      <c r="GS45" s="151"/>
      <c r="GT45" s="152"/>
      <c r="GU45" s="131"/>
      <c r="GV45" s="130"/>
      <c r="GW45" s="74"/>
      <c r="GX45" s="74"/>
      <c r="GY45" s="391"/>
      <c r="GZ45" s="67">
        <f>SUM(GZ23:GZ44)</f>
        <v>60552</v>
      </c>
    </row>
    <row r="46" spans="1:208" x14ac:dyDescent="0.25">
      <c r="A46"/>
      <c r="D46" s="35"/>
      <c r="E46" s="36"/>
      <c r="F46" s="37"/>
      <c r="G46" s="38"/>
      <c r="H46" s="39"/>
      <c r="I46" s="40"/>
      <c r="J46" s="68"/>
      <c r="K46" s="407"/>
      <c r="L46" s="70"/>
      <c r="M46" s="71"/>
      <c r="N46" s="119"/>
      <c r="O46" s="72"/>
      <c r="P46" s="113">
        <f t="shared" si="2"/>
        <v>0</v>
      </c>
      <c r="Q46" s="117"/>
      <c r="R46" s="893"/>
      <c r="S46" s="894"/>
      <c r="T46" s="39">
        <f>Q46*O46</f>
        <v>0</v>
      </c>
      <c r="U46" s="375"/>
      <c r="V46" s="144"/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152"/>
      <c r="GU46" s="131"/>
      <c r="GV46" s="130"/>
      <c r="GW46" s="74"/>
      <c r="GX46" s="74"/>
      <c r="GY46" s="167"/>
      <c r="GZ46" s="86"/>
    </row>
    <row r="47" spans="1:208" x14ac:dyDescent="0.25">
      <c r="A47"/>
      <c r="D47" s="35"/>
      <c r="E47" s="36"/>
      <c r="F47" s="37"/>
      <c r="G47" s="38"/>
      <c r="H47" s="39"/>
      <c r="I47" s="40"/>
      <c r="J47" s="68"/>
      <c r="K47" s="407"/>
      <c r="L47" s="70"/>
      <c r="M47" s="71"/>
      <c r="N47" s="56"/>
      <c r="O47" s="72"/>
      <c r="P47" s="113">
        <f t="shared" si="2"/>
        <v>0</v>
      </c>
      <c r="Q47" s="117"/>
      <c r="R47" s="117"/>
      <c r="S47" s="117"/>
      <c r="T47" s="39">
        <f t="shared" ref="T47:T54" si="3">Q47*O47+S47+0</f>
        <v>0</v>
      </c>
      <c r="U47" s="375"/>
      <c r="V47" s="144"/>
      <c r="W47" s="377"/>
      <c r="X47" s="146"/>
      <c r="Y47" s="147"/>
      <c r="Z47" s="148"/>
      <c r="AA47" s="149"/>
      <c r="AB47" s="148"/>
      <c r="AC47" s="150"/>
      <c r="AD47" s="151"/>
      <c r="AE47" s="146"/>
      <c r="AF47" s="146"/>
      <c r="AG47" s="146"/>
      <c r="AH47" s="147"/>
      <c r="AI47" s="148"/>
      <c r="AJ47" s="149"/>
      <c r="AK47" s="148"/>
      <c r="AL47" s="150"/>
      <c r="AM47" s="151"/>
      <c r="AN47" s="146"/>
      <c r="AO47" s="146"/>
      <c r="AP47" s="146"/>
      <c r="AQ47" s="147"/>
      <c r="AR47" s="148"/>
      <c r="AS47" s="149"/>
      <c r="AT47" s="148"/>
      <c r="AU47" s="150"/>
      <c r="AV47" s="151"/>
      <c r="AW47" s="146"/>
      <c r="AX47" s="146"/>
      <c r="AY47" s="146"/>
      <c r="AZ47" s="147"/>
      <c r="BA47" s="148"/>
      <c r="BB47" s="149"/>
      <c r="BC47" s="148"/>
      <c r="BD47" s="150"/>
      <c r="BE47" s="151"/>
      <c r="BF47" s="146"/>
      <c r="BG47" s="146"/>
      <c r="BH47" s="146"/>
      <c r="BI47" s="147"/>
      <c r="BJ47" s="148"/>
      <c r="BK47" s="149"/>
      <c r="BL47" s="148"/>
      <c r="BM47" s="150"/>
      <c r="BN47" s="151"/>
      <c r="BO47" s="146"/>
      <c r="BP47" s="146"/>
      <c r="BQ47" s="146"/>
      <c r="BR47" s="147"/>
      <c r="BS47" s="148"/>
      <c r="BT47" s="149"/>
      <c r="BU47" s="148"/>
      <c r="BV47" s="150"/>
      <c r="BW47" s="151"/>
      <c r="BX47" s="146"/>
      <c r="BY47" s="146"/>
      <c r="BZ47" s="146"/>
      <c r="CA47" s="147"/>
      <c r="CB47" s="148"/>
      <c r="CC47" s="149"/>
      <c r="CD47" s="148"/>
      <c r="CE47" s="150"/>
      <c r="CF47" s="151"/>
      <c r="CG47" s="146"/>
      <c r="CH47" s="146"/>
      <c r="CI47" s="146"/>
      <c r="CJ47" s="147"/>
      <c r="CK47" s="148"/>
      <c r="CL47" s="149"/>
      <c r="CM47" s="148"/>
      <c r="CN47" s="150"/>
      <c r="CO47" s="151"/>
      <c r="CP47" s="146"/>
      <c r="CQ47" s="146"/>
      <c r="CR47" s="146"/>
      <c r="CS47" s="147"/>
      <c r="CT47" s="148"/>
      <c r="CU47" s="149"/>
      <c r="CV47" s="148"/>
      <c r="CW47" s="150"/>
      <c r="CX47" s="151"/>
      <c r="CY47" s="146"/>
      <c r="CZ47" s="146"/>
      <c r="DA47" s="146"/>
      <c r="DB47" s="147"/>
      <c r="DC47" s="148"/>
      <c r="DD47" s="149"/>
      <c r="DE47" s="148"/>
      <c r="DF47" s="150"/>
      <c r="DG47" s="151"/>
      <c r="DH47" s="146"/>
      <c r="DI47" s="146"/>
      <c r="DJ47" s="146"/>
      <c r="DK47" s="147"/>
      <c r="DL47" s="148"/>
      <c r="DM47" s="149"/>
      <c r="DN47" s="148"/>
      <c r="DO47" s="150"/>
      <c r="DP47" s="151"/>
      <c r="DQ47" s="146"/>
      <c r="DR47" s="146"/>
      <c r="DS47" s="146"/>
      <c r="DT47" s="147"/>
      <c r="DU47" s="148"/>
      <c r="DV47" s="149"/>
      <c r="DW47" s="148"/>
      <c r="DX47" s="150"/>
      <c r="DY47" s="151"/>
      <c r="DZ47" s="146"/>
      <c r="EA47" s="146"/>
      <c r="EB47" s="146"/>
      <c r="EC47" s="147"/>
      <c r="ED47" s="148"/>
      <c r="EE47" s="149"/>
      <c r="EF47" s="148"/>
      <c r="EG47" s="150"/>
      <c r="EH47" s="151"/>
      <c r="EI47" s="146"/>
      <c r="EJ47" s="146"/>
      <c r="EK47" s="146"/>
      <c r="EL47" s="147"/>
      <c r="EM47" s="148"/>
      <c r="EN47" s="149"/>
      <c r="EO47" s="148"/>
      <c r="EP47" s="150"/>
      <c r="EQ47" s="151"/>
      <c r="ER47" s="146"/>
      <c r="ES47" s="146"/>
      <c r="ET47" s="146"/>
      <c r="EU47" s="147"/>
      <c r="EV47" s="148"/>
      <c r="EW47" s="149"/>
      <c r="EX47" s="148"/>
      <c r="EY47" s="150"/>
      <c r="EZ47" s="151"/>
      <c r="FA47" s="146"/>
      <c r="FB47" s="146"/>
      <c r="FC47" s="146"/>
      <c r="FD47" s="147"/>
      <c r="FE47" s="148"/>
      <c r="FF47" s="149"/>
      <c r="FG47" s="148"/>
      <c r="FH47" s="150"/>
      <c r="FI47" s="151"/>
      <c r="FJ47" s="146"/>
      <c r="FK47" s="146"/>
      <c r="FL47" s="146"/>
      <c r="FM47" s="147"/>
      <c r="FN47" s="148"/>
      <c r="FO47" s="149"/>
      <c r="FP47" s="148"/>
      <c r="FQ47" s="150"/>
      <c r="FR47" s="151"/>
      <c r="FS47" s="146"/>
      <c r="FT47" s="146"/>
      <c r="FU47" s="146"/>
      <c r="FV47" s="147"/>
      <c r="FW47" s="148"/>
      <c r="FX47" s="149"/>
      <c r="FY47" s="148"/>
      <c r="FZ47" s="150"/>
      <c r="GA47" s="151"/>
      <c r="GB47" s="146"/>
      <c r="GC47" s="146"/>
      <c r="GD47" s="146"/>
      <c r="GE47" s="147"/>
      <c r="GF47" s="148"/>
      <c r="GG47" s="149"/>
      <c r="GH47" s="148"/>
      <c r="GI47" s="150"/>
      <c r="GJ47" s="151"/>
      <c r="GK47" s="146"/>
      <c r="GL47" s="146"/>
      <c r="GM47" s="146"/>
      <c r="GN47" s="147"/>
      <c r="GO47" s="148"/>
      <c r="GP47" s="149"/>
      <c r="GQ47" s="148"/>
      <c r="GR47" s="150"/>
      <c r="GS47" s="151"/>
      <c r="GT47" s="152"/>
      <c r="GU47" s="98"/>
      <c r="GV47" s="130"/>
      <c r="GW47" s="74"/>
      <c r="GX47" s="132"/>
      <c r="GY47" s="167"/>
      <c r="GZ47" s="86"/>
    </row>
    <row r="48" spans="1:208" x14ac:dyDescent="0.25">
      <c r="A48"/>
      <c r="D48" s="35"/>
      <c r="E48" s="36"/>
      <c r="F48" s="37"/>
      <c r="G48" s="38"/>
      <c r="H48" s="39"/>
      <c r="I48" s="40"/>
      <c r="J48" s="68"/>
      <c r="K48" s="407"/>
      <c r="L48" s="70"/>
      <c r="M48" s="71"/>
      <c r="N48" s="56"/>
      <c r="O48" s="72"/>
      <c r="P48" s="113">
        <f t="shared" si="2"/>
        <v>0</v>
      </c>
      <c r="Q48" s="117"/>
      <c r="R48" s="117"/>
      <c r="S48" s="117"/>
      <c r="T48" s="39">
        <f t="shared" si="3"/>
        <v>0</v>
      </c>
      <c r="U48" s="115"/>
      <c r="V48" s="112"/>
      <c r="W48" s="377"/>
      <c r="X48" s="146"/>
      <c r="Y48" s="147"/>
      <c r="Z48" s="148"/>
      <c r="AA48" s="149"/>
      <c r="AB48" s="148"/>
      <c r="AC48" s="150"/>
      <c r="AD48" s="151"/>
      <c r="AE48" s="146"/>
      <c r="AF48" s="146"/>
      <c r="AG48" s="146"/>
      <c r="AH48" s="147"/>
      <c r="AI48" s="148"/>
      <c r="AJ48" s="149"/>
      <c r="AK48" s="148"/>
      <c r="AL48" s="150"/>
      <c r="AM48" s="151"/>
      <c r="AN48" s="146"/>
      <c r="AO48" s="146"/>
      <c r="AP48" s="146"/>
      <c r="AQ48" s="147"/>
      <c r="AR48" s="148"/>
      <c r="AS48" s="149"/>
      <c r="AT48" s="148"/>
      <c r="AU48" s="150"/>
      <c r="AV48" s="151"/>
      <c r="AW48" s="146"/>
      <c r="AX48" s="146"/>
      <c r="AY48" s="146"/>
      <c r="AZ48" s="147"/>
      <c r="BA48" s="148"/>
      <c r="BB48" s="149"/>
      <c r="BC48" s="148"/>
      <c r="BD48" s="150"/>
      <c r="BE48" s="151"/>
      <c r="BF48" s="146"/>
      <c r="BG48" s="146"/>
      <c r="BH48" s="146"/>
      <c r="BI48" s="147"/>
      <c r="BJ48" s="148"/>
      <c r="BK48" s="149"/>
      <c r="BL48" s="148"/>
      <c r="BM48" s="150"/>
      <c r="BN48" s="151"/>
      <c r="BO48" s="146"/>
      <c r="BP48" s="146"/>
      <c r="BQ48" s="146"/>
      <c r="BR48" s="147"/>
      <c r="BS48" s="148"/>
      <c r="BT48" s="149"/>
      <c r="BU48" s="148"/>
      <c r="BV48" s="150"/>
      <c r="BW48" s="151"/>
      <c r="BX48" s="146"/>
      <c r="BY48" s="146"/>
      <c r="BZ48" s="146"/>
      <c r="CA48" s="147"/>
      <c r="CB48" s="148"/>
      <c r="CC48" s="149"/>
      <c r="CD48" s="148"/>
      <c r="CE48" s="150"/>
      <c r="CF48" s="151"/>
      <c r="CG48" s="146"/>
      <c r="CH48" s="146"/>
      <c r="CI48" s="146"/>
      <c r="CJ48" s="147"/>
      <c r="CK48" s="148"/>
      <c r="CL48" s="149"/>
      <c r="CM48" s="148"/>
      <c r="CN48" s="150"/>
      <c r="CO48" s="151"/>
      <c r="CP48" s="146"/>
      <c r="CQ48" s="146"/>
      <c r="CR48" s="146"/>
      <c r="CS48" s="147"/>
      <c r="CT48" s="148"/>
      <c r="CU48" s="149"/>
      <c r="CV48" s="148"/>
      <c r="CW48" s="150"/>
      <c r="CX48" s="151"/>
      <c r="CY48" s="146"/>
      <c r="CZ48" s="146"/>
      <c r="DA48" s="146"/>
      <c r="DB48" s="147"/>
      <c r="DC48" s="148"/>
      <c r="DD48" s="149"/>
      <c r="DE48" s="148"/>
      <c r="DF48" s="150"/>
      <c r="DG48" s="151"/>
      <c r="DH48" s="146"/>
      <c r="DI48" s="146"/>
      <c r="DJ48" s="146"/>
      <c r="DK48" s="147"/>
      <c r="DL48" s="148"/>
      <c r="DM48" s="149"/>
      <c r="DN48" s="148"/>
      <c r="DO48" s="150"/>
      <c r="DP48" s="151"/>
      <c r="DQ48" s="146"/>
      <c r="DR48" s="146"/>
      <c r="DS48" s="146"/>
      <c r="DT48" s="147"/>
      <c r="DU48" s="148"/>
      <c r="DV48" s="149"/>
      <c r="DW48" s="148"/>
      <c r="DX48" s="150"/>
      <c r="DY48" s="151"/>
      <c r="DZ48" s="146"/>
      <c r="EA48" s="146"/>
      <c r="EB48" s="146"/>
      <c r="EC48" s="147"/>
      <c r="ED48" s="148"/>
      <c r="EE48" s="149"/>
      <c r="EF48" s="148"/>
      <c r="EG48" s="150"/>
      <c r="EH48" s="151"/>
      <c r="EI48" s="146"/>
      <c r="EJ48" s="146"/>
      <c r="EK48" s="146"/>
      <c r="EL48" s="147"/>
      <c r="EM48" s="148"/>
      <c r="EN48" s="149"/>
      <c r="EO48" s="148"/>
      <c r="EP48" s="150"/>
      <c r="EQ48" s="151"/>
      <c r="ER48" s="146"/>
      <c r="ES48" s="146"/>
      <c r="ET48" s="146"/>
      <c r="EU48" s="147"/>
      <c r="EV48" s="148"/>
      <c r="EW48" s="149"/>
      <c r="EX48" s="148"/>
      <c r="EY48" s="150"/>
      <c r="EZ48" s="151"/>
      <c r="FA48" s="146"/>
      <c r="FB48" s="146"/>
      <c r="FC48" s="146"/>
      <c r="FD48" s="147"/>
      <c r="FE48" s="148"/>
      <c r="FF48" s="149"/>
      <c r="FG48" s="148"/>
      <c r="FH48" s="150"/>
      <c r="FI48" s="151"/>
      <c r="FJ48" s="146"/>
      <c r="FK48" s="146"/>
      <c r="FL48" s="146"/>
      <c r="FM48" s="147"/>
      <c r="FN48" s="148"/>
      <c r="FO48" s="149"/>
      <c r="FP48" s="148"/>
      <c r="FQ48" s="150"/>
      <c r="FR48" s="151"/>
      <c r="FS48" s="146"/>
      <c r="FT48" s="146"/>
      <c r="FU48" s="146"/>
      <c r="FV48" s="147"/>
      <c r="FW48" s="148"/>
      <c r="FX48" s="149"/>
      <c r="FY48" s="148"/>
      <c r="FZ48" s="150"/>
      <c r="GA48" s="151"/>
      <c r="GB48" s="146"/>
      <c r="GC48" s="146"/>
      <c r="GD48" s="146"/>
      <c r="GE48" s="147"/>
      <c r="GF48" s="148"/>
      <c r="GG48" s="149"/>
      <c r="GH48" s="148"/>
      <c r="GI48" s="150"/>
      <c r="GJ48" s="151"/>
      <c r="GK48" s="146"/>
      <c r="GL48" s="146"/>
      <c r="GM48" s="146"/>
      <c r="GN48" s="147"/>
      <c r="GO48" s="148"/>
      <c r="GP48" s="149"/>
      <c r="GQ48" s="148"/>
      <c r="GR48" s="150"/>
      <c r="GS48" s="151"/>
      <c r="GT48" s="152"/>
      <c r="GU48" s="98"/>
      <c r="GV48" s="130"/>
      <c r="GW48" s="74"/>
      <c r="GX48" s="132"/>
      <c r="GY48" s="167"/>
      <c r="GZ48" s="86"/>
    </row>
    <row r="49" spans="1:208" x14ac:dyDescent="0.25">
      <c r="A49"/>
      <c r="D49" s="35"/>
      <c r="E49" s="36"/>
      <c r="F49" s="37"/>
      <c r="G49" s="38"/>
      <c r="H49" s="39"/>
      <c r="I49" s="40"/>
      <c r="J49" s="68"/>
      <c r="K49" s="407"/>
      <c r="L49" s="70"/>
      <c r="M49" s="71"/>
      <c r="N49" s="56"/>
      <c r="O49" s="72"/>
      <c r="P49" s="113">
        <f t="shared" si="2"/>
        <v>0</v>
      </c>
      <c r="Q49" s="117"/>
      <c r="R49" s="117"/>
      <c r="S49" s="117"/>
      <c r="T49" s="39">
        <f t="shared" si="3"/>
        <v>0</v>
      </c>
      <c r="U49" s="115"/>
      <c r="V49" s="112"/>
      <c r="W49" s="377"/>
      <c r="X49" s="146"/>
      <c r="Y49" s="147"/>
      <c r="Z49" s="148"/>
      <c r="AA49" s="149"/>
      <c r="AB49" s="148"/>
      <c r="AC49" s="150"/>
      <c r="AD49" s="151"/>
      <c r="AE49" s="146"/>
      <c r="AF49" s="146"/>
      <c r="AG49" s="146"/>
      <c r="AH49" s="147"/>
      <c r="AI49" s="148"/>
      <c r="AJ49" s="149"/>
      <c r="AK49" s="148"/>
      <c r="AL49" s="150"/>
      <c r="AM49" s="151"/>
      <c r="AN49" s="146"/>
      <c r="AO49" s="146"/>
      <c r="AP49" s="146"/>
      <c r="AQ49" s="147"/>
      <c r="AR49" s="148"/>
      <c r="AS49" s="149"/>
      <c r="AT49" s="148"/>
      <c r="AU49" s="150"/>
      <c r="AV49" s="151"/>
      <c r="AW49" s="146"/>
      <c r="AX49" s="146"/>
      <c r="AY49" s="146"/>
      <c r="AZ49" s="147"/>
      <c r="BA49" s="148"/>
      <c r="BB49" s="149"/>
      <c r="BC49" s="148"/>
      <c r="BD49" s="150"/>
      <c r="BE49" s="151"/>
      <c r="BF49" s="146"/>
      <c r="BG49" s="146"/>
      <c r="BH49" s="146"/>
      <c r="BI49" s="147"/>
      <c r="BJ49" s="148"/>
      <c r="BK49" s="149"/>
      <c r="BL49" s="148"/>
      <c r="BM49" s="150"/>
      <c r="BN49" s="151"/>
      <c r="BO49" s="146"/>
      <c r="BP49" s="146"/>
      <c r="BQ49" s="146"/>
      <c r="BR49" s="147"/>
      <c r="BS49" s="148"/>
      <c r="BT49" s="149"/>
      <c r="BU49" s="148"/>
      <c r="BV49" s="150"/>
      <c r="BW49" s="151"/>
      <c r="BX49" s="146"/>
      <c r="BY49" s="146"/>
      <c r="BZ49" s="146"/>
      <c r="CA49" s="147"/>
      <c r="CB49" s="148"/>
      <c r="CC49" s="149"/>
      <c r="CD49" s="148"/>
      <c r="CE49" s="150"/>
      <c r="CF49" s="151"/>
      <c r="CG49" s="146"/>
      <c r="CH49" s="146"/>
      <c r="CI49" s="146"/>
      <c r="CJ49" s="147"/>
      <c r="CK49" s="148"/>
      <c r="CL49" s="149"/>
      <c r="CM49" s="148"/>
      <c r="CN49" s="150"/>
      <c r="CO49" s="151"/>
      <c r="CP49" s="146"/>
      <c r="CQ49" s="146"/>
      <c r="CR49" s="146"/>
      <c r="CS49" s="147"/>
      <c r="CT49" s="148"/>
      <c r="CU49" s="149"/>
      <c r="CV49" s="148"/>
      <c r="CW49" s="150"/>
      <c r="CX49" s="151"/>
      <c r="CY49" s="146"/>
      <c r="CZ49" s="146"/>
      <c r="DA49" s="146"/>
      <c r="DB49" s="147"/>
      <c r="DC49" s="148"/>
      <c r="DD49" s="149"/>
      <c r="DE49" s="148"/>
      <c r="DF49" s="150"/>
      <c r="DG49" s="151"/>
      <c r="DH49" s="146"/>
      <c r="DI49" s="146"/>
      <c r="DJ49" s="146"/>
      <c r="DK49" s="147"/>
      <c r="DL49" s="148"/>
      <c r="DM49" s="149"/>
      <c r="DN49" s="148"/>
      <c r="DO49" s="150"/>
      <c r="DP49" s="151"/>
      <c r="DQ49" s="146"/>
      <c r="DR49" s="146"/>
      <c r="DS49" s="146"/>
      <c r="DT49" s="147"/>
      <c r="DU49" s="148"/>
      <c r="DV49" s="149"/>
      <c r="DW49" s="148"/>
      <c r="DX49" s="150"/>
      <c r="DY49" s="151"/>
      <c r="DZ49" s="146"/>
      <c r="EA49" s="146"/>
      <c r="EB49" s="146"/>
      <c r="EC49" s="147"/>
      <c r="ED49" s="148"/>
      <c r="EE49" s="149"/>
      <c r="EF49" s="148"/>
      <c r="EG49" s="150"/>
      <c r="EH49" s="151"/>
      <c r="EI49" s="146"/>
      <c r="EJ49" s="146"/>
      <c r="EK49" s="146"/>
      <c r="EL49" s="147"/>
      <c r="EM49" s="148"/>
      <c r="EN49" s="149"/>
      <c r="EO49" s="148"/>
      <c r="EP49" s="150"/>
      <c r="EQ49" s="151"/>
      <c r="ER49" s="146"/>
      <c r="ES49" s="146"/>
      <c r="ET49" s="146"/>
      <c r="EU49" s="147"/>
      <c r="EV49" s="148"/>
      <c r="EW49" s="149"/>
      <c r="EX49" s="148"/>
      <c r="EY49" s="150"/>
      <c r="EZ49" s="151"/>
      <c r="FA49" s="146"/>
      <c r="FB49" s="146"/>
      <c r="FC49" s="146"/>
      <c r="FD49" s="147"/>
      <c r="FE49" s="148"/>
      <c r="FF49" s="149"/>
      <c r="FG49" s="148"/>
      <c r="FH49" s="150"/>
      <c r="FI49" s="151"/>
      <c r="FJ49" s="146"/>
      <c r="FK49" s="146"/>
      <c r="FL49" s="146"/>
      <c r="FM49" s="147"/>
      <c r="FN49" s="148"/>
      <c r="FO49" s="149"/>
      <c r="FP49" s="148"/>
      <c r="FQ49" s="150"/>
      <c r="FR49" s="151"/>
      <c r="FS49" s="146"/>
      <c r="FT49" s="146"/>
      <c r="FU49" s="146"/>
      <c r="FV49" s="147"/>
      <c r="FW49" s="148"/>
      <c r="FX49" s="149"/>
      <c r="FY49" s="148"/>
      <c r="FZ49" s="150"/>
      <c r="GA49" s="151"/>
      <c r="GB49" s="146"/>
      <c r="GC49" s="146"/>
      <c r="GD49" s="146"/>
      <c r="GE49" s="147"/>
      <c r="GF49" s="148"/>
      <c r="GG49" s="149"/>
      <c r="GH49" s="148"/>
      <c r="GI49" s="150"/>
      <c r="GJ49" s="151"/>
      <c r="GK49" s="146"/>
      <c r="GL49" s="146"/>
      <c r="GM49" s="146"/>
      <c r="GN49" s="147"/>
      <c r="GO49" s="148"/>
      <c r="GP49" s="149"/>
      <c r="GQ49" s="148"/>
      <c r="GR49" s="150"/>
      <c r="GS49" s="151"/>
      <c r="GT49" s="152"/>
      <c r="GU49" s="98"/>
      <c r="GV49" s="130"/>
      <c r="GW49" s="74"/>
      <c r="GX49" s="132"/>
      <c r="GY49" s="167"/>
      <c r="GZ49" s="86"/>
    </row>
    <row r="50" spans="1:208" x14ac:dyDescent="0.25">
      <c r="A50"/>
      <c r="D50" s="35"/>
      <c r="E50" s="36"/>
      <c r="F50" s="37"/>
      <c r="G50" s="38"/>
      <c r="H50" s="39"/>
      <c r="I50" s="40"/>
      <c r="J50" s="68"/>
      <c r="K50" s="407"/>
      <c r="L50" s="70"/>
      <c r="M50" s="71"/>
      <c r="N50" s="56"/>
      <c r="O50" s="72"/>
      <c r="P50" s="113">
        <f t="shared" si="2"/>
        <v>0</v>
      </c>
      <c r="Q50" s="117"/>
      <c r="R50" s="117"/>
      <c r="S50" s="117"/>
      <c r="T50" s="39">
        <f t="shared" si="3"/>
        <v>0</v>
      </c>
      <c r="U50" s="115"/>
      <c r="V50" s="112"/>
      <c r="W50" s="377"/>
      <c r="X50" s="146"/>
      <c r="Y50" s="147"/>
      <c r="Z50" s="148"/>
      <c r="AA50" s="149"/>
      <c r="AB50" s="148"/>
      <c r="AC50" s="150"/>
      <c r="AD50" s="151"/>
      <c r="AE50" s="146"/>
      <c r="AF50" s="146"/>
      <c r="AG50" s="146"/>
      <c r="AH50" s="147"/>
      <c r="AI50" s="148"/>
      <c r="AJ50" s="149"/>
      <c r="AK50" s="148"/>
      <c r="AL50" s="150"/>
      <c r="AM50" s="151"/>
      <c r="AN50" s="146"/>
      <c r="AO50" s="146"/>
      <c r="AP50" s="146"/>
      <c r="AQ50" s="147"/>
      <c r="AR50" s="148"/>
      <c r="AS50" s="149"/>
      <c r="AT50" s="148"/>
      <c r="AU50" s="150"/>
      <c r="AV50" s="151"/>
      <c r="AW50" s="146"/>
      <c r="AX50" s="146"/>
      <c r="AY50" s="146"/>
      <c r="AZ50" s="147"/>
      <c r="BA50" s="148"/>
      <c r="BB50" s="149"/>
      <c r="BC50" s="148"/>
      <c r="BD50" s="150"/>
      <c r="BE50" s="151"/>
      <c r="BF50" s="146"/>
      <c r="BG50" s="146"/>
      <c r="BH50" s="146"/>
      <c r="BI50" s="147"/>
      <c r="BJ50" s="148"/>
      <c r="BK50" s="149"/>
      <c r="BL50" s="148"/>
      <c r="BM50" s="150"/>
      <c r="BN50" s="151"/>
      <c r="BO50" s="146"/>
      <c r="BP50" s="146"/>
      <c r="BQ50" s="146"/>
      <c r="BR50" s="147"/>
      <c r="BS50" s="148"/>
      <c r="BT50" s="149"/>
      <c r="BU50" s="148"/>
      <c r="BV50" s="150"/>
      <c r="BW50" s="151"/>
      <c r="BX50" s="146"/>
      <c r="BY50" s="146"/>
      <c r="BZ50" s="146"/>
      <c r="CA50" s="147"/>
      <c r="CB50" s="148"/>
      <c r="CC50" s="149"/>
      <c r="CD50" s="148"/>
      <c r="CE50" s="150"/>
      <c r="CF50" s="151"/>
      <c r="CG50" s="146"/>
      <c r="CH50" s="146"/>
      <c r="CI50" s="146"/>
      <c r="CJ50" s="147"/>
      <c r="CK50" s="148"/>
      <c r="CL50" s="149"/>
      <c r="CM50" s="148"/>
      <c r="CN50" s="150"/>
      <c r="CO50" s="151"/>
      <c r="CP50" s="146"/>
      <c r="CQ50" s="146"/>
      <c r="CR50" s="146"/>
      <c r="CS50" s="147"/>
      <c r="CT50" s="148"/>
      <c r="CU50" s="149"/>
      <c r="CV50" s="148"/>
      <c r="CW50" s="150"/>
      <c r="CX50" s="151"/>
      <c r="CY50" s="146"/>
      <c r="CZ50" s="146"/>
      <c r="DA50" s="146"/>
      <c r="DB50" s="147"/>
      <c r="DC50" s="148"/>
      <c r="DD50" s="149"/>
      <c r="DE50" s="148"/>
      <c r="DF50" s="150"/>
      <c r="DG50" s="151"/>
      <c r="DH50" s="146"/>
      <c r="DI50" s="146"/>
      <c r="DJ50" s="146"/>
      <c r="DK50" s="147"/>
      <c r="DL50" s="148"/>
      <c r="DM50" s="149"/>
      <c r="DN50" s="148"/>
      <c r="DO50" s="150"/>
      <c r="DP50" s="151"/>
      <c r="DQ50" s="146"/>
      <c r="DR50" s="146"/>
      <c r="DS50" s="146"/>
      <c r="DT50" s="147"/>
      <c r="DU50" s="148"/>
      <c r="DV50" s="149"/>
      <c r="DW50" s="148"/>
      <c r="DX50" s="150"/>
      <c r="DY50" s="151"/>
      <c r="DZ50" s="146"/>
      <c r="EA50" s="146"/>
      <c r="EB50" s="146"/>
      <c r="EC50" s="147"/>
      <c r="ED50" s="148"/>
      <c r="EE50" s="149"/>
      <c r="EF50" s="148"/>
      <c r="EG50" s="150"/>
      <c r="EH50" s="151"/>
      <c r="EI50" s="146"/>
      <c r="EJ50" s="146"/>
      <c r="EK50" s="146"/>
      <c r="EL50" s="147"/>
      <c r="EM50" s="148"/>
      <c r="EN50" s="149"/>
      <c r="EO50" s="148"/>
      <c r="EP50" s="150"/>
      <c r="EQ50" s="151"/>
      <c r="ER50" s="146"/>
      <c r="ES50" s="146"/>
      <c r="ET50" s="146"/>
      <c r="EU50" s="147"/>
      <c r="EV50" s="148"/>
      <c r="EW50" s="149"/>
      <c r="EX50" s="148"/>
      <c r="EY50" s="150"/>
      <c r="EZ50" s="151"/>
      <c r="FA50" s="146"/>
      <c r="FB50" s="146"/>
      <c r="FC50" s="146"/>
      <c r="FD50" s="147"/>
      <c r="FE50" s="148"/>
      <c r="FF50" s="149"/>
      <c r="FG50" s="148"/>
      <c r="FH50" s="150"/>
      <c r="FI50" s="151"/>
      <c r="FJ50" s="146"/>
      <c r="FK50" s="146"/>
      <c r="FL50" s="146"/>
      <c r="FM50" s="147"/>
      <c r="FN50" s="148"/>
      <c r="FO50" s="149"/>
      <c r="FP50" s="148"/>
      <c r="FQ50" s="150"/>
      <c r="FR50" s="151"/>
      <c r="FS50" s="146"/>
      <c r="FT50" s="146"/>
      <c r="FU50" s="146"/>
      <c r="FV50" s="147"/>
      <c r="FW50" s="148"/>
      <c r="FX50" s="149"/>
      <c r="FY50" s="148"/>
      <c r="FZ50" s="150"/>
      <c r="GA50" s="151"/>
      <c r="GB50" s="146"/>
      <c r="GC50" s="146"/>
      <c r="GD50" s="146"/>
      <c r="GE50" s="147"/>
      <c r="GF50" s="148"/>
      <c r="GG50" s="149"/>
      <c r="GH50" s="148"/>
      <c r="GI50" s="150"/>
      <c r="GJ50" s="151"/>
      <c r="GK50" s="146"/>
      <c r="GL50" s="146"/>
      <c r="GM50" s="146"/>
      <c r="GN50" s="147"/>
      <c r="GO50" s="148"/>
      <c r="GP50" s="149"/>
      <c r="GQ50" s="148"/>
      <c r="GR50" s="150"/>
      <c r="GS50" s="151"/>
      <c r="GT50" s="152"/>
      <c r="GU50" s="98"/>
      <c r="GV50" s="130"/>
      <c r="GW50" s="74"/>
      <c r="GX50" s="132"/>
      <c r="GY50" s="167"/>
      <c r="GZ50" s="86"/>
    </row>
    <row r="51" spans="1:208" x14ac:dyDescent="0.25">
      <c r="A51"/>
      <c r="D51" s="35"/>
      <c r="E51" s="36"/>
      <c r="F51" s="37"/>
      <c r="G51" s="38"/>
      <c r="H51" s="39"/>
      <c r="I51" s="40"/>
      <c r="J51" s="68"/>
      <c r="K51" s="407"/>
      <c r="L51" s="70"/>
      <c r="M51" s="71"/>
      <c r="N51" s="56"/>
      <c r="O51" s="72"/>
      <c r="P51" s="113">
        <f t="shared" si="2"/>
        <v>0</v>
      </c>
      <c r="Q51" s="117"/>
      <c r="R51" s="117"/>
      <c r="S51" s="117"/>
      <c r="T51" s="39">
        <f t="shared" si="3"/>
        <v>0</v>
      </c>
      <c r="U51" s="115"/>
      <c r="V51" s="112"/>
      <c r="W51" s="377"/>
      <c r="X51" s="146"/>
      <c r="Y51" s="147"/>
      <c r="Z51" s="148"/>
      <c r="AA51" s="149"/>
      <c r="AB51" s="148"/>
      <c r="AC51" s="150"/>
      <c r="AD51" s="151"/>
      <c r="AE51" s="146"/>
      <c r="AF51" s="146"/>
      <c r="AG51" s="146"/>
      <c r="AH51" s="147"/>
      <c r="AI51" s="148"/>
      <c r="AJ51" s="149"/>
      <c r="AK51" s="148"/>
      <c r="AL51" s="150"/>
      <c r="AM51" s="151"/>
      <c r="AN51" s="146"/>
      <c r="AO51" s="146"/>
      <c r="AP51" s="146"/>
      <c r="AQ51" s="147"/>
      <c r="AR51" s="148"/>
      <c r="AS51" s="149"/>
      <c r="AT51" s="148"/>
      <c r="AU51" s="150"/>
      <c r="AV51" s="151"/>
      <c r="AW51" s="146"/>
      <c r="AX51" s="146"/>
      <c r="AY51" s="146"/>
      <c r="AZ51" s="147"/>
      <c r="BA51" s="148"/>
      <c r="BB51" s="149"/>
      <c r="BC51" s="148"/>
      <c r="BD51" s="150"/>
      <c r="BE51" s="151"/>
      <c r="BF51" s="146"/>
      <c r="BG51" s="146"/>
      <c r="BH51" s="146"/>
      <c r="BI51" s="147"/>
      <c r="BJ51" s="148"/>
      <c r="BK51" s="149"/>
      <c r="BL51" s="148"/>
      <c r="BM51" s="150"/>
      <c r="BN51" s="151"/>
      <c r="BO51" s="146"/>
      <c r="BP51" s="146"/>
      <c r="BQ51" s="146"/>
      <c r="BR51" s="147"/>
      <c r="BS51" s="148"/>
      <c r="BT51" s="149"/>
      <c r="BU51" s="148"/>
      <c r="BV51" s="150"/>
      <c r="BW51" s="151"/>
      <c r="BX51" s="146"/>
      <c r="BY51" s="146"/>
      <c r="BZ51" s="146"/>
      <c r="CA51" s="147"/>
      <c r="CB51" s="148"/>
      <c r="CC51" s="149"/>
      <c r="CD51" s="148"/>
      <c r="CE51" s="150"/>
      <c r="CF51" s="151"/>
      <c r="CG51" s="146"/>
      <c r="CH51" s="146"/>
      <c r="CI51" s="146"/>
      <c r="CJ51" s="147"/>
      <c r="CK51" s="148"/>
      <c r="CL51" s="149"/>
      <c r="CM51" s="148"/>
      <c r="CN51" s="150"/>
      <c r="CO51" s="151"/>
      <c r="CP51" s="146"/>
      <c r="CQ51" s="146"/>
      <c r="CR51" s="146"/>
      <c r="CS51" s="147"/>
      <c r="CT51" s="148"/>
      <c r="CU51" s="149"/>
      <c r="CV51" s="148"/>
      <c r="CW51" s="150"/>
      <c r="CX51" s="151"/>
      <c r="CY51" s="146"/>
      <c r="CZ51" s="146"/>
      <c r="DA51" s="146"/>
      <c r="DB51" s="147"/>
      <c r="DC51" s="148"/>
      <c r="DD51" s="149"/>
      <c r="DE51" s="148"/>
      <c r="DF51" s="150"/>
      <c r="DG51" s="151"/>
      <c r="DH51" s="146"/>
      <c r="DI51" s="146"/>
      <c r="DJ51" s="146"/>
      <c r="DK51" s="147"/>
      <c r="DL51" s="148"/>
      <c r="DM51" s="149"/>
      <c r="DN51" s="148"/>
      <c r="DO51" s="150"/>
      <c r="DP51" s="151"/>
      <c r="DQ51" s="146"/>
      <c r="DR51" s="146"/>
      <c r="DS51" s="146"/>
      <c r="DT51" s="147"/>
      <c r="DU51" s="148"/>
      <c r="DV51" s="149"/>
      <c r="DW51" s="148"/>
      <c r="DX51" s="150"/>
      <c r="DY51" s="151"/>
      <c r="DZ51" s="146"/>
      <c r="EA51" s="146"/>
      <c r="EB51" s="146"/>
      <c r="EC51" s="147"/>
      <c r="ED51" s="148"/>
      <c r="EE51" s="149"/>
      <c r="EF51" s="148"/>
      <c r="EG51" s="150"/>
      <c r="EH51" s="151"/>
      <c r="EI51" s="146"/>
      <c r="EJ51" s="146"/>
      <c r="EK51" s="146"/>
      <c r="EL51" s="147"/>
      <c r="EM51" s="148"/>
      <c r="EN51" s="149"/>
      <c r="EO51" s="148"/>
      <c r="EP51" s="150"/>
      <c r="EQ51" s="151"/>
      <c r="ER51" s="146"/>
      <c r="ES51" s="146"/>
      <c r="ET51" s="146"/>
      <c r="EU51" s="147"/>
      <c r="EV51" s="148"/>
      <c r="EW51" s="149"/>
      <c r="EX51" s="148"/>
      <c r="EY51" s="150"/>
      <c r="EZ51" s="151"/>
      <c r="FA51" s="146"/>
      <c r="FB51" s="146"/>
      <c r="FC51" s="146"/>
      <c r="FD51" s="147"/>
      <c r="FE51" s="148"/>
      <c r="FF51" s="149"/>
      <c r="FG51" s="148"/>
      <c r="FH51" s="150"/>
      <c r="FI51" s="151"/>
      <c r="FJ51" s="146"/>
      <c r="FK51" s="146"/>
      <c r="FL51" s="146"/>
      <c r="FM51" s="147"/>
      <c r="FN51" s="148"/>
      <c r="FO51" s="149"/>
      <c r="FP51" s="148"/>
      <c r="FQ51" s="150"/>
      <c r="FR51" s="151"/>
      <c r="FS51" s="146"/>
      <c r="FT51" s="146"/>
      <c r="FU51" s="146"/>
      <c r="FV51" s="147"/>
      <c r="FW51" s="148"/>
      <c r="FX51" s="149"/>
      <c r="FY51" s="148"/>
      <c r="FZ51" s="150"/>
      <c r="GA51" s="151"/>
      <c r="GB51" s="146"/>
      <c r="GC51" s="146"/>
      <c r="GD51" s="146"/>
      <c r="GE51" s="147"/>
      <c r="GF51" s="148"/>
      <c r="GG51" s="149"/>
      <c r="GH51" s="148"/>
      <c r="GI51" s="150"/>
      <c r="GJ51" s="151"/>
      <c r="GK51" s="146"/>
      <c r="GL51" s="146"/>
      <c r="GM51" s="146"/>
      <c r="GN51" s="147"/>
      <c r="GO51" s="148"/>
      <c r="GP51" s="149"/>
      <c r="GQ51" s="148"/>
      <c r="GR51" s="150"/>
      <c r="GS51" s="151"/>
      <c r="GT51" s="152"/>
      <c r="GU51" s="98"/>
      <c r="GV51" s="130"/>
      <c r="GW51" s="74"/>
      <c r="GX51" s="132"/>
      <c r="GY51" s="167"/>
      <c r="GZ51" s="86"/>
    </row>
    <row r="52" spans="1:208" x14ac:dyDescent="0.25">
      <c r="A52"/>
      <c r="D52" s="35"/>
      <c r="E52" s="36"/>
      <c r="F52" s="37"/>
      <c r="G52" s="38"/>
      <c r="H52" s="39"/>
      <c r="I52" s="40"/>
      <c r="J52" s="76"/>
      <c r="K52" s="407"/>
      <c r="L52" s="70"/>
      <c r="M52" s="71"/>
      <c r="N52" s="119"/>
      <c r="O52" s="72"/>
      <c r="P52" s="113">
        <f t="shared" si="2"/>
        <v>0</v>
      </c>
      <c r="Q52" s="117"/>
      <c r="R52" s="117"/>
      <c r="S52" s="117"/>
      <c r="T52" s="39">
        <f t="shared" si="3"/>
        <v>0</v>
      </c>
      <c r="U52" s="375"/>
      <c r="V52" s="144"/>
      <c r="W52" s="377"/>
      <c r="X52" s="146"/>
      <c r="Y52" s="147"/>
      <c r="Z52" s="148"/>
      <c r="AA52" s="149"/>
      <c r="AB52" s="148"/>
      <c r="AC52" s="150"/>
      <c r="AD52" s="151"/>
      <c r="AE52" s="146"/>
      <c r="AF52" s="146"/>
      <c r="AG52" s="146"/>
      <c r="AH52" s="147"/>
      <c r="AI52" s="148"/>
      <c r="AJ52" s="149"/>
      <c r="AK52" s="148"/>
      <c r="AL52" s="150"/>
      <c r="AM52" s="151"/>
      <c r="AN52" s="146"/>
      <c r="AO52" s="146"/>
      <c r="AP52" s="146"/>
      <c r="AQ52" s="147"/>
      <c r="AR52" s="148"/>
      <c r="AS52" s="149"/>
      <c r="AT52" s="148"/>
      <c r="AU52" s="150"/>
      <c r="AV52" s="151"/>
      <c r="AW52" s="146"/>
      <c r="AX52" s="146"/>
      <c r="AY52" s="146"/>
      <c r="AZ52" s="147"/>
      <c r="BA52" s="148"/>
      <c r="BB52" s="149"/>
      <c r="BC52" s="148"/>
      <c r="BD52" s="150"/>
      <c r="BE52" s="151"/>
      <c r="BF52" s="146"/>
      <c r="BG52" s="146"/>
      <c r="BH52" s="146"/>
      <c r="BI52" s="147"/>
      <c r="BJ52" s="148"/>
      <c r="BK52" s="149"/>
      <c r="BL52" s="148"/>
      <c r="BM52" s="150"/>
      <c r="BN52" s="151"/>
      <c r="BO52" s="146"/>
      <c r="BP52" s="146"/>
      <c r="BQ52" s="146"/>
      <c r="BR52" s="147"/>
      <c r="BS52" s="148"/>
      <c r="BT52" s="149"/>
      <c r="BU52" s="148"/>
      <c r="BV52" s="150"/>
      <c r="BW52" s="151"/>
      <c r="BX52" s="146"/>
      <c r="BY52" s="146"/>
      <c r="BZ52" s="146"/>
      <c r="CA52" s="147"/>
      <c r="CB52" s="148"/>
      <c r="CC52" s="149"/>
      <c r="CD52" s="148"/>
      <c r="CE52" s="150"/>
      <c r="CF52" s="151"/>
      <c r="CG52" s="146"/>
      <c r="CH52" s="146"/>
      <c r="CI52" s="146"/>
      <c r="CJ52" s="147"/>
      <c r="CK52" s="148"/>
      <c r="CL52" s="149"/>
      <c r="CM52" s="148"/>
      <c r="CN52" s="150"/>
      <c r="CO52" s="151"/>
      <c r="CP52" s="146"/>
      <c r="CQ52" s="146"/>
      <c r="CR52" s="146"/>
      <c r="CS52" s="147"/>
      <c r="CT52" s="148"/>
      <c r="CU52" s="149"/>
      <c r="CV52" s="148"/>
      <c r="CW52" s="150"/>
      <c r="CX52" s="151"/>
      <c r="CY52" s="146"/>
      <c r="CZ52" s="146"/>
      <c r="DA52" s="146"/>
      <c r="DB52" s="147"/>
      <c r="DC52" s="148"/>
      <c r="DD52" s="149"/>
      <c r="DE52" s="148"/>
      <c r="DF52" s="150"/>
      <c r="DG52" s="151"/>
      <c r="DH52" s="146"/>
      <c r="DI52" s="146"/>
      <c r="DJ52" s="146"/>
      <c r="DK52" s="147"/>
      <c r="DL52" s="148"/>
      <c r="DM52" s="149"/>
      <c r="DN52" s="148"/>
      <c r="DO52" s="150"/>
      <c r="DP52" s="151"/>
      <c r="DQ52" s="146"/>
      <c r="DR52" s="146"/>
      <c r="DS52" s="146"/>
      <c r="DT52" s="147"/>
      <c r="DU52" s="148"/>
      <c r="DV52" s="149"/>
      <c r="DW52" s="148"/>
      <c r="DX52" s="150"/>
      <c r="DY52" s="151"/>
      <c r="DZ52" s="146"/>
      <c r="EA52" s="146"/>
      <c r="EB52" s="146"/>
      <c r="EC52" s="147"/>
      <c r="ED52" s="148"/>
      <c r="EE52" s="149"/>
      <c r="EF52" s="148"/>
      <c r="EG52" s="150"/>
      <c r="EH52" s="151"/>
      <c r="EI52" s="146"/>
      <c r="EJ52" s="146"/>
      <c r="EK52" s="146"/>
      <c r="EL52" s="147"/>
      <c r="EM52" s="148"/>
      <c r="EN52" s="149"/>
      <c r="EO52" s="148"/>
      <c r="EP52" s="150"/>
      <c r="EQ52" s="151"/>
      <c r="ER52" s="146"/>
      <c r="ES52" s="146"/>
      <c r="ET52" s="146"/>
      <c r="EU52" s="147"/>
      <c r="EV52" s="148"/>
      <c r="EW52" s="149"/>
      <c r="EX52" s="148"/>
      <c r="EY52" s="150"/>
      <c r="EZ52" s="151"/>
      <c r="FA52" s="146"/>
      <c r="FB52" s="146"/>
      <c r="FC52" s="146"/>
      <c r="FD52" s="147"/>
      <c r="FE52" s="148"/>
      <c r="FF52" s="149"/>
      <c r="FG52" s="148"/>
      <c r="FH52" s="150"/>
      <c r="FI52" s="151"/>
      <c r="FJ52" s="146"/>
      <c r="FK52" s="146"/>
      <c r="FL52" s="146"/>
      <c r="FM52" s="147"/>
      <c r="FN52" s="148"/>
      <c r="FO52" s="149"/>
      <c r="FP52" s="148"/>
      <c r="FQ52" s="150"/>
      <c r="FR52" s="151"/>
      <c r="FS52" s="146"/>
      <c r="FT52" s="146"/>
      <c r="FU52" s="146"/>
      <c r="FV52" s="147"/>
      <c r="FW52" s="148"/>
      <c r="FX52" s="149"/>
      <c r="FY52" s="148"/>
      <c r="FZ52" s="150"/>
      <c r="GA52" s="151"/>
      <c r="GB52" s="146"/>
      <c r="GC52" s="146"/>
      <c r="GD52" s="146"/>
      <c r="GE52" s="147"/>
      <c r="GF52" s="148"/>
      <c r="GG52" s="149"/>
      <c r="GH52" s="148"/>
      <c r="GI52" s="150"/>
      <c r="GJ52" s="151"/>
      <c r="GK52" s="146"/>
      <c r="GL52" s="146"/>
      <c r="GM52" s="146"/>
      <c r="GN52" s="147"/>
      <c r="GO52" s="148"/>
      <c r="GP52" s="149"/>
      <c r="GQ52" s="148"/>
      <c r="GR52" s="150"/>
      <c r="GS52" s="151"/>
      <c r="GT52" s="378"/>
      <c r="GU52" s="98"/>
      <c r="GV52" s="130"/>
      <c r="GW52" s="74"/>
      <c r="GX52" s="74"/>
      <c r="GY52" s="167"/>
      <c r="GZ52" s="86"/>
    </row>
    <row r="53" spans="1:208" x14ac:dyDescent="0.25">
      <c r="A53"/>
      <c r="D53" s="35"/>
      <c r="E53" s="36"/>
      <c r="F53" s="37"/>
      <c r="G53" s="38"/>
      <c r="H53" s="39"/>
      <c r="I53" s="40"/>
      <c r="J53" s="76"/>
      <c r="K53" s="451"/>
      <c r="L53" s="70"/>
      <c r="M53" s="71"/>
      <c r="N53" s="119"/>
      <c r="O53" s="72"/>
      <c r="P53" s="113">
        <f t="shared" si="2"/>
        <v>0</v>
      </c>
      <c r="Q53" s="117"/>
      <c r="R53" s="117"/>
      <c r="S53" s="117"/>
      <c r="T53" s="39">
        <f t="shared" si="3"/>
        <v>0</v>
      </c>
      <c r="U53" s="375"/>
      <c r="V53" s="144"/>
      <c r="W53" s="377"/>
      <c r="X53" s="146"/>
      <c r="Y53" s="147"/>
      <c r="Z53" s="148"/>
      <c r="AA53" s="149"/>
      <c r="AB53" s="148"/>
      <c r="AC53" s="150"/>
      <c r="AD53" s="151"/>
      <c r="AE53" s="146"/>
      <c r="AF53" s="146"/>
      <c r="AG53" s="146"/>
      <c r="AH53" s="147"/>
      <c r="AI53" s="148"/>
      <c r="AJ53" s="149"/>
      <c r="AK53" s="148"/>
      <c r="AL53" s="150"/>
      <c r="AM53" s="151"/>
      <c r="AN53" s="146"/>
      <c r="AO53" s="146"/>
      <c r="AP53" s="146"/>
      <c r="AQ53" s="147"/>
      <c r="AR53" s="148"/>
      <c r="AS53" s="149"/>
      <c r="AT53" s="148"/>
      <c r="AU53" s="150"/>
      <c r="AV53" s="151"/>
      <c r="AW53" s="146"/>
      <c r="AX53" s="146"/>
      <c r="AY53" s="146"/>
      <c r="AZ53" s="147"/>
      <c r="BA53" s="148"/>
      <c r="BB53" s="149"/>
      <c r="BC53" s="148"/>
      <c r="BD53" s="150"/>
      <c r="BE53" s="151"/>
      <c r="BF53" s="146"/>
      <c r="BG53" s="146"/>
      <c r="BH53" s="146"/>
      <c r="BI53" s="147"/>
      <c r="BJ53" s="148"/>
      <c r="BK53" s="149"/>
      <c r="BL53" s="148"/>
      <c r="BM53" s="150"/>
      <c r="BN53" s="151"/>
      <c r="BO53" s="146"/>
      <c r="BP53" s="146"/>
      <c r="BQ53" s="146"/>
      <c r="BR53" s="147"/>
      <c r="BS53" s="148"/>
      <c r="BT53" s="149"/>
      <c r="BU53" s="148"/>
      <c r="BV53" s="150"/>
      <c r="BW53" s="151"/>
      <c r="BX53" s="146"/>
      <c r="BY53" s="146"/>
      <c r="BZ53" s="146"/>
      <c r="CA53" s="147"/>
      <c r="CB53" s="148"/>
      <c r="CC53" s="149"/>
      <c r="CD53" s="148"/>
      <c r="CE53" s="150"/>
      <c r="CF53" s="151"/>
      <c r="CG53" s="146"/>
      <c r="CH53" s="146"/>
      <c r="CI53" s="146"/>
      <c r="CJ53" s="147"/>
      <c r="CK53" s="148"/>
      <c r="CL53" s="149"/>
      <c r="CM53" s="148"/>
      <c r="CN53" s="150"/>
      <c r="CO53" s="151"/>
      <c r="CP53" s="146"/>
      <c r="CQ53" s="146"/>
      <c r="CR53" s="146"/>
      <c r="CS53" s="147"/>
      <c r="CT53" s="148"/>
      <c r="CU53" s="149"/>
      <c r="CV53" s="148"/>
      <c r="CW53" s="150"/>
      <c r="CX53" s="151"/>
      <c r="CY53" s="146"/>
      <c r="CZ53" s="146"/>
      <c r="DA53" s="146"/>
      <c r="DB53" s="147"/>
      <c r="DC53" s="148"/>
      <c r="DD53" s="149"/>
      <c r="DE53" s="148"/>
      <c r="DF53" s="150"/>
      <c r="DG53" s="151"/>
      <c r="DH53" s="146"/>
      <c r="DI53" s="146"/>
      <c r="DJ53" s="146"/>
      <c r="DK53" s="147"/>
      <c r="DL53" s="148"/>
      <c r="DM53" s="149"/>
      <c r="DN53" s="148"/>
      <c r="DO53" s="150"/>
      <c r="DP53" s="151"/>
      <c r="DQ53" s="146"/>
      <c r="DR53" s="146"/>
      <c r="DS53" s="146"/>
      <c r="DT53" s="147"/>
      <c r="DU53" s="148"/>
      <c r="DV53" s="149"/>
      <c r="DW53" s="148"/>
      <c r="DX53" s="150"/>
      <c r="DY53" s="151"/>
      <c r="DZ53" s="146"/>
      <c r="EA53" s="146"/>
      <c r="EB53" s="146"/>
      <c r="EC53" s="147"/>
      <c r="ED53" s="148"/>
      <c r="EE53" s="149"/>
      <c r="EF53" s="148"/>
      <c r="EG53" s="150"/>
      <c r="EH53" s="151"/>
      <c r="EI53" s="146"/>
      <c r="EJ53" s="146"/>
      <c r="EK53" s="146"/>
      <c r="EL53" s="147"/>
      <c r="EM53" s="148"/>
      <c r="EN53" s="149"/>
      <c r="EO53" s="148"/>
      <c r="EP53" s="150"/>
      <c r="EQ53" s="151"/>
      <c r="ER53" s="146"/>
      <c r="ES53" s="146"/>
      <c r="ET53" s="146"/>
      <c r="EU53" s="147"/>
      <c r="EV53" s="148"/>
      <c r="EW53" s="149"/>
      <c r="EX53" s="148"/>
      <c r="EY53" s="150"/>
      <c r="EZ53" s="151"/>
      <c r="FA53" s="146"/>
      <c r="FB53" s="146"/>
      <c r="FC53" s="146"/>
      <c r="FD53" s="147"/>
      <c r="FE53" s="148"/>
      <c r="FF53" s="149"/>
      <c r="FG53" s="148"/>
      <c r="FH53" s="150"/>
      <c r="FI53" s="151"/>
      <c r="FJ53" s="146"/>
      <c r="FK53" s="146"/>
      <c r="FL53" s="146"/>
      <c r="FM53" s="147"/>
      <c r="FN53" s="148"/>
      <c r="FO53" s="149"/>
      <c r="FP53" s="148"/>
      <c r="FQ53" s="150"/>
      <c r="FR53" s="151"/>
      <c r="FS53" s="146"/>
      <c r="FT53" s="146"/>
      <c r="FU53" s="146"/>
      <c r="FV53" s="147"/>
      <c r="FW53" s="148"/>
      <c r="FX53" s="149"/>
      <c r="FY53" s="148"/>
      <c r="FZ53" s="150"/>
      <c r="GA53" s="151"/>
      <c r="GB53" s="146"/>
      <c r="GC53" s="146"/>
      <c r="GD53" s="146"/>
      <c r="GE53" s="147"/>
      <c r="GF53" s="148"/>
      <c r="GG53" s="149"/>
      <c r="GH53" s="148"/>
      <c r="GI53" s="150"/>
      <c r="GJ53" s="151"/>
      <c r="GK53" s="146"/>
      <c r="GL53" s="146"/>
      <c r="GM53" s="146"/>
      <c r="GN53" s="147"/>
      <c r="GO53" s="148"/>
      <c r="GP53" s="149"/>
      <c r="GQ53" s="148"/>
      <c r="GR53" s="150"/>
      <c r="GS53" s="151"/>
      <c r="GT53" s="378"/>
      <c r="GU53" s="98"/>
      <c r="GV53" s="133"/>
      <c r="GW53" s="134"/>
      <c r="GX53" s="134"/>
      <c r="GY53" s="167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407"/>
      <c r="L54" s="70"/>
      <c r="M54" s="71"/>
      <c r="N54" s="119"/>
      <c r="O54" s="72"/>
      <c r="P54" s="113">
        <f t="shared" si="2"/>
        <v>0</v>
      </c>
      <c r="Q54" s="117"/>
      <c r="R54" s="117"/>
      <c r="S54" s="117"/>
      <c r="T54" s="39">
        <f t="shared" si="3"/>
        <v>0</v>
      </c>
      <c r="U54" s="115"/>
      <c r="V54" s="112"/>
      <c r="W54" s="118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122"/>
      <c r="GU54" s="98"/>
      <c r="GV54" s="133"/>
      <c r="GW54" s="134"/>
      <c r="GX54" s="134"/>
      <c r="GY54" s="167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407"/>
      <c r="L55" s="70"/>
      <c r="M55" s="71"/>
      <c r="N55" s="56"/>
      <c r="O55" s="72"/>
      <c r="P55" s="113">
        <f t="shared" si="2"/>
        <v>0</v>
      </c>
      <c r="Q55" s="117"/>
      <c r="R55" s="117"/>
      <c r="S55" s="117"/>
      <c r="T55" s="39">
        <f t="shared" ref="T55" si="4">Q55*O55</f>
        <v>0</v>
      </c>
      <c r="U55" s="115"/>
      <c r="V55" s="112"/>
      <c r="W55" s="118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122"/>
      <c r="GU55" s="98"/>
      <c r="GV55" s="135"/>
      <c r="GW55" s="134"/>
      <c r="GX55" s="136"/>
      <c r="GY55" s="167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68"/>
      <c r="K56" s="407"/>
      <c r="L56" s="70"/>
      <c r="M56" s="71"/>
      <c r="N56" s="56"/>
      <c r="O56" s="72"/>
      <c r="P56" s="113">
        <f t="shared" si="2"/>
        <v>0</v>
      </c>
      <c r="Q56" s="64"/>
      <c r="R56" s="117"/>
      <c r="S56" s="117"/>
      <c r="T56" s="39">
        <f>Q56*O56</f>
        <v>0</v>
      </c>
      <c r="U56" s="115"/>
      <c r="V56" s="83"/>
      <c r="W56" s="118"/>
      <c r="X56" s="17"/>
      <c r="Y56" s="20"/>
      <c r="Z56" s="92"/>
      <c r="AA56" s="93"/>
      <c r="AB56" s="92"/>
      <c r="AC56" s="94"/>
      <c r="AD56" s="95"/>
      <c r="AE56" s="17"/>
      <c r="AF56" s="17"/>
      <c r="AG56" s="17"/>
      <c r="AH56" s="20"/>
      <c r="AI56" s="92"/>
      <c r="AJ56" s="93"/>
      <c r="AK56" s="92"/>
      <c r="AL56" s="94"/>
      <c r="AM56" s="95"/>
      <c r="AN56" s="17"/>
      <c r="AO56" s="17"/>
      <c r="AP56" s="17"/>
      <c r="AQ56" s="20"/>
      <c r="AR56" s="92"/>
      <c r="AS56" s="93"/>
      <c r="AT56" s="92"/>
      <c r="AU56" s="94"/>
      <c r="AV56" s="95"/>
      <c r="AW56" s="17"/>
      <c r="AX56" s="17"/>
      <c r="AY56" s="17"/>
      <c r="AZ56" s="20"/>
      <c r="BA56" s="92"/>
      <c r="BB56" s="93"/>
      <c r="BC56" s="92"/>
      <c r="BD56" s="94"/>
      <c r="BE56" s="95"/>
      <c r="BF56" s="17"/>
      <c r="BG56" s="17"/>
      <c r="BH56" s="17"/>
      <c r="BI56" s="20"/>
      <c r="BJ56" s="92"/>
      <c r="BK56" s="93"/>
      <c r="BL56" s="92"/>
      <c r="BM56" s="94"/>
      <c r="BN56" s="95"/>
      <c r="BO56" s="17"/>
      <c r="BP56" s="17"/>
      <c r="BQ56" s="17"/>
      <c r="BR56" s="20"/>
      <c r="BS56" s="92"/>
      <c r="BT56" s="93"/>
      <c r="BU56" s="92"/>
      <c r="BV56" s="94"/>
      <c r="BW56" s="95"/>
      <c r="BX56" s="17"/>
      <c r="BY56" s="17"/>
      <c r="BZ56" s="17"/>
      <c r="CA56" s="20"/>
      <c r="CB56" s="92"/>
      <c r="CC56" s="93"/>
      <c r="CD56" s="92"/>
      <c r="CE56" s="94"/>
      <c r="CF56" s="95"/>
      <c r="CG56" s="17"/>
      <c r="CH56" s="17"/>
      <c r="CI56" s="17"/>
      <c r="CJ56" s="20"/>
      <c r="CK56" s="92"/>
      <c r="CL56" s="93"/>
      <c r="CM56" s="92"/>
      <c r="CN56" s="94"/>
      <c r="CO56" s="95"/>
      <c r="CP56" s="17"/>
      <c r="CQ56" s="17"/>
      <c r="CR56" s="17"/>
      <c r="CS56" s="20"/>
      <c r="CT56" s="92"/>
      <c r="CU56" s="93"/>
      <c r="CV56" s="92"/>
      <c r="CW56" s="94"/>
      <c r="CX56" s="95"/>
      <c r="CY56" s="17"/>
      <c r="CZ56" s="17"/>
      <c r="DA56" s="17"/>
      <c r="DB56" s="20"/>
      <c r="DC56" s="92"/>
      <c r="DD56" s="93"/>
      <c r="DE56" s="92"/>
      <c r="DF56" s="94"/>
      <c r="DG56" s="95"/>
      <c r="DH56" s="17"/>
      <c r="DI56" s="17"/>
      <c r="DJ56" s="17"/>
      <c r="DK56" s="20"/>
      <c r="DL56" s="92"/>
      <c r="DM56" s="93"/>
      <c r="DN56" s="92"/>
      <c r="DO56" s="94"/>
      <c r="DP56" s="95"/>
      <c r="DQ56" s="17"/>
      <c r="DR56" s="17"/>
      <c r="DS56" s="17"/>
      <c r="DT56" s="20"/>
      <c r="DU56" s="92"/>
      <c r="DV56" s="93"/>
      <c r="DW56" s="92"/>
      <c r="DX56" s="94"/>
      <c r="DY56" s="95"/>
      <c r="DZ56" s="17"/>
      <c r="EA56" s="17"/>
      <c r="EB56" s="17"/>
      <c r="EC56" s="20"/>
      <c r="ED56" s="92"/>
      <c r="EE56" s="93"/>
      <c r="EF56" s="92"/>
      <c r="EG56" s="94"/>
      <c r="EH56" s="95"/>
      <c r="EI56" s="17"/>
      <c r="EJ56" s="17"/>
      <c r="EK56" s="17"/>
      <c r="EL56" s="20"/>
      <c r="EM56" s="92"/>
      <c r="EN56" s="93"/>
      <c r="EO56" s="92"/>
      <c r="EP56" s="94"/>
      <c r="EQ56" s="95"/>
      <c r="ER56" s="17"/>
      <c r="ES56" s="17"/>
      <c r="ET56" s="17"/>
      <c r="EU56" s="20"/>
      <c r="EV56" s="92"/>
      <c r="EW56" s="93"/>
      <c r="EX56" s="92"/>
      <c r="EY56" s="94"/>
      <c r="EZ56" s="95"/>
      <c r="FA56" s="17"/>
      <c r="FB56" s="17"/>
      <c r="FC56" s="17"/>
      <c r="FD56" s="20"/>
      <c r="FE56" s="92"/>
      <c r="FF56" s="93"/>
      <c r="FG56" s="92"/>
      <c r="FH56" s="94"/>
      <c r="FI56" s="95"/>
      <c r="FJ56" s="17"/>
      <c r="FK56" s="17"/>
      <c r="FL56" s="17"/>
      <c r="FM56" s="20"/>
      <c r="FN56" s="92"/>
      <c r="FO56" s="93"/>
      <c r="FP56" s="92"/>
      <c r="FQ56" s="94"/>
      <c r="FR56" s="95"/>
      <c r="FS56" s="17"/>
      <c r="FT56" s="17"/>
      <c r="FU56" s="17"/>
      <c r="FV56" s="20"/>
      <c r="FW56" s="92"/>
      <c r="FX56" s="93"/>
      <c r="FY56" s="92"/>
      <c r="FZ56" s="94"/>
      <c r="GA56" s="95"/>
      <c r="GB56" s="17"/>
      <c r="GC56" s="17"/>
      <c r="GD56" s="17"/>
      <c r="GE56" s="20"/>
      <c r="GF56" s="92"/>
      <c r="GG56" s="93"/>
      <c r="GH56" s="92"/>
      <c r="GI56" s="94"/>
      <c r="GJ56" s="95"/>
      <c r="GK56" s="17"/>
      <c r="GL56" s="17"/>
      <c r="GM56" s="17"/>
      <c r="GN56" s="20"/>
      <c r="GO56" s="92"/>
      <c r="GP56" s="93"/>
      <c r="GQ56" s="92"/>
      <c r="GR56" s="94"/>
      <c r="GS56" s="95"/>
      <c r="GT56" s="137"/>
      <c r="GU56" s="98"/>
      <c r="GV56" s="129"/>
      <c r="GW56" s="74"/>
      <c r="GX56" s="74"/>
      <c r="GY56" s="167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407"/>
      <c r="L57" s="70"/>
      <c r="M57" s="71"/>
      <c r="N57" s="56"/>
      <c r="O57" s="72"/>
      <c r="P57" s="113">
        <f t="shared" si="0"/>
        <v>0</v>
      </c>
      <c r="Q57" s="117"/>
      <c r="R57" s="117"/>
      <c r="S57" s="117"/>
      <c r="T57" s="39">
        <f>Q57*O57</f>
        <v>0</v>
      </c>
      <c r="U57" s="115"/>
      <c r="V57" s="112"/>
      <c r="W57" s="118"/>
      <c r="X57" s="17"/>
      <c r="Y57" s="20"/>
      <c r="Z57" s="92"/>
      <c r="AA57" s="93"/>
      <c r="AB57" s="92"/>
      <c r="AC57" s="94"/>
      <c r="AD57" s="95"/>
      <c r="AE57" s="17"/>
      <c r="AF57" s="17"/>
      <c r="AG57" s="17"/>
      <c r="AH57" s="20"/>
      <c r="AI57" s="92"/>
      <c r="AJ57" s="93"/>
      <c r="AK57" s="92"/>
      <c r="AL57" s="94"/>
      <c r="AM57" s="95"/>
      <c r="AN57" s="17"/>
      <c r="AO57" s="17"/>
      <c r="AP57" s="17"/>
      <c r="AQ57" s="20"/>
      <c r="AR57" s="92"/>
      <c r="AS57" s="93"/>
      <c r="AT57" s="92"/>
      <c r="AU57" s="94"/>
      <c r="AV57" s="95"/>
      <c r="AW57" s="17"/>
      <c r="AX57" s="17"/>
      <c r="AY57" s="17"/>
      <c r="AZ57" s="20"/>
      <c r="BA57" s="92"/>
      <c r="BB57" s="93"/>
      <c r="BC57" s="92"/>
      <c r="BD57" s="94"/>
      <c r="BE57" s="95"/>
      <c r="BF57" s="17"/>
      <c r="BG57" s="17"/>
      <c r="BH57" s="17"/>
      <c r="BI57" s="20"/>
      <c r="BJ57" s="92"/>
      <c r="BK57" s="93"/>
      <c r="BL57" s="92"/>
      <c r="BM57" s="94"/>
      <c r="BN57" s="95"/>
      <c r="BO57" s="17"/>
      <c r="BP57" s="17"/>
      <c r="BQ57" s="17"/>
      <c r="BR57" s="20"/>
      <c r="BS57" s="92"/>
      <c r="BT57" s="93"/>
      <c r="BU57" s="92"/>
      <c r="BV57" s="94"/>
      <c r="BW57" s="95"/>
      <c r="BX57" s="17"/>
      <c r="BY57" s="17"/>
      <c r="BZ57" s="17"/>
      <c r="CA57" s="20"/>
      <c r="CB57" s="92"/>
      <c r="CC57" s="93"/>
      <c r="CD57" s="92"/>
      <c r="CE57" s="94"/>
      <c r="CF57" s="95"/>
      <c r="CG57" s="17"/>
      <c r="CH57" s="17"/>
      <c r="CI57" s="17"/>
      <c r="CJ57" s="20"/>
      <c r="CK57" s="92"/>
      <c r="CL57" s="93"/>
      <c r="CM57" s="92"/>
      <c r="CN57" s="94"/>
      <c r="CO57" s="95"/>
      <c r="CP57" s="17"/>
      <c r="CQ57" s="17"/>
      <c r="CR57" s="17"/>
      <c r="CS57" s="20"/>
      <c r="CT57" s="92"/>
      <c r="CU57" s="93"/>
      <c r="CV57" s="92"/>
      <c r="CW57" s="94"/>
      <c r="CX57" s="95"/>
      <c r="CY57" s="17"/>
      <c r="CZ57" s="17"/>
      <c r="DA57" s="17"/>
      <c r="DB57" s="20"/>
      <c r="DC57" s="92"/>
      <c r="DD57" s="93"/>
      <c r="DE57" s="92"/>
      <c r="DF57" s="94"/>
      <c r="DG57" s="95"/>
      <c r="DH57" s="17"/>
      <c r="DI57" s="17"/>
      <c r="DJ57" s="17"/>
      <c r="DK57" s="20"/>
      <c r="DL57" s="92"/>
      <c r="DM57" s="93"/>
      <c r="DN57" s="92"/>
      <c r="DO57" s="94"/>
      <c r="DP57" s="95"/>
      <c r="DQ57" s="17"/>
      <c r="DR57" s="17"/>
      <c r="DS57" s="17"/>
      <c r="DT57" s="20"/>
      <c r="DU57" s="92"/>
      <c r="DV57" s="93"/>
      <c r="DW57" s="92"/>
      <c r="DX57" s="94"/>
      <c r="DY57" s="95"/>
      <c r="DZ57" s="17"/>
      <c r="EA57" s="17"/>
      <c r="EB57" s="17"/>
      <c r="EC57" s="20"/>
      <c r="ED57" s="92"/>
      <c r="EE57" s="93"/>
      <c r="EF57" s="92"/>
      <c r="EG57" s="94"/>
      <c r="EH57" s="95"/>
      <c r="EI57" s="17"/>
      <c r="EJ57" s="17"/>
      <c r="EK57" s="17"/>
      <c r="EL57" s="20"/>
      <c r="EM57" s="92"/>
      <c r="EN57" s="93"/>
      <c r="EO57" s="92"/>
      <c r="EP57" s="94"/>
      <c r="EQ57" s="95"/>
      <c r="ER57" s="17"/>
      <c r="ES57" s="17"/>
      <c r="ET57" s="17"/>
      <c r="EU57" s="20"/>
      <c r="EV57" s="92"/>
      <c r="EW57" s="93"/>
      <c r="EX57" s="92"/>
      <c r="EY57" s="94"/>
      <c r="EZ57" s="95"/>
      <c r="FA57" s="17"/>
      <c r="FB57" s="17"/>
      <c r="FC57" s="17"/>
      <c r="FD57" s="20"/>
      <c r="FE57" s="92"/>
      <c r="FF57" s="93"/>
      <c r="FG57" s="92"/>
      <c r="FH57" s="94"/>
      <c r="FI57" s="95"/>
      <c r="FJ57" s="17"/>
      <c r="FK57" s="17"/>
      <c r="FL57" s="17"/>
      <c r="FM57" s="20"/>
      <c r="FN57" s="92"/>
      <c r="FO57" s="93"/>
      <c r="FP57" s="92"/>
      <c r="FQ57" s="94"/>
      <c r="FR57" s="95"/>
      <c r="FS57" s="17"/>
      <c r="FT57" s="17"/>
      <c r="FU57" s="17"/>
      <c r="FV57" s="20"/>
      <c r="FW57" s="92"/>
      <c r="FX57" s="93"/>
      <c r="FY57" s="92"/>
      <c r="FZ57" s="94"/>
      <c r="GA57" s="95"/>
      <c r="GB57" s="17"/>
      <c r="GC57" s="17"/>
      <c r="GD57" s="17"/>
      <c r="GE57" s="20"/>
      <c r="GF57" s="92"/>
      <c r="GG57" s="93"/>
      <c r="GH57" s="92"/>
      <c r="GI57" s="94"/>
      <c r="GJ57" s="95"/>
      <c r="GK57" s="17"/>
      <c r="GL57" s="17"/>
      <c r="GM57" s="17"/>
      <c r="GN57" s="20"/>
      <c r="GO57" s="92"/>
      <c r="GP57" s="93"/>
      <c r="GQ57" s="92"/>
      <c r="GR57" s="94"/>
      <c r="GS57" s="95"/>
      <c r="GT57" s="128"/>
      <c r="GU57" s="98"/>
      <c r="GV57" s="129"/>
      <c r="GW57" s="74"/>
      <c r="GX57" s="74"/>
      <c r="GY57" s="167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68"/>
      <c r="K58" s="407"/>
      <c r="L58" s="70"/>
      <c r="M58" s="71"/>
      <c r="N58" s="56"/>
      <c r="O58" s="72"/>
      <c r="P58" s="113">
        <f t="shared" si="0"/>
        <v>0</v>
      </c>
      <c r="Q58" s="117"/>
      <c r="R58" s="117"/>
      <c r="S58" s="117"/>
      <c r="T58" s="39">
        <f>Q58*O58</f>
        <v>0</v>
      </c>
      <c r="U58" s="115"/>
      <c r="V58" s="112"/>
      <c r="W58" s="118"/>
      <c r="X58" s="17"/>
      <c r="Y58" s="20"/>
      <c r="Z58" s="92"/>
      <c r="AA58" s="93"/>
      <c r="AB58" s="92"/>
      <c r="AC58" s="94"/>
      <c r="AD58" s="95"/>
      <c r="AE58" s="17"/>
      <c r="AF58" s="17"/>
      <c r="AG58" s="17"/>
      <c r="AH58" s="20"/>
      <c r="AI58" s="92"/>
      <c r="AJ58" s="93"/>
      <c r="AK58" s="92"/>
      <c r="AL58" s="94"/>
      <c r="AM58" s="95"/>
      <c r="AN58" s="17"/>
      <c r="AO58" s="17"/>
      <c r="AP58" s="17"/>
      <c r="AQ58" s="20"/>
      <c r="AR58" s="92"/>
      <c r="AS58" s="93"/>
      <c r="AT58" s="92"/>
      <c r="AU58" s="94"/>
      <c r="AV58" s="95"/>
      <c r="AW58" s="17"/>
      <c r="AX58" s="17"/>
      <c r="AY58" s="17"/>
      <c r="AZ58" s="20"/>
      <c r="BA58" s="92"/>
      <c r="BB58" s="93"/>
      <c r="BC58" s="92"/>
      <c r="BD58" s="94"/>
      <c r="BE58" s="95"/>
      <c r="BF58" s="17"/>
      <c r="BG58" s="17"/>
      <c r="BH58" s="17"/>
      <c r="BI58" s="20"/>
      <c r="BJ58" s="92"/>
      <c r="BK58" s="93"/>
      <c r="BL58" s="92"/>
      <c r="BM58" s="94"/>
      <c r="BN58" s="95"/>
      <c r="BO58" s="17"/>
      <c r="BP58" s="17"/>
      <c r="BQ58" s="17"/>
      <c r="BR58" s="20"/>
      <c r="BS58" s="92"/>
      <c r="BT58" s="93"/>
      <c r="BU58" s="92"/>
      <c r="BV58" s="94"/>
      <c r="BW58" s="95"/>
      <c r="BX58" s="17"/>
      <c r="BY58" s="17"/>
      <c r="BZ58" s="17"/>
      <c r="CA58" s="20"/>
      <c r="CB58" s="92"/>
      <c r="CC58" s="93"/>
      <c r="CD58" s="92"/>
      <c r="CE58" s="94"/>
      <c r="CF58" s="95"/>
      <c r="CG58" s="17"/>
      <c r="CH58" s="17"/>
      <c r="CI58" s="17"/>
      <c r="CJ58" s="20"/>
      <c r="CK58" s="92"/>
      <c r="CL58" s="93"/>
      <c r="CM58" s="92"/>
      <c r="CN58" s="94"/>
      <c r="CO58" s="95"/>
      <c r="CP58" s="17"/>
      <c r="CQ58" s="17"/>
      <c r="CR58" s="17"/>
      <c r="CS58" s="20"/>
      <c r="CT58" s="92"/>
      <c r="CU58" s="93"/>
      <c r="CV58" s="92"/>
      <c r="CW58" s="94"/>
      <c r="CX58" s="95"/>
      <c r="CY58" s="17"/>
      <c r="CZ58" s="17"/>
      <c r="DA58" s="17"/>
      <c r="DB58" s="20"/>
      <c r="DC58" s="92"/>
      <c r="DD58" s="93"/>
      <c r="DE58" s="92"/>
      <c r="DF58" s="94"/>
      <c r="DG58" s="95"/>
      <c r="DH58" s="17"/>
      <c r="DI58" s="17"/>
      <c r="DJ58" s="17"/>
      <c r="DK58" s="20"/>
      <c r="DL58" s="92"/>
      <c r="DM58" s="93"/>
      <c r="DN58" s="92"/>
      <c r="DO58" s="94"/>
      <c r="DP58" s="95"/>
      <c r="DQ58" s="17"/>
      <c r="DR58" s="17"/>
      <c r="DS58" s="17"/>
      <c r="DT58" s="20"/>
      <c r="DU58" s="92"/>
      <c r="DV58" s="93"/>
      <c r="DW58" s="92"/>
      <c r="DX58" s="94"/>
      <c r="DY58" s="95"/>
      <c r="DZ58" s="17"/>
      <c r="EA58" s="17"/>
      <c r="EB58" s="17"/>
      <c r="EC58" s="20"/>
      <c r="ED58" s="92"/>
      <c r="EE58" s="93"/>
      <c r="EF58" s="92"/>
      <c r="EG58" s="94"/>
      <c r="EH58" s="95"/>
      <c r="EI58" s="17"/>
      <c r="EJ58" s="17"/>
      <c r="EK58" s="17"/>
      <c r="EL58" s="20"/>
      <c r="EM58" s="92"/>
      <c r="EN58" s="93"/>
      <c r="EO58" s="92"/>
      <c r="EP58" s="94"/>
      <c r="EQ58" s="95"/>
      <c r="ER58" s="17"/>
      <c r="ES58" s="17"/>
      <c r="ET58" s="17"/>
      <c r="EU58" s="20"/>
      <c r="EV58" s="92"/>
      <c r="EW58" s="93"/>
      <c r="EX58" s="92"/>
      <c r="EY58" s="94"/>
      <c r="EZ58" s="95"/>
      <c r="FA58" s="17"/>
      <c r="FB58" s="17"/>
      <c r="FC58" s="17"/>
      <c r="FD58" s="20"/>
      <c r="FE58" s="92"/>
      <c r="FF58" s="93"/>
      <c r="FG58" s="92"/>
      <c r="FH58" s="94"/>
      <c r="FI58" s="95"/>
      <c r="FJ58" s="17"/>
      <c r="FK58" s="17"/>
      <c r="FL58" s="17"/>
      <c r="FM58" s="20"/>
      <c r="FN58" s="92"/>
      <c r="FO58" s="93"/>
      <c r="FP58" s="92"/>
      <c r="FQ58" s="94"/>
      <c r="FR58" s="95"/>
      <c r="FS58" s="17"/>
      <c r="FT58" s="17"/>
      <c r="FU58" s="17"/>
      <c r="FV58" s="20"/>
      <c r="FW58" s="92"/>
      <c r="FX58" s="93"/>
      <c r="FY58" s="92"/>
      <c r="FZ58" s="94"/>
      <c r="GA58" s="95"/>
      <c r="GB58" s="17"/>
      <c r="GC58" s="17"/>
      <c r="GD58" s="17"/>
      <c r="GE58" s="20"/>
      <c r="GF58" s="92"/>
      <c r="GG58" s="93"/>
      <c r="GH58" s="92"/>
      <c r="GI58" s="94"/>
      <c r="GJ58" s="95"/>
      <c r="GK58" s="17"/>
      <c r="GL58" s="17"/>
      <c r="GM58" s="17"/>
      <c r="GN58" s="20"/>
      <c r="GO58" s="92"/>
      <c r="GP58" s="93"/>
      <c r="GQ58" s="92"/>
      <c r="GR58" s="94"/>
      <c r="GS58" s="95"/>
      <c r="GT58" s="97"/>
      <c r="GU58" s="98"/>
      <c r="GV58" s="130"/>
      <c r="GW58" s="74"/>
      <c r="GX58" s="74"/>
      <c r="GY58" s="167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407"/>
      <c r="L59" s="70"/>
      <c r="M59" s="71"/>
      <c r="N59" s="56"/>
      <c r="O59" s="72"/>
      <c r="P59" s="113">
        <f t="shared" si="0"/>
        <v>0</v>
      </c>
      <c r="Q59" s="117"/>
      <c r="R59" s="117"/>
      <c r="S59" s="117"/>
      <c r="T59" s="39">
        <f>Q59*O59</f>
        <v>0</v>
      </c>
      <c r="U59" s="138"/>
      <c r="V59" s="139"/>
      <c r="W59" s="121"/>
      <c r="X59" s="17"/>
      <c r="Y59" s="20"/>
      <c r="Z59" s="92"/>
      <c r="AA59" s="93"/>
      <c r="AB59" s="92"/>
      <c r="AC59" s="94"/>
      <c r="AD59" s="95"/>
      <c r="AE59" s="17"/>
      <c r="AF59" s="17"/>
      <c r="AG59" s="17"/>
      <c r="AH59" s="20"/>
      <c r="AI59" s="92"/>
      <c r="AJ59" s="93"/>
      <c r="AK59" s="92"/>
      <c r="AL59" s="94"/>
      <c r="AM59" s="95"/>
      <c r="AN59" s="17"/>
      <c r="AO59" s="17"/>
      <c r="AP59" s="17"/>
      <c r="AQ59" s="20"/>
      <c r="AR59" s="92"/>
      <c r="AS59" s="93"/>
      <c r="AT59" s="92"/>
      <c r="AU59" s="94"/>
      <c r="AV59" s="95"/>
      <c r="AW59" s="17"/>
      <c r="AX59" s="17"/>
      <c r="AY59" s="17"/>
      <c r="AZ59" s="20"/>
      <c r="BA59" s="92"/>
      <c r="BB59" s="93"/>
      <c r="BC59" s="92"/>
      <c r="BD59" s="94"/>
      <c r="BE59" s="95"/>
      <c r="BF59" s="17"/>
      <c r="BG59" s="17"/>
      <c r="BH59" s="17"/>
      <c r="BI59" s="20"/>
      <c r="BJ59" s="92"/>
      <c r="BK59" s="93"/>
      <c r="BL59" s="92"/>
      <c r="BM59" s="94"/>
      <c r="BN59" s="95"/>
      <c r="BO59" s="17"/>
      <c r="BP59" s="17"/>
      <c r="BQ59" s="17"/>
      <c r="BR59" s="20"/>
      <c r="BS59" s="92"/>
      <c r="BT59" s="93"/>
      <c r="BU59" s="92"/>
      <c r="BV59" s="94"/>
      <c r="BW59" s="95"/>
      <c r="BX59" s="17"/>
      <c r="BY59" s="17"/>
      <c r="BZ59" s="17"/>
      <c r="CA59" s="20"/>
      <c r="CB59" s="92"/>
      <c r="CC59" s="93"/>
      <c r="CD59" s="92"/>
      <c r="CE59" s="94"/>
      <c r="CF59" s="95"/>
      <c r="CG59" s="17"/>
      <c r="CH59" s="17"/>
      <c r="CI59" s="17"/>
      <c r="CJ59" s="20"/>
      <c r="CK59" s="92"/>
      <c r="CL59" s="93"/>
      <c r="CM59" s="92"/>
      <c r="CN59" s="94"/>
      <c r="CO59" s="95"/>
      <c r="CP59" s="17"/>
      <c r="CQ59" s="17"/>
      <c r="CR59" s="17"/>
      <c r="CS59" s="20"/>
      <c r="CT59" s="92"/>
      <c r="CU59" s="93"/>
      <c r="CV59" s="92"/>
      <c r="CW59" s="94"/>
      <c r="CX59" s="95"/>
      <c r="CY59" s="17"/>
      <c r="CZ59" s="17"/>
      <c r="DA59" s="17"/>
      <c r="DB59" s="20"/>
      <c r="DC59" s="92"/>
      <c r="DD59" s="93"/>
      <c r="DE59" s="92"/>
      <c r="DF59" s="94"/>
      <c r="DG59" s="95"/>
      <c r="DH59" s="17"/>
      <c r="DI59" s="17"/>
      <c r="DJ59" s="17"/>
      <c r="DK59" s="20"/>
      <c r="DL59" s="92"/>
      <c r="DM59" s="93"/>
      <c r="DN59" s="92"/>
      <c r="DO59" s="94"/>
      <c r="DP59" s="95"/>
      <c r="DQ59" s="17"/>
      <c r="DR59" s="17"/>
      <c r="DS59" s="17"/>
      <c r="DT59" s="20"/>
      <c r="DU59" s="92"/>
      <c r="DV59" s="93"/>
      <c r="DW59" s="92"/>
      <c r="DX59" s="94"/>
      <c r="DY59" s="95"/>
      <c r="DZ59" s="17"/>
      <c r="EA59" s="17"/>
      <c r="EB59" s="17"/>
      <c r="EC59" s="20"/>
      <c r="ED59" s="92"/>
      <c r="EE59" s="93"/>
      <c r="EF59" s="92"/>
      <c r="EG59" s="94"/>
      <c r="EH59" s="95"/>
      <c r="EI59" s="17"/>
      <c r="EJ59" s="17"/>
      <c r="EK59" s="17"/>
      <c r="EL59" s="20"/>
      <c r="EM59" s="92"/>
      <c r="EN59" s="93"/>
      <c r="EO59" s="92"/>
      <c r="EP59" s="94"/>
      <c r="EQ59" s="95"/>
      <c r="ER59" s="17"/>
      <c r="ES59" s="17"/>
      <c r="ET59" s="17"/>
      <c r="EU59" s="20"/>
      <c r="EV59" s="92"/>
      <c r="EW59" s="93"/>
      <c r="EX59" s="92"/>
      <c r="EY59" s="94"/>
      <c r="EZ59" s="95"/>
      <c r="FA59" s="17"/>
      <c r="FB59" s="17"/>
      <c r="FC59" s="17"/>
      <c r="FD59" s="20"/>
      <c r="FE59" s="92"/>
      <c r="FF59" s="93"/>
      <c r="FG59" s="92"/>
      <c r="FH59" s="94"/>
      <c r="FI59" s="95"/>
      <c r="FJ59" s="17"/>
      <c r="FK59" s="17"/>
      <c r="FL59" s="17"/>
      <c r="FM59" s="20"/>
      <c r="FN59" s="92"/>
      <c r="FO59" s="93"/>
      <c r="FP59" s="92"/>
      <c r="FQ59" s="94"/>
      <c r="FR59" s="95"/>
      <c r="FS59" s="17"/>
      <c r="FT59" s="17"/>
      <c r="FU59" s="17"/>
      <c r="FV59" s="20"/>
      <c r="FW59" s="92"/>
      <c r="FX59" s="93"/>
      <c r="FY59" s="92"/>
      <c r="FZ59" s="94"/>
      <c r="GA59" s="95"/>
      <c r="GB59" s="17"/>
      <c r="GC59" s="17"/>
      <c r="GD59" s="17"/>
      <c r="GE59" s="20"/>
      <c r="GF59" s="92"/>
      <c r="GG59" s="93"/>
      <c r="GH59" s="92"/>
      <c r="GI59" s="94"/>
      <c r="GJ59" s="95"/>
      <c r="GK59" s="17"/>
      <c r="GL59" s="17"/>
      <c r="GM59" s="17"/>
      <c r="GN59" s="20"/>
      <c r="GO59" s="92"/>
      <c r="GP59" s="93"/>
      <c r="GQ59" s="92"/>
      <c r="GR59" s="94"/>
      <c r="GS59" s="95"/>
      <c r="GT59" s="97"/>
      <c r="GU59" s="98"/>
      <c r="GV59" s="130"/>
      <c r="GW59" s="74"/>
      <c r="GX59" s="74"/>
      <c r="GY59" s="167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407"/>
      <c r="L60" s="70"/>
      <c r="M60" s="71"/>
      <c r="N60" s="56"/>
      <c r="O60" s="72"/>
      <c r="P60" s="113">
        <f t="shared" si="0"/>
        <v>0</v>
      </c>
      <c r="Q60" s="117"/>
      <c r="R60" s="117"/>
      <c r="S60" s="140"/>
      <c r="T60" s="39">
        <f t="shared" si="1"/>
        <v>0</v>
      </c>
      <c r="U60" s="138"/>
      <c r="V60" s="112"/>
      <c r="W60" s="121"/>
      <c r="X60" s="17"/>
      <c r="Y60" s="20"/>
      <c r="Z60" s="92"/>
      <c r="AA60" s="93"/>
      <c r="AB60" s="92"/>
      <c r="AC60" s="94"/>
      <c r="AD60" s="95"/>
      <c r="AE60" s="17"/>
      <c r="AF60" s="17"/>
      <c r="AG60" s="17"/>
      <c r="AH60" s="20"/>
      <c r="AI60" s="92"/>
      <c r="AJ60" s="93"/>
      <c r="AK60" s="92"/>
      <c r="AL60" s="94"/>
      <c r="AM60" s="95"/>
      <c r="AN60" s="17"/>
      <c r="AO60" s="17"/>
      <c r="AP60" s="17"/>
      <c r="AQ60" s="20"/>
      <c r="AR60" s="92"/>
      <c r="AS60" s="93"/>
      <c r="AT60" s="92"/>
      <c r="AU60" s="94"/>
      <c r="AV60" s="95"/>
      <c r="AW60" s="17"/>
      <c r="AX60" s="17"/>
      <c r="AY60" s="17"/>
      <c r="AZ60" s="20"/>
      <c r="BA60" s="92"/>
      <c r="BB60" s="93"/>
      <c r="BC60" s="92"/>
      <c r="BD60" s="94"/>
      <c r="BE60" s="95"/>
      <c r="BF60" s="17"/>
      <c r="BG60" s="17"/>
      <c r="BH60" s="17"/>
      <c r="BI60" s="20"/>
      <c r="BJ60" s="92"/>
      <c r="BK60" s="93"/>
      <c r="BL60" s="92"/>
      <c r="BM60" s="94"/>
      <c r="BN60" s="95"/>
      <c r="BO60" s="17"/>
      <c r="BP60" s="17"/>
      <c r="BQ60" s="17"/>
      <c r="BR60" s="20"/>
      <c r="BS60" s="92"/>
      <c r="BT60" s="93"/>
      <c r="BU60" s="92"/>
      <c r="BV60" s="94"/>
      <c r="BW60" s="95"/>
      <c r="BX60" s="17"/>
      <c r="BY60" s="17"/>
      <c r="BZ60" s="17"/>
      <c r="CA60" s="20"/>
      <c r="CB60" s="92"/>
      <c r="CC60" s="93"/>
      <c r="CD60" s="92"/>
      <c r="CE60" s="94"/>
      <c r="CF60" s="95"/>
      <c r="CG60" s="17"/>
      <c r="CH60" s="17"/>
      <c r="CI60" s="17"/>
      <c r="CJ60" s="20"/>
      <c r="CK60" s="92"/>
      <c r="CL60" s="93"/>
      <c r="CM60" s="92"/>
      <c r="CN60" s="94"/>
      <c r="CO60" s="95"/>
      <c r="CP60" s="17"/>
      <c r="CQ60" s="17"/>
      <c r="CR60" s="17"/>
      <c r="CS60" s="20"/>
      <c r="CT60" s="92"/>
      <c r="CU60" s="93"/>
      <c r="CV60" s="92"/>
      <c r="CW60" s="94"/>
      <c r="CX60" s="95"/>
      <c r="CY60" s="17"/>
      <c r="CZ60" s="17"/>
      <c r="DA60" s="17"/>
      <c r="DB60" s="20"/>
      <c r="DC60" s="92"/>
      <c r="DD60" s="93"/>
      <c r="DE60" s="92"/>
      <c r="DF60" s="94"/>
      <c r="DG60" s="95"/>
      <c r="DH60" s="17"/>
      <c r="DI60" s="17"/>
      <c r="DJ60" s="17"/>
      <c r="DK60" s="20"/>
      <c r="DL60" s="92"/>
      <c r="DM60" s="93"/>
      <c r="DN60" s="92"/>
      <c r="DO60" s="94"/>
      <c r="DP60" s="95"/>
      <c r="DQ60" s="17"/>
      <c r="DR60" s="17"/>
      <c r="DS60" s="17"/>
      <c r="DT60" s="20"/>
      <c r="DU60" s="92"/>
      <c r="DV60" s="93"/>
      <c r="DW60" s="92"/>
      <c r="DX60" s="94"/>
      <c r="DY60" s="95"/>
      <c r="DZ60" s="17"/>
      <c r="EA60" s="17"/>
      <c r="EB60" s="17"/>
      <c r="EC60" s="20"/>
      <c r="ED60" s="92"/>
      <c r="EE60" s="93"/>
      <c r="EF60" s="92"/>
      <c r="EG60" s="94"/>
      <c r="EH60" s="95"/>
      <c r="EI60" s="17"/>
      <c r="EJ60" s="17"/>
      <c r="EK60" s="17"/>
      <c r="EL60" s="20"/>
      <c r="EM60" s="92"/>
      <c r="EN60" s="93"/>
      <c r="EO60" s="92"/>
      <c r="EP60" s="94"/>
      <c r="EQ60" s="95"/>
      <c r="ER60" s="17"/>
      <c r="ES60" s="17"/>
      <c r="ET60" s="17"/>
      <c r="EU60" s="20"/>
      <c r="EV60" s="92"/>
      <c r="EW60" s="93"/>
      <c r="EX60" s="92"/>
      <c r="EY60" s="94"/>
      <c r="EZ60" s="95"/>
      <c r="FA60" s="17"/>
      <c r="FB60" s="17"/>
      <c r="FC60" s="17"/>
      <c r="FD60" s="20"/>
      <c r="FE60" s="92"/>
      <c r="FF60" s="93"/>
      <c r="FG60" s="92"/>
      <c r="FH60" s="94"/>
      <c r="FI60" s="95"/>
      <c r="FJ60" s="17"/>
      <c r="FK60" s="17"/>
      <c r="FL60" s="17"/>
      <c r="FM60" s="20"/>
      <c r="FN60" s="92"/>
      <c r="FO60" s="93"/>
      <c r="FP60" s="92"/>
      <c r="FQ60" s="94"/>
      <c r="FR60" s="95"/>
      <c r="FS60" s="17"/>
      <c r="FT60" s="17"/>
      <c r="FU60" s="17"/>
      <c r="FV60" s="20"/>
      <c r="FW60" s="92"/>
      <c r="FX60" s="93"/>
      <c r="FY60" s="92"/>
      <c r="FZ60" s="94"/>
      <c r="GA60" s="95"/>
      <c r="GB60" s="17"/>
      <c r="GC60" s="17"/>
      <c r="GD60" s="17"/>
      <c r="GE60" s="20"/>
      <c r="GF60" s="92"/>
      <c r="GG60" s="93"/>
      <c r="GH60" s="92"/>
      <c r="GI60" s="94"/>
      <c r="GJ60" s="95"/>
      <c r="GK60" s="17"/>
      <c r="GL60" s="17"/>
      <c r="GM60" s="17"/>
      <c r="GN60" s="20"/>
      <c r="GO60" s="92"/>
      <c r="GP60" s="93"/>
      <c r="GQ60" s="92"/>
      <c r="GR60" s="94"/>
      <c r="GS60" s="95"/>
      <c r="GT60" s="97"/>
      <c r="GU60" s="98"/>
      <c r="GV60" s="130"/>
      <c r="GW60" s="74"/>
      <c r="GX60" s="74"/>
      <c r="GY60" s="167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68"/>
      <c r="K61" s="407"/>
      <c r="L61" s="70"/>
      <c r="M61" s="71"/>
      <c r="N61" s="56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38"/>
      <c r="V61" s="112"/>
      <c r="W61" s="121"/>
      <c r="X61" s="17"/>
      <c r="Y61" s="20"/>
      <c r="Z61" s="92"/>
      <c r="AA61" s="93"/>
      <c r="AB61" s="92"/>
      <c r="AC61" s="94"/>
      <c r="AD61" s="95"/>
      <c r="AE61" s="17"/>
      <c r="AF61" s="17"/>
      <c r="AG61" s="17"/>
      <c r="AH61" s="20"/>
      <c r="AI61" s="92"/>
      <c r="AJ61" s="93"/>
      <c r="AK61" s="92"/>
      <c r="AL61" s="94"/>
      <c r="AM61" s="95"/>
      <c r="AN61" s="17"/>
      <c r="AO61" s="17"/>
      <c r="AP61" s="17"/>
      <c r="AQ61" s="20"/>
      <c r="AR61" s="92"/>
      <c r="AS61" s="93"/>
      <c r="AT61" s="92"/>
      <c r="AU61" s="94"/>
      <c r="AV61" s="95"/>
      <c r="AW61" s="17"/>
      <c r="AX61" s="17"/>
      <c r="AY61" s="17"/>
      <c r="AZ61" s="20"/>
      <c r="BA61" s="92"/>
      <c r="BB61" s="93"/>
      <c r="BC61" s="92"/>
      <c r="BD61" s="94"/>
      <c r="BE61" s="95"/>
      <c r="BF61" s="17"/>
      <c r="BG61" s="17"/>
      <c r="BH61" s="17"/>
      <c r="BI61" s="20"/>
      <c r="BJ61" s="92"/>
      <c r="BK61" s="93"/>
      <c r="BL61" s="92"/>
      <c r="BM61" s="94"/>
      <c r="BN61" s="95"/>
      <c r="BO61" s="17"/>
      <c r="BP61" s="17"/>
      <c r="BQ61" s="17"/>
      <c r="BR61" s="20"/>
      <c r="BS61" s="92"/>
      <c r="BT61" s="93"/>
      <c r="BU61" s="92"/>
      <c r="BV61" s="94"/>
      <c r="BW61" s="95"/>
      <c r="BX61" s="17"/>
      <c r="BY61" s="17"/>
      <c r="BZ61" s="17"/>
      <c r="CA61" s="20"/>
      <c r="CB61" s="92"/>
      <c r="CC61" s="93"/>
      <c r="CD61" s="92"/>
      <c r="CE61" s="94"/>
      <c r="CF61" s="95"/>
      <c r="CG61" s="17"/>
      <c r="CH61" s="17"/>
      <c r="CI61" s="17"/>
      <c r="CJ61" s="20"/>
      <c r="CK61" s="92"/>
      <c r="CL61" s="93"/>
      <c r="CM61" s="92"/>
      <c r="CN61" s="94"/>
      <c r="CO61" s="95"/>
      <c r="CP61" s="17"/>
      <c r="CQ61" s="17"/>
      <c r="CR61" s="17"/>
      <c r="CS61" s="20"/>
      <c r="CT61" s="92"/>
      <c r="CU61" s="93"/>
      <c r="CV61" s="92"/>
      <c r="CW61" s="94"/>
      <c r="CX61" s="95"/>
      <c r="CY61" s="17"/>
      <c r="CZ61" s="17"/>
      <c r="DA61" s="17"/>
      <c r="DB61" s="20"/>
      <c r="DC61" s="92"/>
      <c r="DD61" s="93"/>
      <c r="DE61" s="92"/>
      <c r="DF61" s="94"/>
      <c r="DG61" s="95"/>
      <c r="DH61" s="17"/>
      <c r="DI61" s="17"/>
      <c r="DJ61" s="17"/>
      <c r="DK61" s="20"/>
      <c r="DL61" s="92"/>
      <c r="DM61" s="93"/>
      <c r="DN61" s="92"/>
      <c r="DO61" s="94"/>
      <c r="DP61" s="95"/>
      <c r="DQ61" s="17"/>
      <c r="DR61" s="17"/>
      <c r="DS61" s="17"/>
      <c r="DT61" s="20"/>
      <c r="DU61" s="92"/>
      <c r="DV61" s="93"/>
      <c r="DW61" s="92"/>
      <c r="DX61" s="94"/>
      <c r="DY61" s="95"/>
      <c r="DZ61" s="17"/>
      <c r="EA61" s="17"/>
      <c r="EB61" s="17"/>
      <c r="EC61" s="20"/>
      <c r="ED61" s="92"/>
      <c r="EE61" s="93"/>
      <c r="EF61" s="92"/>
      <c r="EG61" s="94"/>
      <c r="EH61" s="95"/>
      <c r="EI61" s="17"/>
      <c r="EJ61" s="17"/>
      <c r="EK61" s="17"/>
      <c r="EL61" s="20"/>
      <c r="EM61" s="92"/>
      <c r="EN61" s="93"/>
      <c r="EO61" s="92"/>
      <c r="EP61" s="94"/>
      <c r="EQ61" s="95"/>
      <c r="ER61" s="17"/>
      <c r="ES61" s="17"/>
      <c r="ET61" s="17"/>
      <c r="EU61" s="20"/>
      <c r="EV61" s="92"/>
      <c r="EW61" s="93"/>
      <c r="EX61" s="92"/>
      <c r="EY61" s="94"/>
      <c r="EZ61" s="95"/>
      <c r="FA61" s="17"/>
      <c r="FB61" s="17"/>
      <c r="FC61" s="17"/>
      <c r="FD61" s="20"/>
      <c r="FE61" s="92"/>
      <c r="FF61" s="93"/>
      <c r="FG61" s="92"/>
      <c r="FH61" s="94"/>
      <c r="FI61" s="95"/>
      <c r="FJ61" s="17"/>
      <c r="FK61" s="17"/>
      <c r="FL61" s="17"/>
      <c r="FM61" s="20"/>
      <c r="FN61" s="92"/>
      <c r="FO61" s="93"/>
      <c r="FP61" s="92"/>
      <c r="FQ61" s="94"/>
      <c r="FR61" s="95"/>
      <c r="FS61" s="17"/>
      <c r="FT61" s="17"/>
      <c r="FU61" s="17"/>
      <c r="FV61" s="20"/>
      <c r="FW61" s="92"/>
      <c r="FX61" s="93"/>
      <c r="FY61" s="92"/>
      <c r="FZ61" s="94"/>
      <c r="GA61" s="95"/>
      <c r="GB61" s="17"/>
      <c r="GC61" s="17"/>
      <c r="GD61" s="17"/>
      <c r="GE61" s="20"/>
      <c r="GF61" s="92"/>
      <c r="GG61" s="93"/>
      <c r="GH61" s="92"/>
      <c r="GI61" s="94"/>
      <c r="GJ61" s="95"/>
      <c r="GK61" s="17"/>
      <c r="GL61" s="17"/>
      <c r="GM61" s="17"/>
      <c r="GN61" s="20"/>
      <c r="GO61" s="92"/>
      <c r="GP61" s="93"/>
      <c r="GQ61" s="92"/>
      <c r="GR61" s="94"/>
      <c r="GS61" s="95"/>
      <c r="GT61" s="97"/>
      <c r="GU61" s="98"/>
      <c r="GV61" s="130"/>
      <c r="GW61" s="141"/>
      <c r="GX61" s="141"/>
      <c r="GY61" s="167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407"/>
      <c r="L62" s="70"/>
      <c r="M62" s="71"/>
      <c r="N62" s="56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38"/>
      <c r="V62" s="112"/>
      <c r="W62" s="121"/>
      <c r="X62" s="17"/>
      <c r="Y62" s="20"/>
      <c r="Z62" s="92"/>
      <c r="AA62" s="93"/>
      <c r="AB62" s="92"/>
      <c r="AC62" s="94"/>
      <c r="AD62" s="95"/>
      <c r="AE62" s="17"/>
      <c r="AF62" s="17"/>
      <c r="AG62" s="17"/>
      <c r="AH62" s="20"/>
      <c r="AI62" s="92"/>
      <c r="AJ62" s="93"/>
      <c r="AK62" s="92"/>
      <c r="AL62" s="94"/>
      <c r="AM62" s="95"/>
      <c r="AN62" s="17"/>
      <c r="AO62" s="17"/>
      <c r="AP62" s="17"/>
      <c r="AQ62" s="20"/>
      <c r="AR62" s="92"/>
      <c r="AS62" s="93"/>
      <c r="AT62" s="92"/>
      <c r="AU62" s="94"/>
      <c r="AV62" s="95"/>
      <c r="AW62" s="17"/>
      <c r="AX62" s="17"/>
      <c r="AY62" s="17"/>
      <c r="AZ62" s="20"/>
      <c r="BA62" s="92"/>
      <c r="BB62" s="93"/>
      <c r="BC62" s="92"/>
      <c r="BD62" s="94"/>
      <c r="BE62" s="95"/>
      <c r="BF62" s="17"/>
      <c r="BG62" s="17"/>
      <c r="BH62" s="17"/>
      <c r="BI62" s="20"/>
      <c r="BJ62" s="92"/>
      <c r="BK62" s="93"/>
      <c r="BL62" s="92"/>
      <c r="BM62" s="94"/>
      <c r="BN62" s="95"/>
      <c r="BO62" s="17"/>
      <c r="BP62" s="17"/>
      <c r="BQ62" s="17"/>
      <c r="BR62" s="20"/>
      <c r="BS62" s="92"/>
      <c r="BT62" s="93"/>
      <c r="BU62" s="92"/>
      <c r="BV62" s="94"/>
      <c r="BW62" s="95"/>
      <c r="BX62" s="17"/>
      <c r="BY62" s="17"/>
      <c r="BZ62" s="17"/>
      <c r="CA62" s="20"/>
      <c r="CB62" s="92"/>
      <c r="CC62" s="93"/>
      <c r="CD62" s="92"/>
      <c r="CE62" s="94"/>
      <c r="CF62" s="95"/>
      <c r="CG62" s="17"/>
      <c r="CH62" s="17"/>
      <c r="CI62" s="17"/>
      <c r="CJ62" s="20"/>
      <c r="CK62" s="92"/>
      <c r="CL62" s="93"/>
      <c r="CM62" s="92"/>
      <c r="CN62" s="94"/>
      <c r="CO62" s="95"/>
      <c r="CP62" s="17"/>
      <c r="CQ62" s="17"/>
      <c r="CR62" s="17"/>
      <c r="CS62" s="20"/>
      <c r="CT62" s="92"/>
      <c r="CU62" s="93"/>
      <c r="CV62" s="92"/>
      <c r="CW62" s="94"/>
      <c r="CX62" s="95"/>
      <c r="CY62" s="17"/>
      <c r="CZ62" s="17"/>
      <c r="DA62" s="17"/>
      <c r="DB62" s="20"/>
      <c r="DC62" s="92"/>
      <c r="DD62" s="93"/>
      <c r="DE62" s="92"/>
      <c r="DF62" s="94"/>
      <c r="DG62" s="95"/>
      <c r="DH62" s="17"/>
      <c r="DI62" s="17"/>
      <c r="DJ62" s="17"/>
      <c r="DK62" s="20"/>
      <c r="DL62" s="92"/>
      <c r="DM62" s="93"/>
      <c r="DN62" s="92"/>
      <c r="DO62" s="94"/>
      <c r="DP62" s="95"/>
      <c r="DQ62" s="17"/>
      <c r="DR62" s="17"/>
      <c r="DS62" s="17"/>
      <c r="DT62" s="20"/>
      <c r="DU62" s="92"/>
      <c r="DV62" s="93"/>
      <c r="DW62" s="92"/>
      <c r="DX62" s="94"/>
      <c r="DY62" s="95"/>
      <c r="DZ62" s="17"/>
      <c r="EA62" s="17"/>
      <c r="EB62" s="17"/>
      <c r="EC62" s="20"/>
      <c r="ED62" s="92"/>
      <c r="EE62" s="93"/>
      <c r="EF62" s="92"/>
      <c r="EG62" s="94"/>
      <c r="EH62" s="95"/>
      <c r="EI62" s="17"/>
      <c r="EJ62" s="17"/>
      <c r="EK62" s="17"/>
      <c r="EL62" s="20"/>
      <c r="EM62" s="92"/>
      <c r="EN62" s="93"/>
      <c r="EO62" s="92"/>
      <c r="EP62" s="94"/>
      <c r="EQ62" s="95"/>
      <c r="ER62" s="17"/>
      <c r="ES62" s="17"/>
      <c r="ET62" s="17"/>
      <c r="EU62" s="20"/>
      <c r="EV62" s="92"/>
      <c r="EW62" s="93"/>
      <c r="EX62" s="92"/>
      <c r="EY62" s="94"/>
      <c r="EZ62" s="95"/>
      <c r="FA62" s="17"/>
      <c r="FB62" s="17"/>
      <c r="FC62" s="17"/>
      <c r="FD62" s="20"/>
      <c r="FE62" s="92"/>
      <c r="FF62" s="93"/>
      <c r="FG62" s="92"/>
      <c r="FH62" s="94"/>
      <c r="FI62" s="95"/>
      <c r="FJ62" s="17"/>
      <c r="FK62" s="17"/>
      <c r="FL62" s="17"/>
      <c r="FM62" s="20"/>
      <c r="FN62" s="92"/>
      <c r="FO62" s="93"/>
      <c r="FP62" s="92"/>
      <c r="FQ62" s="94"/>
      <c r="FR62" s="95"/>
      <c r="FS62" s="17"/>
      <c r="FT62" s="17"/>
      <c r="FU62" s="17"/>
      <c r="FV62" s="20"/>
      <c r="FW62" s="92"/>
      <c r="FX62" s="93"/>
      <c r="FY62" s="92"/>
      <c r="FZ62" s="94"/>
      <c r="GA62" s="95"/>
      <c r="GB62" s="17"/>
      <c r="GC62" s="17"/>
      <c r="GD62" s="17"/>
      <c r="GE62" s="20"/>
      <c r="GF62" s="92"/>
      <c r="GG62" s="93"/>
      <c r="GH62" s="92"/>
      <c r="GI62" s="94"/>
      <c r="GJ62" s="95"/>
      <c r="GK62" s="17"/>
      <c r="GL62" s="17"/>
      <c r="GM62" s="17"/>
      <c r="GN62" s="20"/>
      <c r="GO62" s="92"/>
      <c r="GP62" s="93"/>
      <c r="GQ62" s="92"/>
      <c r="GR62" s="94"/>
      <c r="GS62" s="95"/>
      <c r="GT62" s="97"/>
      <c r="GU62" s="98"/>
      <c r="GV62" s="130"/>
      <c r="GW62" s="141"/>
      <c r="GX62" s="141"/>
      <c r="GY62" s="167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76"/>
      <c r="K63" s="407"/>
      <c r="L63" s="70"/>
      <c r="M63" s="71"/>
      <c r="N63" s="142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43"/>
      <c r="V63" s="144"/>
      <c r="W63" s="145"/>
      <c r="X63" s="146"/>
      <c r="Y63" s="147"/>
      <c r="Z63" s="148"/>
      <c r="AA63" s="149"/>
      <c r="AB63" s="148"/>
      <c r="AC63" s="150"/>
      <c r="AD63" s="151"/>
      <c r="AE63" s="146"/>
      <c r="AF63" s="146"/>
      <c r="AG63" s="146"/>
      <c r="AH63" s="147"/>
      <c r="AI63" s="148"/>
      <c r="AJ63" s="149"/>
      <c r="AK63" s="148"/>
      <c r="AL63" s="150"/>
      <c r="AM63" s="151"/>
      <c r="AN63" s="146"/>
      <c r="AO63" s="146"/>
      <c r="AP63" s="146"/>
      <c r="AQ63" s="147"/>
      <c r="AR63" s="148"/>
      <c r="AS63" s="149"/>
      <c r="AT63" s="148"/>
      <c r="AU63" s="150"/>
      <c r="AV63" s="151"/>
      <c r="AW63" s="146"/>
      <c r="AX63" s="146"/>
      <c r="AY63" s="146"/>
      <c r="AZ63" s="147"/>
      <c r="BA63" s="148"/>
      <c r="BB63" s="149"/>
      <c r="BC63" s="148"/>
      <c r="BD63" s="150"/>
      <c r="BE63" s="151"/>
      <c r="BF63" s="146"/>
      <c r="BG63" s="146"/>
      <c r="BH63" s="146"/>
      <c r="BI63" s="147"/>
      <c r="BJ63" s="148"/>
      <c r="BK63" s="149"/>
      <c r="BL63" s="148"/>
      <c r="BM63" s="150"/>
      <c r="BN63" s="151"/>
      <c r="BO63" s="146"/>
      <c r="BP63" s="146"/>
      <c r="BQ63" s="146"/>
      <c r="BR63" s="147"/>
      <c r="BS63" s="148"/>
      <c r="BT63" s="149"/>
      <c r="BU63" s="148"/>
      <c r="BV63" s="150"/>
      <c r="BW63" s="151"/>
      <c r="BX63" s="146"/>
      <c r="BY63" s="146"/>
      <c r="BZ63" s="146"/>
      <c r="CA63" s="147"/>
      <c r="CB63" s="148"/>
      <c r="CC63" s="149"/>
      <c r="CD63" s="148"/>
      <c r="CE63" s="150"/>
      <c r="CF63" s="151"/>
      <c r="CG63" s="146"/>
      <c r="CH63" s="146"/>
      <c r="CI63" s="146"/>
      <c r="CJ63" s="147"/>
      <c r="CK63" s="148"/>
      <c r="CL63" s="149"/>
      <c r="CM63" s="148"/>
      <c r="CN63" s="150"/>
      <c r="CO63" s="151"/>
      <c r="CP63" s="146"/>
      <c r="CQ63" s="146"/>
      <c r="CR63" s="146"/>
      <c r="CS63" s="147"/>
      <c r="CT63" s="148"/>
      <c r="CU63" s="149"/>
      <c r="CV63" s="148"/>
      <c r="CW63" s="150"/>
      <c r="CX63" s="151"/>
      <c r="CY63" s="146"/>
      <c r="CZ63" s="146"/>
      <c r="DA63" s="146"/>
      <c r="DB63" s="147"/>
      <c r="DC63" s="148"/>
      <c r="DD63" s="149"/>
      <c r="DE63" s="148"/>
      <c r="DF63" s="150"/>
      <c r="DG63" s="151"/>
      <c r="DH63" s="146"/>
      <c r="DI63" s="146"/>
      <c r="DJ63" s="146"/>
      <c r="DK63" s="147"/>
      <c r="DL63" s="148"/>
      <c r="DM63" s="149"/>
      <c r="DN63" s="148"/>
      <c r="DO63" s="150"/>
      <c r="DP63" s="151"/>
      <c r="DQ63" s="146"/>
      <c r="DR63" s="146"/>
      <c r="DS63" s="146"/>
      <c r="DT63" s="147"/>
      <c r="DU63" s="148"/>
      <c r="DV63" s="149"/>
      <c r="DW63" s="148"/>
      <c r="DX63" s="150"/>
      <c r="DY63" s="151"/>
      <c r="DZ63" s="146"/>
      <c r="EA63" s="146"/>
      <c r="EB63" s="146"/>
      <c r="EC63" s="147"/>
      <c r="ED63" s="148"/>
      <c r="EE63" s="149"/>
      <c r="EF63" s="148"/>
      <c r="EG63" s="150"/>
      <c r="EH63" s="151"/>
      <c r="EI63" s="146"/>
      <c r="EJ63" s="146"/>
      <c r="EK63" s="146"/>
      <c r="EL63" s="147"/>
      <c r="EM63" s="148"/>
      <c r="EN63" s="149"/>
      <c r="EO63" s="148"/>
      <c r="EP63" s="150"/>
      <c r="EQ63" s="151"/>
      <c r="ER63" s="146"/>
      <c r="ES63" s="146"/>
      <c r="ET63" s="146"/>
      <c r="EU63" s="147"/>
      <c r="EV63" s="148"/>
      <c r="EW63" s="149"/>
      <c r="EX63" s="148"/>
      <c r="EY63" s="150"/>
      <c r="EZ63" s="151"/>
      <c r="FA63" s="146"/>
      <c r="FB63" s="146"/>
      <c r="FC63" s="146"/>
      <c r="FD63" s="147"/>
      <c r="FE63" s="148"/>
      <c r="FF63" s="149"/>
      <c r="FG63" s="148"/>
      <c r="FH63" s="150"/>
      <c r="FI63" s="151"/>
      <c r="FJ63" s="146"/>
      <c r="FK63" s="146"/>
      <c r="FL63" s="146"/>
      <c r="FM63" s="147"/>
      <c r="FN63" s="148"/>
      <c r="FO63" s="149"/>
      <c r="FP63" s="148"/>
      <c r="FQ63" s="150"/>
      <c r="FR63" s="151"/>
      <c r="FS63" s="146"/>
      <c r="FT63" s="146"/>
      <c r="FU63" s="146"/>
      <c r="FV63" s="147"/>
      <c r="FW63" s="148"/>
      <c r="FX63" s="149"/>
      <c r="FY63" s="148"/>
      <c r="FZ63" s="150"/>
      <c r="GA63" s="151"/>
      <c r="GB63" s="146"/>
      <c r="GC63" s="146"/>
      <c r="GD63" s="146"/>
      <c r="GE63" s="147"/>
      <c r="GF63" s="148"/>
      <c r="GG63" s="149"/>
      <c r="GH63" s="148"/>
      <c r="GI63" s="150"/>
      <c r="GJ63" s="151"/>
      <c r="GK63" s="146"/>
      <c r="GL63" s="146"/>
      <c r="GM63" s="146"/>
      <c r="GN63" s="147"/>
      <c r="GO63" s="148"/>
      <c r="GP63" s="149"/>
      <c r="GQ63" s="148"/>
      <c r="GR63" s="150"/>
      <c r="GS63" s="151"/>
      <c r="GT63" s="152"/>
      <c r="GU63" s="131"/>
      <c r="GV63" s="153"/>
      <c r="GW63" s="141"/>
      <c r="GX63" s="141"/>
      <c r="GY63" s="167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407"/>
      <c r="L64" s="70"/>
      <c r="M64" s="71"/>
      <c r="N64" s="142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43"/>
      <c r="V64" s="154"/>
      <c r="W64" s="155"/>
      <c r="X64" s="146"/>
      <c r="Y64" s="147"/>
      <c r="Z64" s="148"/>
      <c r="AA64" s="149"/>
      <c r="AB64" s="148"/>
      <c r="AC64" s="150"/>
      <c r="AD64" s="151"/>
      <c r="AE64" s="146"/>
      <c r="AF64" s="146"/>
      <c r="AG64" s="146"/>
      <c r="AH64" s="147"/>
      <c r="AI64" s="148"/>
      <c r="AJ64" s="149"/>
      <c r="AK64" s="148"/>
      <c r="AL64" s="150"/>
      <c r="AM64" s="151"/>
      <c r="AN64" s="146"/>
      <c r="AO64" s="146"/>
      <c r="AP64" s="146"/>
      <c r="AQ64" s="147"/>
      <c r="AR64" s="148"/>
      <c r="AS64" s="149"/>
      <c r="AT64" s="148"/>
      <c r="AU64" s="150"/>
      <c r="AV64" s="151"/>
      <c r="AW64" s="146"/>
      <c r="AX64" s="146"/>
      <c r="AY64" s="146"/>
      <c r="AZ64" s="147"/>
      <c r="BA64" s="148"/>
      <c r="BB64" s="149"/>
      <c r="BC64" s="148"/>
      <c r="BD64" s="150"/>
      <c r="BE64" s="151"/>
      <c r="BF64" s="146"/>
      <c r="BG64" s="146"/>
      <c r="BH64" s="146"/>
      <c r="BI64" s="147"/>
      <c r="BJ64" s="148"/>
      <c r="BK64" s="149"/>
      <c r="BL64" s="148"/>
      <c r="BM64" s="150"/>
      <c r="BN64" s="151"/>
      <c r="BO64" s="146"/>
      <c r="BP64" s="146"/>
      <c r="BQ64" s="146"/>
      <c r="BR64" s="147"/>
      <c r="BS64" s="148"/>
      <c r="BT64" s="149"/>
      <c r="BU64" s="148"/>
      <c r="BV64" s="150"/>
      <c r="BW64" s="151"/>
      <c r="BX64" s="146"/>
      <c r="BY64" s="146"/>
      <c r="BZ64" s="146"/>
      <c r="CA64" s="147"/>
      <c r="CB64" s="148"/>
      <c r="CC64" s="149"/>
      <c r="CD64" s="148"/>
      <c r="CE64" s="150"/>
      <c r="CF64" s="151"/>
      <c r="CG64" s="146"/>
      <c r="CH64" s="146"/>
      <c r="CI64" s="146"/>
      <c r="CJ64" s="147"/>
      <c r="CK64" s="148"/>
      <c r="CL64" s="149"/>
      <c r="CM64" s="148"/>
      <c r="CN64" s="150"/>
      <c r="CO64" s="151"/>
      <c r="CP64" s="146"/>
      <c r="CQ64" s="146"/>
      <c r="CR64" s="146"/>
      <c r="CS64" s="147"/>
      <c r="CT64" s="148"/>
      <c r="CU64" s="149"/>
      <c r="CV64" s="148"/>
      <c r="CW64" s="150"/>
      <c r="CX64" s="151"/>
      <c r="CY64" s="146"/>
      <c r="CZ64" s="146"/>
      <c r="DA64" s="146"/>
      <c r="DB64" s="147"/>
      <c r="DC64" s="148"/>
      <c r="DD64" s="149"/>
      <c r="DE64" s="148"/>
      <c r="DF64" s="150"/>
      <c r="DG64" s="151"/>
      <c r="DH64" s="146"/>
      <c r="DI64" s="146"/>
      <c r="DJ64" s="146"/>
      <c r="DK64" s="147"/>
      <c r="DL64" s="148"/>
      <c r="DM64" s="149"/>
      <c r="DN64" s="148"/>
      <c r="DO64" s="150"/>
      <c r="DP64" s="151"/>
      <c r="DQ64" s="146"/>
      <c r="DR64" s="146"/>
      <c r="DS64" s="146"/>
      <c r="DT64" s="147"/>
      <c r="DU64" s="148"/>
      <c r="DV64" s="149"/>
      <c r="DW64" s="148"/>
      <c r="DX64" s="150"/>
      <c r="DY64" s="151"/>
      <c r="DZ64" s="146"/>
      <c r="EA64" s="146"/>
      <c r="EB64" s="146"/>
      <c r="EC64" s="147"/>
      <c r="ED64" s="148"/>
      <c r="EE64" s="149"/>
      <c r="EF64" s="148"/>
      <c r="EG64" s="150"/>
      <c r="EH64" s="151"/>
      <c r="EI64" s="146"/>
      <c r="EJ64" s="146"/>
      <c r="EK64" s="146"/>
      <c r="EL64" s="147"/>
      <c r="EM64" s="148"/>
      <c r="EN64" s="149"/>
      <c r="EO64" s="148"/>
      <c r="EP64" s="150"/>
      <c r="EQ64" s="151"/>
      <c r="ER64" s="146"/>
      <c r="ES64" s="146"/>
      <c r="ET64" s="146"/>
      <c r="EU64" s="147"/>
      <c r="EV64" s="148"/>
      <c r="EW64" s="149"/>
      <c r="EX64" s="148"/>
      <c r="EY64" s="150"/>
      <c r="EZ64" s="151"/>
      <c r="FA64" s="146"/>
      <c r="FB64" s="146"/>
      <c r="FC64" s="146"/>
      <c r="FD64" s="147"/>
      <c r="FE64" s="148"/>
      <c r="FF64" s="149"/>
      <c r="FG64" s="148"/>
      <c r="FH64" s="150"/>
      <c r="FI64" s="151"/>
      <c r="FJ64" s="146"/>
      <c r="FK64" s="146"/>
      <c r="FL64" s="146"/>
      <c r="FM64" s="147"/>
      <c r="FN64" s="148"/>
      <c r="FO64" s="149"/>
      <c r="FP64" s="148"/>
      <c r="FQ64" s="150"/>
      <c r="FR64" s="151"/>
      <c r="FS64" s="146"/>
      <c r="FT64" s="146"/>
      <c r="FU64" s="146"/>
      <c r="FV64" s="147"/>
      <c r="FW64" s="148"/>
      <c r="FX64" s="149"/>
      <c r="FY64" s="148"/>
      <c r="FZ64" s="150"/>
      <c r="GA64" s="151"/>
      <c r="GB64" s="146"/>
      <c r="GC64" s="146"/>
      <c r="GD64" s="146"/>
      <c r="GE64" s="147"/>
      <c r="GF64" s="148"/>
      <c r="GG64" s="149"/>
      <c r="GH64" s="148"/>
      <c r="GI64" s="150"/>
      <c r="GJ64" s="151"/>
      <c r="GK64" s="146"/>
      <c r="GL64" s="146"/>
      <c r="GM64" s="146"/>
      <c r="GN64" s="147"/>
      <c r="GO64" s="148"/>
      <c r="GP64" s="149"/>
      <c r="GQ64" s="148"/>
      <c r="GR64" s="150"/>
      <c r="GS64" s="151"/>
      <c r="GT64" s="154"/>
      <c r="GU64" s="156"/>
      <c r="GV64" s="153"/>
      <c r="GW64" s="141"/>
      <c r="GX64" s="141"/>
      <c r="GY64" s="167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407"/>
      <c r="L65" s="70"/>
      <c r="M65" s="71"/>
      <c r="N65" s="142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43"/>
      <c r="V65" s="154"/>
      <c r="W65" s="157"/>
      <c r="X65" s="146"/>
      <c r="Y65" s="147"/>
      <c r="Z65" s="148"/>
      <c r="AA65" s="149"/>
      <c r="AB65" s="148"/>
      <c r="AC65" s="150"/>
      <c r="AD65" s="151"/>
      <c r="AE65" s="146"/>
      <c r="AF65" s="146"/>
      <c r="AG65" s="146"/>
      <c r="AH65" s="147"/>
      <c r="AI65" s="148"/>
      <c r="AJ65" s="149"/>
      <c r="AK65" s="148"/>
      <c r="AL65" s="150"/>
      <c r="AM65" s="151"/>
      <c r="AN65" s="146"/>
      <c r="AO65" s="146"/>
      <c r="AP65" s="146"/>
      <c r="AQ65" s="147"/>
      <c r="AR65" s="148"/>
      <c r="AS65" s="149"/>
      <c r="AT65" s="148"/>
      <c r="AU65" s="150"/>
      <c r="AV65" s="151"/>
      <c r="AW65" s="146"/>
      <c r="AX65" s="146"/>
      <c r="AY65" s="146"/>
      <c r="AZ65" s="147"/>
      <c r="BA65" s="148"/>
      <c r="BB65" s="149"/>
      <c r="BC65" s="148"/>
      <c r="BD65" s="150"/>
      <c r="BE65" s="151"/>
      <c r="BF65" s="146"/>
      <c r="BG65" s="146"/>
      <c r="BH65" s="146"/>
      <c r="BI65" s="147"/>
      <c r="BJ65" s="148"/>
      <c r="BK65" s="149"/>
      <c r="BL65" s="148"/>
      <c r="BM65" s="150"/>
      <c r="BN65" s="151"/>
      <c r="BO65" s="146"/>
      <c r="BP65" s="146"/>
      <c r="BQ65" s="146"/>
      <c r="BR65" s="147"/>
      <c r="BS65" s="148"/>
      <c r="BT65" s="149"/>
      <c r="BU65" s="148"/>
      <c r="BV65" s="150"/>
      <c r="BW65" s="151"/>
      <c r="BX65" s="146"/>
      <c r="BY65" s="146"/>
      <c r="BZ65" s="146"/>
      <c r="CA65" s="147"/>
      <c r="CB65" s="148"/>
      <c r="CC65" s="149"/>
      <c r="CD65" s="148"/>
      <c r="CE65" s="150"/>
      <c r="CF65" s="151"/>
      <c r="CG65" s="146"/>
      <c r="CH65" s="146"/>
      <c r="CI65" s="146"/>
      <c r="CJ65" s="147"/>
      <c r="CK65" s="148"/>
      <c r="CL65" s="149"/>
      <c r="CM65" s="148"/>
      <c r="CN65" s="150"/>
      <c r="CO65" s="151"/>
      <c r="CP65" s="146"/>
      <c r="CQ65" s="146"/>
      <c r="CR65" s="146"/>
      <c r="CS65" s="147"/>
      <c r="CT65" s="148"/>
      <c r="CU65" s="149"/>
      <c r="CV65" s="148"/>
      <c r="CW65" s="150"/>
      <c r="CX65" s="151"/>
      <c r="CY65" s="146"/>
      <c r="CZ65" s="146"/>
      <c r="DA65" s="146"/>
      <c r="DB65" s="147"/>
      <c r="DC65" s="148"/>
      <c r="DD65" s="149"/>
      <c r="DE65" s="148"/>
      <c r="DF65" s="150"/>
      <c r="DG65" s="151"/>
      <c r="DH65" s="146"/>
      <c r="DI65" s="146"/>
      <c r="DJ65" s="146"/>
      <c r="DK65" s="147"/>
      <c r="DL65" s="148"/>
      <c r="DM65" s="149"/>
      <c r="DN65" s="148"/>
      <c r="DO65" s="150"/>
      <c r="DP65" s="151"/>
      <c r="DQ65" s="146"/>
      <c r="DR65" s="146"/>
      <c r="DS65" s="146"/>
      <c r="DT65" s="147"/>
      <c r="DU65" s="148"/>
      <c r="DV65" s="149"/>
      <c r="DW65" s="148"/>
      <c r="DX65" s="150"/>
      <c r="DY65" s="151"/>
      <c r="DZ65" s="146"/>
      <c r="EA65" s="146"/>
      <c r="EB65" s="146"/>
      <c r="EC65" s="147"/>
      <c r="ED65" s="148"/>
      <c r="EE65" s="149"/>
      <c r="EF65" s="148"/>
      <c r="EG65" s="150"/>
      <c r="EH65" s="151"/>
      <c r="EI65" s="146"/>
      <c r="EJ65" s="146"/>
      <c r="EK65" s="146"/>
      <c r="EL65" s="147"/>
      <c r="EM65" s="148"/>
      <c r="EN65" s="149"/>
      <c r="EO65" s="148"/>
      <c r="EP65" s="150"/>
      <c r="EQ65" s="151"/>
      <c r="ER65" s="146"/>
      <c r="ES65" s="146"/>
      <c r="ET65" s="146"/>
      <c r="EU65" s="147"/>
      <c r="EV65" s="148"/>
      <c r="EW65" s="149"/>
      <c r="EX65" s="148"/>
      <c r="EY65" s="150"/>
      <c r="EZ65" s="151"/>
      <c r="FA65" s="146"/>
      <c r="FB65" s="146"/>
      <c r="FC65" s="146"/>
      <c r="FD65" s="147"/>
      <c r="FE65" s="148"/>
      <c r="FF65" s="149"/>
      <c r="FG65" s="148"/>
      <c r="FH65" s="150"/>
      <c r="FI65" s="151"/>
      <c r="FJ65" s="146"/>
      <c r="FK65" s="146"/>
      <c r="FL65" s="146"/>
      <c r="FM65" s="147"/>
      <c r="FN65" s="148"/>
      <c r="FO65" s="149"/>
      <c r="FP65" s="148"/>
      <c r="FQ65" s="150"/>
      <c r="FR65" s="151"/>
      <c r="FS65" s="146"/>
      <c r="FT65" s="146"/>
      <c r="FU65" s="146"/>
      <c r="FV65" s="147"/>
      <c r="FW65" s="148"/>
      <c r="FX65" s="149"/>
      <c r="FY65" s="148"/>
      <c r="FZ65" s="150"/>
      <c r="GA65" s="151"/>
      <c r="GB65" s="146"/>
      <c r="GC65" s="146"/>
      <c r="GD65" s="146"/>
      <c r="GE65" s="147"/>
      <c r="GF65" s="148"/>
      <c r="GG65" s="149"/>
      <c r="GH65" s="148"/>
      <c r="GI65" s="150"/>
      <c r="GJ65" s="151"/>
      <c r="GK65" s="146"/>
      <c r="GL65" s="146"/>
      <c r="GM65" s="146"/>
      <c r="GN65" s="147"/>
      <c r="GO65" s="148"/>
      <c r="GP65" s="149"/>
      <c r="GQ65" s="148"/>
      <c r="GR65" s="150"/>
      <c r="GS65" s="151"/>
      <c r="GT65" s="154"/>
      <c r="GU65" s="156"/>
      <c r="GV65" s="153"/>
      <c r="GW65" s="141"/>
      <c r="GX65" s="141"/>
      <c r="GY65" s="167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407"/>
      <c r="L66" s="70"/>
      <c r="M66" s="71"/>
      <c r="N66" s="142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43"/>
      <c r="V66" s="154"/>
      <c r="W66" s="155"/>
      <c r="X66" s="146"/>
      <c r="Y66" s="147"/>
      <c r="Z66" s="148"/>
      <c r="AA66" s="149"/>
      <c r="AB66" s="148"/>
      <c r="AC66" s="150"/>
      <c r="AD66" s="151"/>
      <c r="AE66" s="146"/>
      <c r="AF66" s="146"/>
      <c r="AG66" s="146"/>
      <c r="AH66" s="147"/>
      <c r="AI66" s="148"/>
      <c r="AJ66" s="149"/>
      <c r="AK66" s="148"/>
      <c r="AL66" s="150"/>
      <c r="AM66" s="151"/>
      <c r="AN66" s="146"/>
      <c r="AO66" s="146"/>
      <c r="AP66" s="146"/>
      <c r="AQ66" s="147"/>
      <c r="AR66" s="148"/>
      <c r="AS66" s="149"/>
      <c r="AT66" s="148"/>
      <c r="AU66" s="150"/>
      <c r="AV66" s="151"/>
      <c r="AW66" s="146"/>
      <c r="AX66" s="146"/>
      <c r="AY66" s="146"/>
      <c r="AZ66" s="147"/>
      <c r="BA66" s="148"/>
      <c r="BB66" s="149"/>
      <c r="BC66" s="148"/>
      <c r="BD66" s="150"/>
      <c r="BE66" s="151"/>
      <c r="BF66" s="146"/>
      <c r="BG66" s="146"/>
      <c r="BH66" s="146"/>
      <c r="BI66" s="147"/>
      <c r="BJ66" s="148"/>
      <c r="BK66" s="149"/>
      <c r="BL66" s="148"/>
      <c r="BM66" s="150"/>
      <c r="BN66" s="151"/>
      <c r="BO66" s="146"/>
      <c r="BP66" s="146"/>
      <c r="BQ66" s="146"/>
      <c r="BR66" s="147"/>
      <c r="BS66" s="148"/>
      <c r="BT66" s="149"/>
      <c r="BU66" s="148"/>
      <c r="BV66" s="150"/>
      <c r="BW66" s="151"/>
      <c r="BX66" s="146"/>
      <c r="BY66" s="146"/>
      <c r="BZ66" s="146"/>
      <c r="CA66" s="147"/>
      <c r="CB66" s="148"/>
      <c r="CC66" s="149"/>
      <c r="CD66" s="148"/>
      <c r="CE66" s="150"/>
      <c r="CF66" s="151"/>
      <c r="CG66" s="146"/>
      <c r="CH66" s="146"/>
      <c r="CI66" s="146"/>
      <c r="CJ66" s="147"/>
      <c r="CK66" s="148"/>
      <c r="CL66" s="149"/>
      <c r="CM66" s="148"/>
      <c r="CN66" s="150"/>
      <c r="CO66" s="151"/>
      <c r="CP66" s="146"/>
      <c r="CQ66" s="146"/>
      <c r="CR66" s="146"/>
      <c r="CS66" s="147"/>
      <c r="CT66" s="148"/>
      <c r="CU66" s="149"/>
      <c r="CV66" s="148"/>
      <c r="CW66" s="150"/>
      <c r="CX66" s="151"/>
      <c r="CY66" s="146"/>
      <c r="CZ66" s="146"/>
      <c r="DA66" s="146"/>
      <c r="DB66" s="147"/>
      <c r="DC66" s="148"/>
      <c r="DD66" s="149"/>
      <c r="DE66" s="148"/>
      <c r="DF66" s="150"/>
      <c r="DG66" s="151"/>
      <c r="DH66" s="146"/>
      <c r="DI66" s="146"/>
      <c r="DJ66" s="146"/>
      <c r="DK66" s="147"/>
      <c r="DL66" s="148"/>
      <c r="DM66" s="149"/>
      <c r="DN66" s="148"/>
      <c r="DO66" s="150"/>
      <c r="DP66" s="151"/>
      <c r="DQ66" s="146"/>
      <c r="DR66" s="146"/>
      <c r="DS66" s="146"/>
      <c r="DT66" s="147"/>
      <c r="DU66" s="148"/>
      <c r="DV66" s="149"/>
      <c r="DW66" s="148"/>
      <c r="DX66" s="150"/>
      <c r="DY66" s="151"/>
      <c r="DZ66" s="146"/>
      <c r="EA66" s="146"/>
      <c r="EB66" s="146"/>
      <c r="EC66" s="147"/>
      <c r="ED66" s="148"/>
      <c r="EE66" s="149"/>
      <c r="EF66" s="148"/>
      <c r="EG66" s="150"/>
      <c r="EH66" s="151"/>
      <c r="EI66" s="146"/>
      <c r="EJ66" s="146"/>
      <c r="EK66" s="146"/>
      <c r="EL66" s="147"/>
      <c r="EM66" s="148"/>
      <c r="EN66" s="149"/>
      <c r="EO66" s="148"/>
      <c r="EP66" s="150"/>
      <c r="EQ66" s="151"/>
      <c r="ER66" s="146"/>
      <c r="ES66" s="146"/>
      <c r="ET66" s="146"/>
      <c r="EU66" s="147"/>
      <c r="EV66" s="148"/>
      <c r="EW66" s="149"/>
      <c r="EX66" s="148"/>
      <c r="EY66" s="150"/>
      <c r="EZ66" s="151"/>
      <c r="FA66" s="146"/>
      <c r="FB66" s="146"/>
      <c r="FC66" s="146"/>
      <c r="FD66" s="147"/>
      <c r="FE66" s="148"/>
      <c r="FF66" s="149"/>
      <c r="FG66" s="148"/>
      <c r="FH66" s="150"/>
      <c r="FI66" s="151"/>
      <c r="FJ66" s="146"/>
      <c r="FK66" s="146"/>
      <c r="FL66" s="146"/>
      <c r="FM66" s="147"/>
      <c r="FN66" s="148"/>
      <c r="FO66" s="149"/>
      <c r="FP66" s="148"/>
      <c r="FQ66" s="150"/>
      <c r="FR66" s="151"/>
      <c r="FS66" s="146"/>
      <c r="FT66" s="146"/>
      <c r="FU66" s="146"/>
      <c r="FV66" s="147"/>
      <c r="FW66" s="148"/>
      <c r="FX66" s="149"/>
      <c r="FY66" s="148"/>
      <c r="FZ66" s="150"/>
      <c r="GA66" s="151"/>
      <c r="GB66" s="146"/>
      <c r="GC66" s="146"/>
      <c r="GD66" s="146"/>
      <c r="GE66" s="147"/>
      <c r="GF66" s="148"/>
      <c r="GG66" s="149"/>
      <c r="GH66" s="148"/>
      <c r="GI66" s="150"/>
      <c r="GJ66" s="151"/>
      <c r="GK66" s="146"/>
      <c r="GL66" s="146"/>
      <c r="GM66" s="146"/>
      <c r="GN66" s="147"/>
      <c r="GO66" s="148"/>
      <c r="GP66" s="149"/>
      <c r="GQ66" s="148"/>
      <c r="GR66" s="150"/>
      <c r="GS66" s="151"/>
      <c r="GT66" s="154"/>
      <c r="GU66" s="156"/>
      <c r="GV66" s="153"/>
      <c r="GW66" s="141"/>
      <c r="GX66" s="141"/>
      <c r="GY66" s="167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407"/>
      <c r="L67" s="70"/>
      <c r="M67" s="71"/>
      <c r="N67" s="142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43"/>
      <c r="V67" s="154"/>
      <c r="W67" s="155"/>
      <c r="X67" s="158"/>
      <c r="Y67" s="159"/>
      <c r="Z67" s="160"/>
      <c r="AA67" s="161"/>
      <c r="AB67" s="160"/>
      <c r="AC67" s="162"/>
      <c r="AD67" s="163"/>
      <c r="AE67" s="158"/>
      <c r="AF67" s="158"/>
      <c r="AG67" s="158"/>
      <c r="AH67" s="159"/>
      <c r="AI67" s="160"/>
      <c r="AJ67" s="161"/>
      <c r="AK67" s="160"/>
      <c r="AL67" s="162"/>
      <c r="AM67" s="163"/>
      <c r="AN67" s="158"/>
      <c r="AO67" s="158"/>
      <c r="AP67" s="158"/>
      <c r="AQ67" s="159"/>
      <c r="AR67" s="160"/>
      <c r="AS67" s="161"/>
      <c r="AT67" s="160"/>
      <c r="AU67" s="162"/>
      <c r="AV67" s="163"/>
      <c r="AW67" s="158"/>
      <c r="AX67" s="158"/>
      <c r="AY67" s="158"/>
      <c r="AZ67" s="159"/>
      <c r="BA67" s="160"/>
      <c r="BB67" s="161"/>
      <c r="BC67" s="160"/>
      <c r="BD67" s="162"/>
      <c r="BE67" s="163"/>
      <c r="BF67" s="158"/>
      <c r="BG67" s="158"/>
      <c r="BH67" s="158"/>
      <c r="BI67" s="159"/>
      <c r="BJ67" s="160"/>
      <c r="BK67" s="161"/>
      <c r="BL67" s="160"/>
      <c r="BM67" s="162"/>
      <c r="BN67" s="163"/>
      <c r="BO67" s="158"/>
      <c r="BP67" s="158"/>
      <c r="BQ67" s="158"/>
      <c r="BR67" s="159"/>
      <c r="BS67" s="160"/>
      <c r="BT67" s="161"/>
      <c r="BU67" s="160"/>
      <c r="BV67" s="162"/>
      <c r="BW67" s="163"/>
      <c r="BX67" s="158"/>
      <c r="BY67" s="158"/>
      <c r="BZ67" s="158"/>
      <c r="CA67" s="159"/>
      <c r="CB67" s="160"/>
      <c r="CC67" s="161"/>
      <c r="CD67" s="160"/>
      <c r="CE67" s="162"/>
      <c r="CF67" s="163"/>
      <c r="CG67" s="158"/>
      <c r="CH67" s="158"/>
      <c r="CI67" s="158"/>
      <c r="CJ67" s="159"/>
      <c r="CK67" s="160"/>
      <c r="CL67" s="161"/>
      <c r="CM67" s="160"/>
      <c r="CN67" s="162"/>
      <c r="CO67" s="163"/>
      <c r="CP67" s="158"/>
      <c r="CQ67" s="158"/>
      <c r="CR67" s="158"/>
      <c r="CS67" s="159"/>
      <c r="CT67" s="160"/>
      <c r="CU67" s="161"/>
      <c r="CV67" s="160"/>
      <c r="CW67" s="162"/>
      <c r="CX67" s="163"/>
      <c r="CY67" s="158"/>
      <c r="CZ67" s="158"/>
      <c r="DA67" s="158"/>
      <c r="DB67" s="159"/>
      <c r="DC67" s="160"/>
      <c r="DD67" s="161"/>
      <c r="DE67" s="160"/>
      <c r="DF67" s="162"/>
      <c r="DG67" s="163"/>
      <c r="DH67" s="158"/>
      <c r="DI67" s="158"/>
      <c r="DJ67" s="158"/>
      <c r="DK67" s="159"/>
      <c r="DL67" s="160"/>
      <c r="DM67" s="161"/>
      <c r="DN67" s="160"/>
      <c r="DO67" s="162"/>
      <c r="DP67" s="163"/>
      <c r="DQ67" s="158"/>
      <c r="DR67" s="158"/>
      <c r="DS67" s="158"/>
      <c r="DT67" s="159"/>
      <c r="DU67" s="160"/>
      <c r="DV67" s="161"/>
      <c r="DW67" s="160"/>
      <c r="DX67" s="162"/>
      <c r="DY67" s="163"/>
      <c r="DZ67" s="158"/>
      <c r="EA67" s="158"/>
      <c r="EB67" s="158"/>
      <c r="EC67" s="159"/>
      <c r="ED67" s="160"/>
      <c r="EE67" s="161"/>
      <c r="EF67" s="160"/>
      <c r="EG67" s="162"/>
      <c r="EH67" s="163"/>
      <c r="EI67" s="158"/>
      <c r="EJ67" s="158"/>
      <c r="EK67" s="158"/>
      <c r="EL67" s="159"/>
      <c r="EM67" s="160"/>
      <c r="EN67" s="161"/>
      <c r="EO67" s="160"/>
      <c r="EP67" s="162"/>
      <c r="EQ67" s="163"/>
      <c r="ER67" s="158"/>
      <c r="ES67" s="158"/>
      <c r="ET67" s="158"/>
      <c r="EU67" s="159"/>
      <c r="EV67" s="160"/>
      <c r="EW67" s="161"/>
      <c r="EX67" s="160"/>
      <c r="EY67" s="162"/>
      <c r="EZ67" s="163"/>
      <c r="FA67" s="158"/>
      <c r="FB67" s="158"/>
      <c r="FC67" s="158"/>
      <c r="FD67" s="159"/>
      <c r="FE67" s="160"/>
      <c r="FF67" s="161"/>
      <c r="FG67" s="160"/>
      <c r="FH67" s="162"/>
      <c r="FI67" s="163"/>
      <c r="FJ67" s="158"/>
      <c r="FK67" s="158"/>
      <c r="FL67" s="158"/>
      <c r="FM67" s="159"/>
      <c r="FN67" s="160"/>
      <c r="FO67" s="161"/>
      <c r="FP67" s="160"/>
      <c r="FQ67" s="162"/>
      <c r="FR67" s="163"/>
      <c r="FS67" s="158"/>
      <c r="FT67" s="158"/>
      <c r="FU67" s="158"/>
      <c r="FV67" s="159"/>
      <c r="FW67" s="160"/>
      <c r="FX67" s="161"/>
      <c r="FY67" s="160"/>
      <c r="FZ67" s="162"/>
      <c r="GA67" s="163"/>
      <c r="GB67" s="158"/>
      <c r="GC67" s="158"/>
      <c r="GD67" s="158"/>
      <c r="GE67" s="159"/>
      <c r="GF67" s="160"/>
      <c r="GG67" s="161"/>
      <c r="GH67" s="160"/>
      <c r="GI67" s="162"/>
      <c r="GJ67" s="163"/>
      <c r="GK67" s="158"/>
      <c r="GL67" s="158"/>
      <c r="GM67" s="158"/>
      <c r="GN67" s="159"/>
      <c r="GO67" s="160"/>
      <c r="GP67" s="161"/>
      <c r="GQ67" s="160"/>
      <c r="GR67" s="162"/>
      <c r="GS67" s="163"/>
      <c r="GT67" s="154"/>
      <c r="GU67" s="156"/>
      <c r="GV67" s="153"/>
      <c r="GW67" s="141"/>
      <c r="GX67" s="141"/>
      <c r="GY67" s="167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407"/>
      <c r="L68" s="70"/>
      <c r="M68" s="71"/>
      <c r="N68" s="164"/>
      <c r="O68" s="72"/>
      <c r="P68" s="113">
        <f t="shared" si="0"/>
        <v>0</v>
      </c>
      <c r="Q68" s="117"/>
      <c r="R68" s="117"/>
      <c r="S68" s="117"/>
      <c r="T68" s="39">
        <f t="shared" si="1"/>
        <v>0</v>
      </c>
      <c r="U68" s="143"/>
      <c r="V68" s="154"/>
      <c r="W68" s="165"/>
      <c r="X68" s="158"/>
      <c r="Y68" s="159"/>
      <c r="Z68" s="160"/>
      <c r="AA68" s="161"/>
      <c r="AB68" s="160"/>
      <c r="AC68" s="162"/>
      <c r="AD68" s="163"/>
      <c r="AE68" s="158"/>
      <c r="AF68" s="158"/>
      <c r="AG68" s="158"/>
      <c r="AH68" s="159"/>
      <c r="AI68" s="160"/>
      <c r="AJ68" s="161"/>
      <c r="AK68" s="160"/>
      <c r="AL68" s="162"/>
      <c r="AM68" s="163"/>
      <c r="AN68" s="158"/>
      <c r="AO68" s="158"/>
      <c r="AP68" s="158"/>
      <c r="AQ68" s="159"/>
      <c r="AR68" s="160"/>
      <c r="AS68" s="161"/>
      <c r="AT68" s="160"/>
      <c r="AU68" s="162"/>
      <c r="AV68" s="163"/>
      <c r="AW68" s="158"/>
      <c r="AX68" s="158"/>
      <c r="AY68" s="158"/>
      <c r="AZ68" s="159"/>
      <c r="BA68" s="160"/>
      <c r="BB68" s="161"/>
      <c r="BC68" s="160"/>
      <c r="BD68" s="162"/>
      <c r="BE68" s="163"/>
      <c r="BF68" s="158"/>
      <c r="BG68" s="158"/>
      <c r="BH68" s="158"/>
      <c r="BI68" s="159"/>
      <c r="BJ68" s="160"/>
      <c r="BK68" s="161"/>
      <c r="BL68" s="160"/>
      <c r="BM68" s="162"/>
      <c r="BN68" s="163"/>
      <c r="BO68" s="158"/>
      <c r="BP68" s="158"/>
      <c r="BQ68" s="158"/>
      <c r="BR68" s="159"/>
      <c r="BS68" s="160"/>
      <c r="BT68" s="161"/>
      <c r="BU68" s="160"/>
      <c r="BV68" s="162"/>
      <c r="BW68" s="163"/>
      <c r="BX68" s="158"/>
      <c r="BY68" s="158"/>
      <c r="BZ68" s="158"/>
      <c r="CA68" s="159"/>
      <c r="CB68" s="160"/>
      <c r="CC68" s="161"/>
      <c r="CD68" s="160"/>
      <c r="CE68" s="162"/>
      <c r="CF68" s="163"/>
      <c r="CG68" s="158"/>
      <c r="CH68" s="158"/>
      <c r="CI68" s="158"/>
      <c r="CJ68" s="159"/>
      <c r="CK68" s="160"/>
      <c r="CL68" s="161"/>
      <c r="CM68" s="160"/>
      <c r="CN68" s="162"/>
      <c r="CO68" s="163"/>
      <c r="CP68" s="158"/>
      <c r="CQ68" s="158"/>
      <c r="CR68" s="158"/>
      <c r="CS68" s="159"/>
      <c r="CT68" s="160"/>
      <c r="CU68" s="161"/>
      <c r="CV68" s="160"/>
      <c r="CW68" s="162"/>
      <c r="CX68" s="163"/>
      <c r="CY68" s="158"/>
      <c r="CZ68" s="158"/>
      <c r="DA68" s="158"/>
      <c r="DB68" s="159"/>
      <c r="DC68" s="160"/>
      <c r="DD68" s="161"/>
      <c r="DE68" s="160"/>
      <c r="DF68" s="162"/>
      <c r="DG68" s="163"/>
      <c r="DH68" s="158"/>
      <c r="DI68" s="158"/>
      <c r="DJ68" s="158"/>
      <c r="DK68" s="159"/>
      <c r="DL68" s="160"/>
      <c r="DM68" s="161"/>
      <c r="DN68" s="160"/>
      <c r="DO68" s="162"/>
      <c r="DP68" s="163"/>
      <c r="DQ68" s="158"/>
      <c r="DR68" s="158"/>
      <c r="DS68" s="158"/>
      <c r="DT68" s="159"/>
      <c r="DU68" s="160"/>
      <c r="DV68" s="161"/>
      <c r="DW68" s="160"/>
      <c r="DX68" s="162"/>
      <c r="DY68" s="163"/>
      <c r="DZ68" s="158"/>
      <c r="EA68" s="158"/>
      <c r="EB68" s="158"/>
      <c r="EC68" s="159"/>
      <c r="ED68" s="160"/>
      <c r="EE68" s="161"/>
      <c r="EF68" s="160"/>
      <c r="EG68" s="162"/>
      <c r="EH68" s="163"/>
      <c r="EI68" s="158"/>
      <c r="EJ68" s="158"/>
      <c r="EK68" s="158"/>
      <c r="EL68" s="159"/>
      <c r="EM68" s="160"/>
      <c r="EN68" s="161"/>
      <c r="EO68" s="160"/>
      <c r="EP68" s="162"/>
      <c r="EQ68" s="163"/>
      <c r="ER68" s="158"/>
      <c r="ES68" s="158"/>
      <c r="ET68" s="158"/>
      <c r="EU68" s="159"/>
      <c r="EV68" s="160"/>
      <c r="EW68" s="161"/>
      <c r="EX68" s="160"/>
      <c r="EY68" s="162"/>
      <c r="EZ68" s="163"/>
      <c r="FA68" s="158"/>
      <c r="FB68" s="158"/>
      <c r="FC68" s="158"/>
      <c r="FD68" s="159"/>
      <c r="FE68" s="160"/>
      <c r="FF68" s="161"/>
      <c r="FG68" s="160"/>
      <c r="FH68" s="162"/>
      <c r="FI68" s="163"/>
      <c r="FJ68" s="158"/>
      <c r="FK68" s="158"/>
      <c r="FL68" s="158"/>
      <c r="FM68" s="159"/>
      <c r="FN68" s="160"/>
      <c r="FO68" s="161"/>
      <c r="FP68" s="160"/>
      <c r="FQ68" s="162"/>
      <c r="FR68" s="163"/>
      <c r="FS68" s="158"/>
      <c r="FT68" s="158"/>
      <c r="FU68" s="158"/>
      <c r="FV68" s="159"/>
      <c r="FW68" s="160"/>
      <c r="FX68" s="161"/>
      <c r="FY68" s="160"/>
      <c r="FZ68" s="162"/>
      <c r="GA68" s="163"/>
      <c r="GB68" s="158"/>
      <c r="GC68" s="158"/>
      <c r="GD68" s="158"/>
      <c r="GE68" s="159"/>
      <c r="GF68" s="160"/>
      <c r="GG68" s="161"/>
      <c r="GH68" s="160"/>
      <c r="GI68" s="162"/>
      <c r="GJ68" s="163"/>
      <c r="GK68" s="158"/>
      <c r="GL68" s="158"/>
      <c r="GM68" s="158"/>
      <c r="GN68" s="159"/>
      <c r="GO68" s="160"/>
      <c r="GP68" s="161"/>
      <c r="GQ68" s="160"/>
      <c r="GR68" s="162"/>
      <c r="GS68" s="163"/>
      <c r="GT68" s="154"/>
      <c r="GU68" s="156"/>
      <c r="GV68" s="153"/>
      <c r="GW68" s="66"/>
      <c r="GX68" s="66"/>
      <c r="GY68" s="167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407"/>
      <c r="L69" s="70"/>
      <c r="M69" s="71"/>
      <c r="N69" s="56"/>
      <c r="O69" s="72"/>
      <c r="P69" s="113">
        <f t="shared" si="0"/>
        <v>0</v>
      </c>
      <c r="Q69" s="117"/>
      <c r="R69" s="117"/>
      <c r="S69" s="117"/>
      <c r="T69" s="39">
        <f t="shared" si="1"/>
        <v>0</v>
      </c>
      <c r="U69" s="138"/>
      <c r="V69" s="166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66"/>
      <c r="GU69" s="64"/>
      <c r="GV69" s="65"/>
      <c r="GW69" s="66"/>
      <c r="GX69" s="66"/>
      <c r="GY69" s="167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68"/>
      <c r="K70" s="407"/>
      <c r="L70" s="70"/>
      <c r="M70" s="71"/>
      <c r="N70" s="56"/>
      <c r="O70" s="72"/>
      <c r="P70" s="113">
        <f t="shared" si="0"/>
        <v>0</v>
      </c>
      <c r="Q70" s="117"/>
      <c r="R70" s="117"/>
      <c r="S70" s="117"/>
      <c r="T70" s="39">
        <f t="shared" si="1"/>
        <v>0</v>
      </c>
      <c r="U70" s="138"/>
      <c r="V70" s="166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66"/>
      <c r="GU70" s="64"/>
      <c r="GV70" s="65"/>
      <c r="GW70" s="66"/>
      <c r="GX70" s="66"/>
      <c r="GY70" s="167"/>
      <c r="GZ70" s="86"/>
    </row>
    <row r="71" spans="1:208" x14ac:dyDescent="0.25">
      <c r="A71"/>
      <c r="D71" s="35"/>
      <c r="E71" s="36"/>
      <c r="F71" s="37"/>
      <c r="G71" s="38"/>
      <c r="H71" s="39"/>
      <c r="I71" s="40"/>
      <c r="J71" s="68"/>
      <c r="K71" s="407"/>
      <c r="L71" s="70"/>
      <c r="M71" s="71"/>
      <c r="N71" s="56"/>
      <c r="O71" s="72"/>
      <c r="P71" s="113">
        <f t="shared" si="0"/>
        <v>0</v>
      </c>
      <c r="Q71" s="117"/>
      <c r="R71" s="117"/>
      <c r="S71" s="117"/>
      <c r="T71" s="39">
        <f t="shared" si="1"/>
        <v>0</v>
      </c>
      <c r="U71" s="138"/>
      <c r="V71" s="166"/>
      <c r="W71" s="86"/>
      <c r="X71" s="68"/>
      <c r="Y71" s="167"/>
      <c r="Z71" s="168"/>
      <c r="AA71" s="169"/>
      <c r="AB71" s="168"/>
      <c r="AC71" s="170"/>
      <c r="AD71" s="171"/>
      <c r="AE71" s="68"/>
      <c r="AF71" s="68"/>
      <c r="AG71" s="68"/>
      <c r="AH71" s="167"/>
      <c r="AI71" s="168"/>
      <c r="AJ71" s="169"/>
      <c r="AK71" s="168"/>
      <c r="AL71" s="170"/>
      <c r="AM71" s="171"/>
      <c r="AN71" s="68"/>
      <c r="AO71" s="68"/>
      <c r="AP71" s="68"/>
      <c r="AQ71" s="167"/>
      <c r="AR71" s="168"/>
      <c r="AS71" s="169"/>
      <c r="AT71" s="168"/>
      <c r="AU71" s="170"/>
      <c r="AV71" s="171"/>
      <c r="AW71" s="68"/>
      <c r="AX71" s="68"/>
      <c r="AY71" s="68"/>
      <c r="AZ71" s="167"/>
      <c r="BA71" s="168"/>
      <c r="BB71" s="169"/>
      <c r="BC71" s="168"/>
      <c r="BD71" s="170"/>
      <c r="BE71" s="171"/>
      <c r="BF71" s="68"/>
      <c r="BG71" s="68"/>
      <c r="BH71" s="68"/>
      <c r="BI71" s="167"/>
      <c r="BJ71" s="168"/>
      <c r="BK71" s="169"/>
      <c r="BL71" s="168"/>
      <c r="BM71" s="170"/>
      <c r="BN71" s="171"/>
      <c r="BO71" s="68"/>
      <c r="BP71" s="68"/>
      <c r="BQ71" s="68"/>
      <c r="BR71" s="167"/>
      <c r="BS71" s="168"/>
      <c r="BT71" s="169"/>
      <c r="BU71" s="168"/>
      <c r="BV71" s="170"/>
      <c r="BW71" s="171"/>
      <c r="BX71" s="68"/>
      <c r="BY71" s="68"/>
      <c r="BZ71" s="68"/>
      <c r="CA71" s="167"/>
      <c r="CB71" s="168"/>
      <c r="CC71" s="169"/>
      <c r="CD71" s="168"/>
      <c r="CE71" s="170"/>
      <c r="CF71" s="171"/>
      <c r="CG71" s="68"/>
      <c r="CH71" s="68"/>
      <c r="CI71" s="68"/>
      <c r="CJ71" s="167"/>
      <c r="CK71" s="168"/>
      <c r="CL71" s="169"/>
      <c r="CM71" s="168"/>
      <c r="CN71" s="170"/>
      <c r="CO71" s="171"/>
      <c r="CP71" s="68"/>
      <c r="CQ71" s="68"/>
      <c r="CR71" s="68"/>
      <c r="CS71" s="167"/>
      <c r="CT71" s="168"/>
      <c r="CU71" s="169"/>
      <c r="CV71" s="168"/>
      <c r="CW71" s="170"/>
      <c r="CX71" s="171"/>
      <c r="CY71" s="68"/>
      <c r="CZ71" s="68"/>
      <c r="DA71" s="68"/>
      <c r="DB71" s="167"/>
      <c r="DC71" s="168"/>
      <c r="DD71" s="169"/>
      <c r="DE71" s="168"/>
      <c r="DF71" s="170"/>
      <c r="DG71" s="171"/>
      <c r="DH71" s="68"/>
      <c r="DI71" s="68"/>
      <c r="DJ71" s="68"/>
      <c r="DK71" s="167"/>
      <c r="DL71" s="168"/>
      <c r="DM71" s="169"/>
      <c r="DN71" s="168"/>
      <c r="DO71" s="170"/>
      <c r="DP71" s="171"/>
      <c r="DQ71" s="68"/>
      <c r="DR71" s="68"/>
      <c r="DS71" s="68"/>
      <c r="DT71" s="167"/>
      <c r="DU71" s="168"/>
      <c r="DV71" s="169"/>
      <c r="DW71" s="168"/>
      <c r="DX71" s="170"/>
      <c r="DY71" s="171"/>
      <c r="DZ71" s="68"/>
      <c r="EA71" s="68"/>
      <c r="EB71" s="68"/>
      <c r="EC71" s="167"/>
      <c r="ED71" s="168"/>
      <c r="EE71" s="169"/>
      <c r="EF71" s="168"/>
      <c r="EG71" s="170"/>
      <c r="EH71" s="171"/>
      <c r="EI71" s="68"/>
      <c r="EJ71" s="68"/>
      <c r="EK71" s="68"/>
      <c r="EL71" s="167"/>
      <c r="EM71" s="168"/>
      <c r="EN71" s="169"/>
      <c r="EO71" s="168"/>
      <c r="EP71" s="170"/>
      <c r="EQ71" s="171"/>
      <c r="ER71" s="68"/>
      <c r="ES71" s="68"/>
      <c r="ET71" s="68"/>
      <c r="EU71" s="167"/>
      <c r="EV71" s="168"/>
      <c r="EW71" s="169"/>
      <c r="EX71" s="168"/>
      <c r="EY71" s="170"/>
      <c r="EZ71" s="171"/>
      <c r="FA71" s="68"/>
      <c r="FB71" s="68"/>
      <c r="FC71" s="68"/>
      <c r="FD71" s="167"/>
      <c r="FE71" s="168"/>
      <c r="FF71" s="169"/>
      <c r="FG71" s="168"/>
      <c r="FH71" s="170"/>
      <c r="FI71" s="171"/>
      <c r="FJ71" s="68"/>
      <c r="FK71" s="68"/>
      <c r="FL71" s="68"/>
      <c r="FM71" s="167"/>
      <c r="FN71" s="168"/>
      <c r="FO71" s="169"/>
      <c r="FP71" s="168"/>
      <c r="FQ71" s="170"/>
      <c r="FR71" s="171"/>
      <c r="FS71" s="68"/>
      <c r="FT71" s="68"/>
      <c r="FU71" s="68"/>
      <c r="FV71" s="167"/>
      <c r="FW71" s="168"/>
      <c r="FX71" s="169"/>
      <c r="FY71" s="168"/>
      <c r="FZ71" s="170"/>
      <c r="GA71" s="171"/>
      <c r="GB71" s="68"/>
      <c r="GC71" s="68"/>
      <c r="GD71" s="68"/>
      <c r="GE71" s="167"/>
      <c r="GF71" s="168"/>
      <c r="GG71" s="169"/>
      <c r="GH71" s="168"/>
      <c r="GI71" s="170"/>
      <c r="GJ71" s="171"/>
      <c r="GK71" s="68"/>
      <c r="GL71" s="68"/>
      <c r="GM71" s="68"/>
      <c r="GN71" s="167"/>
      <c r="GO71" s="168"/>
      <c r="GP71" s="169"/>
      <c r="GQ71" s="168"/>
      <c r="GR71" s="170"/>
      <c r="GS71" s="171"/>
      <c r="GT71" s="171"/>
      <c r="GU71" s="64"/>
      <c r="GV71" s="65"/>
      <c r="GW71" s="66"/>
      <c r="GX71" s="66"/>
      <c r="GY71" s="167"/>
      <c r="GZ71" s="86"/>
    </row>
    <row r="72" spans="1:208" x14ac:dyDescent="0.25">
      <c r="A72"/>
      <c r="D72" s="35"/>
      <c r="E72" s="36"/>
      <c r="F72" s="37"/>
      <c r="G72" s="38"/>
      <c r="H72" s="39"/>
      <c r="I72" s="40"/>
      <c r="J72" s="68"/>
      <c r="K72" s="407"/>
      <c r="L72" s="70"/>
      <c r="M72" s="71"/>
      <c r="N72" s="56"/>
      <c r="O72" s="72"/>
      <c r="P72" s="113">
        <f t="shared" si="0"/>
        <v>0</v>
      </c>
      <c r="Q72" s="117"/>
      <c r="R72" s="117"/>
      <c r="S72" s="117"/>
      <c r="T72" s="39">
        <f t="shared" si="1"/>
        <v>0</v>
      </c>
      <c r="U72" s="138"/>
      <c r="V72" s="166"/>
      <c r="W72" s="86"/>
      <c r="X72" s="68"/>
      <c r="Y72" s="167"/>
      <c r="Z72" s="168"/>
      <c r="AA72" s="169"/>
      <c r="AB72" s="168"/>
      <c r="AC72" s="170"/>
      <c r="AD72" s="171"/>
      <c r="AE72" s="68"/>
      <c r="AF72" s="68"/>
      <c r="AG72" s="68"/>
      <c r="AH72" s="167"/>
      <c r="AI72" s="168"/>
      <c r="AJ72" s="169"/>
      <c r="AK72" s="168"/>
      <c r="AL72" s="170"/>
      <c r="AM72" s="171"/>
      <c r="AN72" s="68"/>
      <c r="AO72" s="68"/>
      <c r="AP72" s="68"/>
      <c r="AQ72" s="167"/>
      <c r="AR72" s="168"/>
      <c r="AS72" s="169"/>
      <c r="AT72" s="168"/>
      <c r="AU72" s="170"/>
      <c r="AV72" s="171"/>
      <c r="AW72" s="68"/>
      <c r="AX72" s="68"/>
      <c r="AY72" s="68"/>
      <c r="AZ72" s="167"/>
      <c r="BA72" s="168"/>
      <c r="BB72" s="169"/>
      <c r="BC72" s="168"/>
      <c r="BD72" s="170"/>
      <c r="BE72" s="171"/>
      <c r="BF72" s="68"/>
      <c r="BG72" s="68"/>
      <c r="BH72" s="68"/>
      <c r="BI72" s="167"/>
      <c r="BJ72" s="168"/>
      <c r="BK72" s="169"/>
      <c r="BL72" s="168"/>
      <c r="BM72" s="170"/>
      <c r="BN72" s="171"/>
      <c r="BO72" s="68"/>
      <c r="BP72" s="68"/>
      <c r="BQ72" s="68"/>
      <c r="BR72" s="167"/>
      <c r="BS72" s="168"/>
      <c r="BT72" s="169"/>
      <c r="BU72" s="168"/>
      <c r="BV72" s="170"/>
      <c r="BW72" s="171"/>
      <c r="BX72" s="68"/>
      <c r="BY72" s="68"/>
      <c r="BZ72" s="68"/>
      <c r="CA72" s="167"/>
      <c r="CB72" s="168"/>
      <c r="CC72" s="169"/>
      <c r="CD72" s="168"/>
      <c r="CE72" s="170"/>
      <c r="CF72" s="171"/>
      <c r="CG72" s="68"/>
      <c r="CH72" s="68"/>
      <c r="CI72" s="68"/>
      <c r="CJ72" s="167"/>
      <c r="CK72" s="168"/>
      <c r="CL72" s="169"/>
      <c r="CM72" s="168"/>
      <c r="CN72" s="170"/>
      <c r="CO72" s="171"/>
      <c r="CP72" s="68"/>
      <c r="CQ72" s="68"/>
      <c r="CR72" s="68"/>
      <c r="CS72" s="167"/>
      <c r="CT72" s="168"/>
      <c r="CU72" s="169"/>
      <c r="CV72" s="168"/>
      <c r="CW72" s="170"/>
      <c r="CX72" s="171"/>
      <c r="CY72" s="68"/>
      <c r="CZ72" s="68"/>
      <c r="DA72" s="68"/>
      <c r="DB72" s="167"/>
      <c r="DC72" s="168"/>
      <c r="DD72" s="169"/>
      <c r="DE72" s="168"/>
      <c r="DF72" s="170"/>
      <c r="DG72" s="171"/>
      <c r="DH72" s="68"/>
      <c r="DI72" s="68"/>
      <c r="DJ72" s="68"/>
      <c r="DK72" s="167"/>
      <c r="DL72" s="168"/>
      <c r="DM72" s="169"/>
      <c r="DN72" s="168"/>
      <c r="DO72" s="170"/>
      <c r="DP72" s="171"/>
      <c r="DQ72" s="68"/>
      <c r="DR72" s="68"/>
      <c r="DS72" s="68"/>
      <c r="DT72" s="167"/>
      <c r="DU72" s="168"/>
      <c r="DV72" s="169"/>
      <c r="DW72" s="168"/>
      <c r="DX72" s="170"/>
      <c r="DY72" s="171"/>
      <c r="DZ72" s="68"/>
      <c r="EA72" s="68"/>
      <c r="EB72" s="68"/>
      <c r="EC72" s="167"/>
      <c r="ED72" s="168"/>
      <c r="EE72" s="169"/>
      <c r="EF72" s="168"/>
      <c r="EG72" s="170"/>
      <c r="EH72" s="171"/>
      <c r="EI72" s="68"/>
      <c r="EJ72" s="68"/>
      <c r="EK72" s="68"/>
      <c r="EL72" s="167"/>
      <c r="EM72" s="168"/>
      <c r="EN72" s="169"/>
      <c r="EO72" s="168"/>
      <c r="EP72" s="170"/>
      <c r="EQ72" s="171"/>
      <c r="ER72" s="68"/>
      <c r="ES72" s="68"/>
      <c r="ET72" s="68"/>
      <c r="EU72" s="167"/>
      <c r="EV72" s="168"/>
      <c r="EW72" s="169"/>
      <c r="EX72" s="168"/>
      <c r="EY72" s="170"/>
      <c r="EZ72" s="171"/>
      <c r="FA72" s="68"/>
      <c r="FB72" s="68"/>
      <c r="FC72" s="68"/>
      <c r="FD72" s="167"/>
      <c r="FE72" s="168"/>
      <c r="FF72" s="169"/>
      <c r="FG72" s="168"/>
      <c r="FH72" s="170"/>
      <c r="FI72" s="171"/>
      <c r="FJ72" s="68"/>
      <c r="FK72" s="68"/>
      <c r="FL72" s="68"/>
      <c r="FM72" s="167"/>
      <c r="FN72" s="168"/>
      <c r="FO72" s="169"/>
      <c r="FP72" s="168"/>
      <c r="FQ72" s="170"/>
      <c r="FR72" s="171"/>
      <c r="FS72" s="68"/>
      <c r="FT72" s="68"/>
      <c r="FU72" s="68"/>
      <c r="FV72" s="167"/>
      <c r="FW72" s="168"/>
      <c r="FX72" s="169"/>
      <c r="FY72" s="168"/>
      <c r="FZ72" s="170"/>
      <c r="GA72" s="171"/>
      <c r="GB72" s="68"/>
      <c r="GC72" s="68"/>
      <c r="GD72" s="68"/>
      <c r="GE72" s="167"/>
      <c r="GF72" s="168"/>
      <c r="GG72" s="169"/>
      <c r="GH72" s="168"/>
      <c r="GI72" s="170"/>
      <c r="GJ72" s="171"/>
      <c r="GK72" s="68"/>
      <c r="GL72" s="68"/>
      <c r="GM72" s="68"/>
      <c r="GN72" s="167"/>
      <c r="GO72" s="168"/>
      <c r="GP72" s="169"/>
      <c r="GQ72" s="168"/>
      <c r="GR72" s="170"/>
      <c r="GS72" s="171"/>
      <c r="GT72" s="171"/>
      <c r="GU72" s="64"/>
      <c r="GV72" s="65"/>
      <c r="GW72" s="66"/>
      <c r="GX72" s="66"/>
      <c r="GY72" s="167"/>
      <c r="GZ72" s="86"/>
    </row>
    <row r="73" spans="1:208" x14ac:dyDescent="0.25">
      <c r="A73"/>
      <c r="D73" s="35"/>
      <c r="E73" s="36"/>
      <c r="F73" s="37"/>
      <c r="G73" s="38"/>
      <c r="H73" s="39"/>
      <c r="I73" s="40"/>
      <c r="J73" s="68"/>
      <c r="K73" s="407"/>
      <c r="L73" s="70"/>
      <c r="M73" s="71"/>
      <c r="N73" s="56"/>
      <c r="O73" s="72"/>
      <c r="P73" s="113">
        <f t="shared" si="0"/>
        <v>0</v>
      </c>
      <c r="Q73" s="117"/>
      <c r="R73" s="117"/>
      <c r="S73" s="117"/>
      <c r="T73" s="39">
        <f t="shared" si="1"/>
        <v>0</v>
      </c>
      <c r="U73" s="138"/>
      <c r="V73" s="166"/>
      <c r="W73" s="86"/>
      <c r="X73" s="68"/>
      <c r="Y73" s="167"/>
      <c r="Z73" s="168"/>
      <c r="AA73" s="169"/>
      <c r="AB73" s="168"/>
      <c r="AC73" s="170"/>
      <c r="AD73" s="171"/>
      <c r="AE73" s="68"/>
      <c r="AF73" s="68"/>
      <c r="AG73" s="68"/>
      <c r="AH73" s="167"/>
      <c r="AI73" s="168"/>
      <c r="AJ73" s="169"/>
      <c r="AK73" s="168"/>
      <c r="AL73" s="170"/>
      <c r="AM73" s="171"/>
      <c r="AN73" s="68"/>
      <c r="AO73" s="68"/>
      <c r="AP73" s="68"/>
      <c r="AQ73" s="167"/>
      <c r="AR73" s="168"/>
      <c r="AS73" s="169"/>
      <c r="AT73" s="168"/>
      <c r="AU73" s="170"/>
      <c r="AV73" s="171"/>
      <c r="AW73" s="68"/>
      <c r="AX73" s="68"/>
      <c r="AY73" s="68"/>
      <c r="AZ73" s="167"/>
      <c r="BA73" s="168"/>
      <c r="BB73" s="169"/>
      <c r="BC73" s="168"/>
      <c r="BD73" s="170"/>
      <c r="BE73" s="171"/>
      <c r="BF73" s="68"/>
      <c r="BG73" s="68"/>
      <c r="BH73" s="68"/>
      <c r="BI73" s="167"/>
      <c r="BJ73" s="168"/>
      <c r="BK73" s="169"/>
      <c r="BL73" s="168"/>
      <c r="BM73" s="170"/>
      <c r="BN73" s="171"/>
      <c r="BO73" s="68"/>
      <c r="BP73" s="68"/>
      <c r="BQ73" s="68"/>
      <c r="BR73" s="167"/>
      <c r="BS73" s="168"/>
      <c r="BT73" s="169"/>
      <c r="BU73" s="168"/>
      <c r="BV73" s="170"/>
      <c r="BW73" s="171"/>
      <c r="BX73" s="68"/>
      <c r="BY73" s="68"/>
      <c r="BZ73" s="68"/>
      <c r="CA73" s="167"/>
      <c r="CB73" s="168"/>
      <c r="CC73" s="169"/>
      <c r="CD73" s="168"/>
      <c r="CE73" s="170"/>
      <c r="CF73" s="171"/>
      <c r="CG73" s="68"/>
      <c r="CH73" s="68"/>
      <c r="CI73" s="68"/>
      <c r="CJ73" s="167"/>
      <c r="CK73" s="168"/>
      <c r="CL73" s="169"/>
      <c r="CM73" s="168"/>
      <c r="CN73" s="170"/>
      <c r="CO73" s="171"/>
      <c r="CP73" s="68"/>
      <c r="CQ73" s="68"/>
      <c r="CR73" s="68"/>
      <c r="CS73" s="167"/>
      <c r="CT73" s="168"/>
      <c r="CU73" s="169"/>
      <c r="CV73" s="168"/>
      <c r="CW73" s="170"/>
      <c r="CX73" s="171"/>
      <c r="CY73" s="68"/>
      <c r="CZ73" s="68"/>
      <c r="DA73" s="68"/>
      <c r="DB73" s="167"/>
      <c r="DC73" s="168"/>
      <c r="DD73" s="169"/>
      <c r="DE73" s="168"/>
      <c r="DF73" s="170"/>
      <c r="DG73" s="171"/>
      <c r="DH73" s="68"/>
      <c r="DI73" s="68"/>
      <c r="DJ73" s="68"/>
      <c r="DK73" s="167"/>
      <c r="DL73" s="168"/>
      <c r="DM73" s="169"/>
      <c r="DN73" s="168"/>
      <c r="DO73" s="170"/>
      <c r="DP73" s="171"/>
      <c r="DQ73" s="68"/>
      <c r="DR73" s="68"/>
      <c r="DS73" s="68"/>
      <c r="DT73" s="167"/>
      <c r="DU73" s="168"/>
      <c r="DV73" s="169"/>
      <c r="DW73" s="168"/>
      <c r="DX73" s="170"/>
      <c r="DY73" s="171"/>
      <c r="DZ73" s="68"/>
      <c r="EA73" s="68"/>
      <c r="EB73" s="68"/>
      <c r="EC73" s="167"/>
      <c r="ED73" s="168"/>
      <c r="EE73" s="169"/>
      <c r="EF73" s="168"/>
      <c r="EG73" s="170"/>
      <c r="EH73" s="171"/>
      <c r="EI73" s="68"/>
      <c r="EJ73" s="68"/>
      <c r="EK73" s="68"/>
      <c r="EL73" s="167"/>
      <c r="EM73" s="168"/>
      <c r="EN73" s="169"/>
      <c r="EO73" s="168"/>
      <c r="EP73" s="170"/>
      <c r="EQ73" s="171"/>
      <c r="ER73" s="68"/>
      <c r="ES73" s="68"/>
      <c r="ET73" s="68"/>
      <c r="EU73" s="167"/>
      <c r="EV73" s="168"/>
      <c r="EW73" s="169"/>
      <c r="EX73" s="168"/>
      <c r="EY73" s="170"/>
      <c r="EZ73" s="171"/>
      <c r="FA73" s="68"/>
      <c r="FB73" s="68"/>
      <c r="FC73" s="68"/>
      <c r="FD73" s="167"/>
      <c r="FE73" s="168"/>
      <c r="FF73" s="169"/>
      <c r="FG73" s="168"/>
      <c r="FH73" s="170"/>
      <c r="FI73" s="171"/>
      <c r="FJ73" s="68"/>
      <c r="FK73" s="68"/>
      <c r="FL73" s="68"/>
      <c r="FM73" s="167"/>
      <c r="FN73" s="168"/>
      <c r="FO73" s="169"/>
      <c r="FP73" s="168"/>
      <c r="FQ73" s="170"/>
      <c r="FR73" s="171"/>
      <c r="FS73" s="68"/>
      <c r="FT73" s="68"/>
      <c r="FU73" s="68"/>
      <c r="FV73" s="167"/>
      <c r="FW73" s="168"/>
      <c r="FX73" s="169"/>
      <c r="FY73" s="168"/>
      <c r="FZ73" s="170"/>
      <c r="GA73" s="171"/>
      <c r="GB73" s="68"/>
      <c r="GC73" s="68"/>
      <c r="GD73" s="68"/>
      <c r="GE73" s="167"/>
      <c r="GF73" s="168"/>
      <c r="GG73" s="169"/>
      <c r="GH73" s="168"/>
      <c r="GI73" s="170"/>
      <c r="GJ73" s="171"/>
      <c r="GK73" s="68"/>
      <c r="GL73" s="68"/>
      <c r="GM73" s="68"/>
      <c r="GN73" s="167"/>
      <c r="GO73" s="168"/>
      <c r="GP73" s="169"/>
      <c r="GQ73" s="168"/>
      <c r="GR73" s="170"/>
      <c r="GS73" s="171"/>
      <c r="GT73" s="171"/>
      <c r="GU73" s="64"/>
      <c r="GV73" s="65"/>
      <c r="GW73" s="66"/>
      <c r="GX73" s="66"/>
      <c r="GY73" s="167"/>
      <c r="GZ73" s="86"/>
    </row>
    <row r="74" spans="1:208" x14ac:dyDescent="0.25">
      <c r="A74"/>
      <c r="D74" s="35"/>
      <c r="E74" s="36"/>
      <c r="F74" s="37"/>
      <c r="G74" s="38"/>
      <c r="H74" s="39"/>
      <c r="I74" s="40"/>
      <c r="J74" s="68"/>
      <c r="K74" s="407"/>
      <c r="L74" s="70"/>
      <c r="M74" s="71"/>
      <c r="N74" s="56"/>
      <c r="O74" s="72"/>
      <c r="P74" s="113">
        <f t="shared" si="0"/>
        <v>0</v>
      </c>
      <c r="Q74" s="117"/>
      <c r="R74" s="117"/>
      <c r="S74" s="117"/>
      <c r="T74" s="39">
        <f t="shared" si="1"/>
        <v>0</v>
      </c>
      <c r="U74" s="138"/>
      <c r="V74" s="166"/>
      <c r="W74" s="86"/>
      <c r="X74" s="68"/>
      <c r="Y74" s="167"/>
      <c r="Z74" s="168"/>
      <c r="AA74" s="169"/>
      <c r="AB74" s="168"/>
      <c r="AC74" s="170"/>
      <c r="AD74" s="171"/>
      <c r="AE74" s="68"/>
      <c r="AF74" s="68"/>
      <c r="AG74" s="68"/>
      <c r="AH74" s="167"/>
      <c r="AI74" s="168"/>
      <c r="AJ74" s="169"/>
      <c r="AK74" s="168"/>
      <c r="AL74" s="170"/>
      <c r="AM74" s="171"/>
      <c r="AN74" s="68"/>
      <c r="AO74" s="68"/>
      <c r="AP74" s="68"/>
      <c r="AQ74" s="167"/>
      <c r="AR74" s="168"/>
      <c r="AS74" s="169"/>
      <c r="AT74" s="168"/>
      <c r="AU74" s="170"/>
      <c r="AV74" s="171"/>
      <c r="AW74" s="68"/>
      <c r="AX74" s="68"/>
      <c r="AY74" s="68"/>
      <c r="AZ74" s="167"/>
      <c r="BA74" s="168"/>
      <c r="BB74" s="169"/>
      <c r="BC74" s="168"/>
      <c r="BD74" s="170"/>
      <c r="BE74" s="171"/>
      <c r="BF74" s="68"/>
      <c r="BG74" s="68"/>
      <c r="BH74" s="68"/>
      <c r="BI74" s="167"/>
      <c r="BJ74" s="168"/>
      <c r="BK74" s="169"/>
      <c r="BL74" s="168"/>
      <c r="BM74" s="170"/>
      <c r="BN74" s="171"/>
      <c r="BO74" s="68"/>
      <c r="BP74" s="68"/>
      <c r="BQ74" s="68"/>
      <c r="BR74" s="167"/>
      <c r="BS74" s="168"/>
      <c r="BT74" s="169"/>
      <c r="BU74" s="168"/>
      <c r="BV74" s="170"/>
      <c r="BW74" s="171"/>
      <c r="BX74" s="68"/>
      <c r="BY74" s="68"/>
      <c r="BZ74" s="68"/>
      <c r="CA74" s="167"/>
      <c r="CB74" s="168"/>
      <c r="CC74" s="169"/>
      <c r="CD74" s="168"/>
      <c r="CE74" s="170"/>
      <c r="CF74" s="171"/>
      <c r="CG74" s="68"/>
      <c r="CH74" s="68"/>
      <c r="CI74" s="68"/>
      <c r="CJ74" s="167"/>
      <c r="CK74" s="168"/>
      <c r="CL74" s="169"/>
      <c r="CM74" s="168"/>
      <c r="CN74" s="170"/>
      <c r="CO74" s="171"/>
      <c r="CP74" s="68"/>
      <c r="CQ74" s="68"/>
      <c r="CR74" s="68"/>
      <c r="CS74" s="167"/>
      <c r="CT74" s="168"/>
      <c r="CU74" s="169"/>
      <c r="CV74" s="168"/>
      <c r="CW74" s="170"/>
      <c r="CX74" s="171"/>
      <c r="CY74" s="68"/>
      <c r="CZ74" s="68"/>
      <c r="DA74" s="68"/>
      <c r="DB74" s="167"/>
      <c r="DC74" s="168"/>
      <c r="DD74" s="169"/>
      <c r="DE74" s="168"/>
      <c r="DF74" s="170"/>
      <c r="DG74" s="171"/>
      <c r="DH74" s="68"/>
      <c r="DI74" s="68"/>
      <c r="DJ74" s="68"/>
      <c r="DK74" s="167"/>
      <c r="DL74" s="168"/>
      <c r="DM74" s="169"/>
      <c r="DN74" s="168"/>
      <c r="DO74" s="170"/>
      <c r="DP74" s="171"/>
      <c r="DQ74" s="68"/>
      <c r="DR74" s="68"/>
      <c r="DS74" s="68"/>
      <c r="DT74" s="167"/>
      <c r="DU74" s="168"/>
      <c r="DV74" s="169"/>
      <c r="DW74" s="168"/>
      <c r="DX74" s="170"/>
      <c r="DY74" s="171"/>
      <c r="DZ74" s="68"/>
      <c r="EA74" s="68"/>
      <c r="EB74" s="68"/>
      <c r="EC74" s="167"/>
      <c r="ED74" s="168"/>
      <c r="EE74" s="169"/>
      <c r="EF74" s="168"/>
      <c r="EG74" s="170"/>
      <c r="EH74" s="171"/>
      <c r="EI74" s="68"/>
      <c r="EJ74" s="68"/>
      <c r="EK74" s="68"/>
      <c r="EL74" s="167"/>
      <c r="EM74" s="168"/>
      <c r="EN74" s="169"/>
      <c r="EO74" s="168"/>
      <c r="EP74" s="170"/>
      <c r="EQ74" s="171"/>
      <c r="ER74" s="68"/>
      <c r="ES74" s="68"/>
      <c r="ET74" s="68"/>
      <c r="EU74" s="167"/>
      <c r="EV74" s="168"/>
      <c r="EW74" s="169"/>
      <c r="EX74" s="168"/>
      <c r="EY74" s="170"/>
      <c r="EZ74" s="171"/>
      <c r="FA74" s="68"/>
      <c r="FB74" s="68"/>
      <c r="FC74" s="68"/>
      <c r="FD74" s="167"/>
      <c r="FE74" s="168"/>
      <c r="FF74" s="169"/>
      <c r="FG74" s="168"/>
      <c r="FH74" s="170"/>
      <c r="FI74" s="171"/>
      <c r="FJ74" s="68"/>
      <c r="FK74" s="68"/>
      <c r="FL74" s="68"/>
      <c r="FM74" s="167"/>
      <c r="FN74" s="168"/>
      <c r="FO74" s="169"/>
      <c r="FP74" s="168"/>
      <c r="FQ74" s="170"/>
      <c r="FR74" s="171"/>
      <c r="FS74" s="68"/>
      <c r="FT74" s="68"/>
      <c r="FU74" s="68"/>
      <c r="FV74" s="167"/>
      <c r="FW74" s="168"/>
      <c r="FX74" s="169"/>
      <c r="FY74" s="168"/>
      <c r="FZ74" s="170"/>
      <c r="GA74" s="171"/>
      <c r="GB74" s="68"/>
      <c r="GC74" s="68"/>
      <c r="GD74" s="68"/>
      <c r="GE74" s="167"/>
      <c r="GF74" s="168"/>
      <c r="GG74" s="169"/>
      <c r="GH74" s="168"/>
      <c r="GI74" s="170"/>
      <c r="GJ74" s="171"/>
      <c r="GK74" s="68"/>
      <c r="GL74" s="68"/>
      <c r="GM74" s="68"/>
      <c r="GN74" s="167"/>
      <c r="GO74" s="168"/>
      <c r="GP74" s="169"/>
      <c r="GQ74" s="168"/>
      <c r="GR74" s="170"/>
      <c r="GS74" s="171"/>
      <c r="GT74" s="171"/>
      <c r="GU74" s="64"/>
      <c r="GV74" s="65"/>
      <c r="GW74" s="66"/>
      <c r="GX74" s="66"/>
      <c r="GY74" s="167"/>
      <c r="GZ74" s="86"/>
    </row>
    <row r="75" spans="1:208" x14ac:dyDescent="0.25">
      <c r="A75"/>
      <c r="D75" s="35"/>
      <c r="E75" s="36"/>
      <c r="F75" s="37"/>
      <c r="G75" s="38"/>
      <c r="H75" s="39"/>
      <c r="I75" s="40"/>
      <c r="J75" s="68"/>
      <c r="K75" s="407"/>
      <c r="L75" s="70"/>
      <c r="M75" s="71"/>
      <c r="N75" s="56"/>
      <c r="O75" s="72"/>
      <c r="P75" s="113">
        <f t="shared" ref="P75:P77" si="5">O75-L75</f>
        <v>0</v>
      </c>
      <c r="Q75" s="117"/>
      <c r="R75" s="117"/>
      <c r="S75" s="117"/>
      <c r="T75" s="39">
        <f t="shared" si="1"/>
        <v>0</v>
      </c>
      <c r="U75" s="138"/>
      <c r="V75" s="172"/>
      <c r="W75" s="86"/>
      <c r="X75" s="68"/>
      <c r="Y75" s="167"/>
      <c r="Z75" s="168"/>
      <c r="AA75" s="169"/>
      <c r="AB75" s="168"/>
      <c r="AC75" s="170"/>
      <c r="AD75" s="171"/>
      <c r="AE75" s="68"/>
      <c r="AF75" s="68"/>
      <c r="AG75" s="68"/>
      <c r="AH75" s="167"/>
      <c r="AI75" s="168"/>
      <c r="AJ75" s="169"/>
      <c r="AK75" s="168"/>
      <c r="AL75" s="170"/>
      <c r="AM75" s="171"/>
      <c r="AN75" s="68"/>
      <c r="AO75" s="68"/>
      <c r="AP75" s="68"/>
      <c r="AQ75" s="167"/>
      <c r="AR75" s="168"/>
      <c r="AS75" s="169"/>
      <c r="AT75" s="168"/>
      <c r="AU75" s="170"/>
      <c r="AV75" s="171"/>
      <c r="AW75" s="68"/>
      <c r="AX75" s="68"/>
      <c r="AY75" s="68"/>
      <c r="AZ75" s="167"/>
      <c r="BA75" s="168"/>
      <c r="BB75" s="169"/>
      <c r="BC75" s="168"/>
      <c r="BD75" s="170"/>
      <c r="BE75" s="171"/>
      <c r="BF75" s="68"/>
      <c r="BG75" s="68"/>
      <c r="BH75" s="68"/>
      <c r="BI75" s="167"/>
      <c r="BJ75" s="168"/>
      <c r="BK75" s="169"/>
      <c r="BL75" s="168"/>
      <c r="BM75" s="170"/>
      <c r="BN75" s="171"/>
      <c r="BO75" s="68"/>
      <c r="BP75" s="68"/>
      <c r="BQ75" s="68"/>
      <c r="BR75" s="167"/>
      <c r="BS75" s="168"/>
      <c r="BT75" s="169"/>
      <c r="BU75" s="168"/>
      <c r="BV75" s="170"/>
      <c r="BW75" s="171"/>
      <c r="BX75" s="68"/>
      <c r="BY75" s="68"/>
      <c r="BZ75" s="68"/>
      <c r="CA75" s="167"/>
      <c r="CB75" s="168"/>
      <c r="CC75" s="169"/>
      <c r="CD75" s="168"/>
      <c r="CE75" s="170"/>
      <c r="CF75" s="171"/>
      <c r="CG75" s="68"/>
      <c r="CH75" s="68"/>
      <c r="CI75" s="68"/>
      <c r="CJ75" s="167"/>
      <c r="CK75" s="168"/>
      <c r="CL75" s="169"/>
      <c r="CM75" s="168"/>
      <c r="CN75" s="170"/>
      <c r="CO75" s="171"/>
      <c r="CP75" s="68"/>
      <c r="CQ75" s="68"/>
      <c r="CR75" s="68"/>
      <c r="CS75" s="167"/>
      <c r="CT75" s="168"/>
      <c r="CU75" s="169"/>
      <c r="CV75" s="168"/>
      <c r="CW75" s="170"/>
      <c r="CX75" s="171"/>
      <c r="CY75" s="68"/>
      <c r="CZ75" s="68"/>
      <c r="DA75" s="68"/>
      <c r="DB75" s="167"/>
      <c r="DC75" s="168"/>
      <c r="DD75" s="169"/>
      <c r="DE75" s="168"/>
      <c r="DF75" s="170"/>
      <c r="DG75" s="171"/>
      <c r="DH75" s="68"/>
      <c r="DI75" s="68"/>
      <c r="DJ75" s="68"/>
      <c r="DK75" s="167"/>
      <c r="DL75" s="168"/>
      <c r="DM75" s="169"/>
      <c r="DN75" s="168"/>
      <c r="DO75" s="170"/>
      <c r="DP75" s="171"/>
      <c r="DQ75" s="68"/>
      <c r="DR75" s="68"/>
      <c r="DS75" s="68"/>
      <c r="DT75" s="167"/>
      <c r="DU75" s="168"/>
      <c r="DV75" s="169"/>
      <c r="DW75" s="168"/>
      <c r="DX75" s="170"/>
      <c r="DY75" s="171"/>
      <c r="DZ75" s="68"/>
      <c r="EA75" s="68"/>
      <c r="EB75" s="68"/>
      <c r="EC75" s="167"/>
      <c r="ED75" s="168"/>
      <c r="EE75" s="169"/>
      <c r="EF75" s="168"/>
      <c r="EG75" s="170"/>
      <c r="EH75" s="171"/>
      <c r="EI75" s="68"/>
      <c r="EJ75" s="68"/>
      <c r="EK75" s="68"/>
      <c r="EL75" s="167"/>
      <c r="EM75" s="168"/>
      <c r="EN75" s="169"/>
      <c r="EO75" s="168"/>
      <c r="EP75" s="170"/>
      <c r="EQ75" s="171"/>
      <c r="ER75" s="68"/>
      <c r="ES75" s="68"/>
      <c r="ET75" s="68"/>
      <c r="EU75" s="167"/>
      <c r="EV75" s="168"/>
      <c r="EW75" s="169"/>
      <c r="EX75" s="168"/>
      <c r="EY75" s="170"/>
      <c r="EZ75" s="171"/>
      <c r="FA75" s="68"/>
      <c r="FB75" s="68"/>
      <c r="FC75" s="68"/>
      <c r="FD75" s="167"/>
      <c r="FE75" s="168"/>
      <c r="FF75" s="169"/>
      <c r="FG75" s="168"/>
      <c r="FH75" s="170"/>
      <c r="FI75" s="171"/>
      <c r="FJ75" s="68"/>
      <c r="FK75" s="68"/>
      <c r="FL75" s="68"/>
      <c r="FM75" s="167"/>
      <c r="FN75" s="168"/>
      <c r="FO75" s="169"/>
      <c r="FP75" s="168"/>
      <c r="FQ75" s="170"/>
      <c r="FR75" s="171"/>
      <c r="FS75" s="68"/>
      <c r="FT75" s="68"/>
      <c r="FU75" s="68"/>
      <c r="FV75" s="167"/>
      <c r="FW75" s="168"/>
      <c r="FX75" s="169"/>
      <c r="FY75" s="168"/>
      <c r="FZ75" s="170"/>
      <c r="GA75" s="171"/>
      <c r="GB75" s="68"/>
      <c r="GC75" s="68"/>
      <c r="GD75" s="68"/>
      <c r="GE75" s="167"/>
      <c r="GF75" s="168"/>
      <c r="GG75" s="169"/>
      <c r="GH75" s="168"/>
      <c r="GI75" s="170"/>
      <c r="GJ75" s="171"/>
      <c r="GK75" s="68"/>
      <c r="GL75" s="68"/>
      <c r="GM75" s="68"/>
      <c r="GN75" s="167"/>
      <c r="GO75" s="168"/>
      <c r="GP75" s="169"/>
      <c r="GQ75" s="168"/>
      <c r="GR75" s="170"/>
      <c r="GS75" s="171"/>
      <c r="GT75" s="171"/>
      <c r="GU75" s="64"/>
      <c r="GV75" s="65"/>
      <c r="GW75" s="66"/>
      <c r="GX75" s="66"/>
      <c r="GY75" s="167"/>
      <c r="GZ75" s="86"/>
    </row>
    <row r="76" spans="1:208" x14ac:dyDescent="0.25">
      <c r="A76"/>
      <c r="D76" s="35"/>
      <c r="E76" s="36"/>
      <c r="F76" s="37"/>
      <c r="G76" s="38"/>
      <c r="H76" s="39"/>
      <c r="I76" s="40"/>
      <c r="J76" s="68"/>
      <c r="K76" s="407"/>
      <c r="L76" s="70"/>
      <c r="M76" s="71"/>
      <c r="N76" s="173"/>
      <c r="O76" s="72"/>
      <c r="P76" s="113">
        <f t="shared" si="5"/>
        <v>0</v>
      </c>
      <c r="Q76" s="117"/>
      <c r="R76" s="117"/>
      <c r="S76" s="117"/>
      <c r="T76" s="39">
        <f t="shared" si="1"/>
        <v>0</v>
      </c>
      <c r="U76" s="138"/>
      <c r="V76" s="172"/>
      <c r="W76" s="86"/>
      <c r="X76" s="68"/>
      <c r="Y76" s="167"/>
      <c r="Z76" s="168"/>
      <c r="AA76" s="169"/>
      <c r="AB76" s="168"/>
      <c r="AC76" s="170"/>
      <c r="AD76" s="171"/>
      <c r="AE76" s="68"/>
      <c r="AF76" s="68"/>
      <c r="AG76" s="68"/>
      <c r="AH76" s="167"/>
      <c r="AI76" s="168"/>
      <c r="AJ76" s="169"/>
      <c r="AK76" s="168"/>
      <c r="AL76" s="170"/>
      <c r="AM76" s="171"/>
      <c r="AN76" s="68"/>
      <c r="AO76" s="68"/>
      <c r="AP76" s="68"/>
      <c r="AQ76" s="167"/>
      <c r="AR76" s="168"/>
      <c r="AS76" s="169"/>
      <c r="AT76" s="168"/>
      <c r="AU76" s="170"/>
      <c r="AV76" s="171"/>
      <c r="AW76" s="68"/>
      <c r="AX76" s="68"/>
      <c r="AY76" s="68"/>
      <c r="AZ76" s="167"/>
      <c r="BA76" s="168"/>
      <c r="BB76" s="169"/>
      <c r="BC76" s="168"/>
      <c r="BD76" s="170"/>
      <c r="BE76" s="171"/>
      <c r="BF76" s="68"/>
      <c r="BG76" s="68"/>
      <c r="BH76" s="68"/>
      <c r="BI76" s="167"/>
      <c r="BJ76" s="168"/>
      <c r="BK76" s="169"/>
      <c r="BL76" s="168"/>
      <c r="BM76" s="170"/>
      <c r="BN76" s="171"/>
      <c r="BO76" s="68"/>
      <c r="BP76" s="68"/>
      <c r="BQ76" s="68"/>
      <c r="BR76" s="167"/>
      <c r="BS76" s="168"/>
      <c r="BT76" s="169"/>
      <c r="BU76" s="168"/>
      <c r="BV76" s="170"/>
      <c r="BW76" s="171"/>
      <c r="BX76" s="68"/>
      <c r="BY76" s="68"/>
      <c r="BZ76" s="68"/>
      <c r="CA76" s="167"/>
      <c r="CB76" s="168"/>
      <c r="CC76" s="169"/>
      <c r="CD76" s="168"/>
      <c r="CE76" s="170"/>
      <c r="CF76" s="171"/>
      <c r="CG76" s="68"/>
      <c r="CH76" s="68"/>
      <c r="CI76" s="68"/>
      <c r="CJ76" s="167"/>
      <c r="CK76" s="168"/>
      <c r="CL76" s="169"/>
      <c r="CM76" s="168"/>
      <c r="CN76" s="170"/>
      <c r="CO76" s="171"/>
      <c r="CP76" s="68"/>
      <c r="CQ76" s="68"/>
      <c r="CR76" s="68"/>
      <c r="CS76" s="167"/>
      <c r="CT76" s="168"/>
      <c r="CU76" s="169"/>
      <c r="CV76" s="168"/>
      <c r="CW76" s="170"/>
      <c r="CX76" s="171"/>
      <c r="CY76" s="68"/>
      <c r="CZ76" s="68"/>
      <c r="DA76" s="68"/>
      <c r="DB76" s="167"/>
      <c r="DC76" s="168"/>
      <c r="DD76" s="169"/>
      <c r="DE76" s="168"/>
      <c r="DF76" s="170"/>
      <c r="DG76" s="171"/>
      <c r="DH76" s="68"/>
      <c r="DI76" s="68"/>
      <c r="DJ76" s="68"/>
      <c r="DK76" s="167"/>
      <c r="DL76" s="168"/>
      <c r="DM76" s="169"/>
      <c r="DN76" s="168"/>
      <c r="DO76" s="170"/>
      <c r="DP76" s="171"/>
      <c r="DQ76" s="68"/>
      <c r="DR76" s="68"/>
      <c r="DS76" s="68"/>
      <c r="DT76" s="167"/>
      <c r="DU76" s="168"/>
      <c r="DV76" s="169"/>
      <c r="DW76" s="168"/>
      <c r="DX76" s="170"/>
      <c r="DY76" s="171"/>
      <c r="DZ76" s="68"/>
      <c r="EA76" s="68"/>
      <c r="EB76" s="68"/>
      <c r="EC76" s="167"/>
      <c r="ED76" s="168"/>
      <c r="EE76" s="169"/>
      <c r="EF76" s="168"/>
      <c r="EG76" s="170"/>
      <c r="EH76" s="171"/>
      <c r="EI76" s="68"/>
      <c r="EJ76" s="68"/>
      <c r="EK76" s="68"/>
      <c r="EL76" s="167"/>
      <c r="EM76" s="168"/>
      <c r="EN76" s="169"/>
      <c r="EO76" s="168"/>
      <c r="EP76" s="170"/>
      <c r="EQ76" s="171"/>
      <c r="ER76" s="68"/>
      <c r="ES76" s="68"/>
      <c r="ET76" s="68"/>
      <c r="EU76" s="167"/>
      <c r="EV76" s="168"/>
      <c r="EW76" s="169"/>
      <c r="EX76" s="168"/>
      <c r="EY76" s="170"/>
      <c r="EZ76" s="171"/>
      <c r="FA76" s="68"/>
      <c r="FB76" s="68"/>
      <c r="FC76" s="68"/>
      <c r="FD76" s="167"/>
      <c r="FE76" s="168"/>
      <c r="FF76" s="169"/>
      <c r="FG76" s="168"/>
      <c r="FH76" s="170"/>
      <c r="FI76" s="171"/>
      <c r="FJ76" s="68"/>
      <c r="FK76" s="68"/>
      <c r="FL76" s="68"/>
      <c r="FM76" s="167"/>
      <c r="FN76" s="168"/>
      <c r="FO76" s="169"/>
      <c r="FP76" s="168"/>
      <c r="FQ76" s="170"/>
      <c r="FR76" s="171"/>
      <c r="FS76" s="68"/>
      <c r="FT76" s="68"/>
      <c r="FU76" s="68"/>
      <c r="FV76" s="167"/>
      <c r="FW76" s="168"/>
      <c r="FX76" s="169"/>
      <c r="FY76" s="168"/>
      <c r="FZ76" s="170"/>
      <c r="GA76" s="171"/>
      <c r="GB76" s="68"/>
      <c r="GC76" s="68"/>
      <c r="GD76" s="68"/>
      <c r="GE76" s="167"/>
      <c r="GF76" s="168"/>
      <c r="GG76" s="169"/>
      <c r="GH76" s="168"/>
      <c r="GI76" s="170"/>
      <c r="GJ76" s="171"/>
      <c r="GK76" s="68"/>
      <c r="GL76" s="68"/>
      <c r="GM76" s="68"/>
      <c r="GN76" s="167"/>
      <c r="GO76" s="168"/>
      <c r="GP76" s="169"/>
      <c r="GQ76" s="168"/>
      <c r="GR76" s="170"/>
      <c r="GS76" s="171"/>
      <c r="GT76" s="171"/>
      <c r="GU76" s="64"/>
      <c r="GV76" s="65"/>
      <c r="GW76" s="66"/>
      <c r="GX76" s="66"/>
      <c r="GY76" s="167"/>
      <c r="GZ76" s="86"/>
    </row>
    <row r="77" spans="1:208" x14ac:dyDescent="0.25">
      <c r="A77"/>
      <c r="D77" s="35"/>
      <c r="E77" s="36"/>
      <c r="F77" s="37"/>
      <c r="G77" s="38"/>
      <c r="H77" s="39"/>
      <c r="I77" s="40"/>
      <c r="J77" s="174"/>
      <c r="K77" s="407"/>
      <c r="L77" s="70"/>
      <c r="M77" s="71"/>
      <c r="N77" s="175"/>
      <c r="O77" s="72"/>
      <c r="P77" s="113">
        <f t="shared" si="5"/>
        <v>0</v>
      </c>
      <c r="Q77" s="117"/>
      <c r="R77" s="117"/>
      <c r="S77" s="117"/>
      <c r="T77" s="39">
        <f t="shared" ref="T77:T84" si="6">Q77*O77</f>
        <v>0</v>
      </c>
      <c r="U77" s="138"/>
      <c r="V77" s="172"/>
      <c r="W77" s="86"/>
      <c r="X77" s="68"/>
      <c r="Y77" s="167"/>
      <c r="Z77" s="168"/>
      <c r="AA77" s="169"/>
      <c r="AB77" s="168"/>
      <c r="AC77" s="170"/>
      <c r="AD77" s="171"/>
      <c r="AE77" s="68"/>
      <c r="AF77" s="68"/>
      <c r="AG77" s="68"/>
      <c r="AH77" s="167"/>
      <c r="AI77" s="168"/>
      <c r="AJ77" s="169"/>
      <c r="AK77" s="168"/>
      <c r="AL77" s="170"/>
      <c r="AM77" s="171"/>
      <c r="AN77" s="68"/>
      <c r="AO77" s="68"/>
      <c r="AP77" s="68"/>
      <c r="AQ77" s="167"/>
      <c r="AR77" s="168"/>
      <c r="AS77" s="169"/>
      <c r="AT77" s="168"/>
      <c r="AU77" s="170"/>
      <c r="AV77" s="171"/>
      <c r="AW77" s="68"/>
      <c r="AX77" s="68"/>
      <c r="AY77" s="68"/>
      <c r="AZ77" s="167"/>
      <c r="BA77" s="168"/>
      <c r="BB77" s="169"/>
      <c r="BC77" s="168"/>
      <c r="BD77" s="170"/>
      <c r="BE77" s="171"/>
      <c r="BF77" s="68"/>
      <c r="BG77" s="68"/>
      <c r="BH77" s="68"/>
      <c r="BI77" s="167"/>
      <c r="BJ77" s="168"/>
      <c r="BK77" s="169"/>
      <c r="BL77" s="168"/>
      <c r="BM77" s="170"/>
      <c r="BN77" s="171"/>
      <c r="BO77" s="68"/>
      <c r="BP77" s="68"/>
      <c r="BQ77" s="68"/>
      <c r="BR77" s="167"/>
      <c r="BS77" s="168"/>
      <c r="BT77" s="169"/>
      <c r="BU77" s="168"/>
      <c r="BV77" s="170"/>
      <c r="BW77" s="171"/>
      <c r="BX77" s="68"/>
      <c r="BY77" s="68"/>
      <c r="BZ77" s="68"/>
      <c r="CA77" s="167"/>
      <c r="CB77" s="168"/>
      <c r="CC77" s="169"/>
      <c r="CD77" s="168"/>
      <c r="CE77" s="170"/>
      <c r="CF77" s="171"/>
      <c r="CG77" s="68"/>
      <c r="CH77" s="68"/>
      <c r="CI77" s="68"/>
      <c r="CJ77" s="167"/>
      <c r="CK77" s="168"/>
      <c r="CL77" s="169"/>
      <c r="CM77" s="168"/>
      <c r="CN77" s="170"/>
      <c r="CO77" s="171"/>
      <c r="CP77" s="68"/>
      <c r="CQ77" s="68"/>
      <c r="CR77" s="68"/>
      <c r="CS77" s="167"/>
      <c r="CT77" s="168"/>
      <c r="CU77" s="169"/>
      <c r="CV77" s="168"/>
      <c r="CW77" s="170"/>
      <c r="CX77" s="171"/>
      <c r="CY77" s="68"/>
      <c r="CZ77" s="68"/>
      <c r="DA77" s="68"/>
      <c r="DB77" s="167"/>
      <c r="DC77" s="168"/>
      <c r="DD77" s="169"/>
      <c r="DE77" s="168"/>
      <c r="DF77" s="170"/>
      <c r="DG77" s="171"/>
      <c r="DH77" s="68"/>
      <c r="DI77" s="68"/>
      <c r="DJ77" s="68"/>
      <c r="DK77" s="167"/>
      <c r="DL77" s="168"/>
      <c r="DM77" s="169"/>
      <c r="DN77" s="168"/>
      <c r="DO77" s="170"/>
      <c r="DP77" s="171"/>
      <c r="DQ77" s="68"/>
      <c r="DR77" s="68"/>
      <c r="DS77" s="68"/>
      <c r="DT77" s="167"/>
      <c r="DU77" s="168"/>
      <c r="DV77" s="169"/>
      <c r="DW77" s="168"/>
      <c r="DX77" s="170"/>
      <c r="DY77" s="171"/>
      <c r="DZ77" s="68"/>
      <c r="EA77" s="68"/>
      <c r="EB77" s="68"/>
      <c r="EC77" s="167"/>
      <c r="ED77" s="168"/>
      <c r="EE77" s="169"/>
      <c r="EF77" s="168"/>
      <c r="EG77" s="170"/>
      <c r="EH77" s="171"/>
      <c r="EI77" s="68"/>
      <c r="EJ77" s="68"/>
      <c r="EK77" s="68"/>
      <c r="EL77" s="167"/>
      <c r="EM77" s="168"/>
      <c r="EN77" s="169"/>
      <c r="EO77" s="168"/>
      <c r="EP77" s="170"/>
      <c r="EQ77" s="171"/>
      <c r="ER77" s="68"/>
      <c r="ES77" s="68"/>
      <c r="ET77" s="68"/>
      <c r="EU77" s="167"/>
      <c r="EV77" s="168"/>
      <c r="EW77" s="169"/>
      <c r="EX77" s="168"/>
      <c r="EY77" s="170"/>
      <c r="EZ77" s="171"/>
      <c r="FA77" s="68"/>
      <c r="FB77" s="68"/>
      <c r="FC77" s="68"/>
      <c r="FD77" s="167"/>
      <c r="FE77" s="168"/>
      <c r="FF77" s="169"/>
      <c r="FG77" s="168"/>
      <c r="FH77" s="170"/>
      <c r="FI77" s="171"/>
      <c r="FJ77" s="68"/>
      <c r="FK77" s="68"/>
      <c r="FL77" s="68"/>
      <c r="FM77" s="167"/>
      <c r="FN77" s="168"/>
      <c r="FO77" s="169"/>
      <c r="FP77" s="168"/>
      <c r="FQ77" s="170"/>
      <c r="FR77" s="171"/>
      <c r="FS77" s="68"/>
      <c r="FT77" s="68"/>
      <c r="FU77" s="68"/>
      <c r="FV77" s="167"/>
      <c r="FW77" s="168"/>
      <c r="FX77" s="169"/>
      <c r="FY77" s="168"/>
      <c r="FZ77" s="170"/>
      <c r="GA77" s="171"/>
      <c r="GB77" s="68"/>
      <c r="GC77" s="68"/>
      <c r="GD77" s="68"/>
      <c r="GE77" s="167"/>
      <c r="GF77" s="168"/>
      <c r="GG77" s="169"/>
      <c r="GH77" s="168"/>
      <c r="GI77" s="170"/>
      <c r="GJ77" s="171"/>
      <c r="GK77" s="68"/>
      <c r="GL77" s="68"/>
      <c r="GM77" s="68"/>
      <c r="GN77" s="167"/>
      <c r="GO77" s="168"/>
      <c r="GP77" s="169"/>
      <c r="GQ77" s="168"/>
      <c r="GR77" s="170"/>
      <c r="GS77" s="171"/>
      <c r="GT77" s="171"/>
      <c r="GU77" s="64"/>
      <c r="GV77" s="65"/>
      <c r="GW77" s="66"/>
      <c r="GX77" s="66"/>
      <c r="GY77" s="391"/>
      <c r="GZ77" s="67"/>
    </row>
    <row r="78" spans="1:208" x14ac:dyDescent="0.25">
      <c r="A78"/>
      <c r="D78" s="35"/>
      <c r="E78" s="36"/>
      <c r="F78" s="37"/>
      <c r="G78" s="38"/>
      <c r="H78" s="39"/>
      <c r="I78" s="40"/>
      <c r="J78" s="177"/>
      <c r="K78" s="452"/>
      <c r="N78" s="179"/>
      <c r="P78" s="27"/>
      <c r="Q78" s="180"/>
      <c r="R78" s="180"/>
      <c r="S78" s="180"/>
      <c r="T78" s="39">
        <f t="shared" si="6"/>
        <v>0</v>
      </c>
      <c r="U78" s="181"/>
      <c r="V78" s="182"/>
      <c r="W78" s="30"/>
      <c r="X78" s="8"/>
      <c r="Y78" s="183"/>
      <c r="Z78" s="184"/>
      <c r="AA78" s="185"/>
      <c r="AB78" s="184"/>
      <c r="AC78" s="186"/>
      <c r="AD78" s="187"/>
      <c r="AE78" s="8"/>
      <c r="AF78" s="8"/>
      <c r="AG78" s="188"/>
      <c r="AH78" s="183"/>
      <c r="AI78" s="184"/>
      <c r="AJ78" s="185"/>
      <c r="AK78" s="28"/>
      <c r="AL78" s="186"/>
      <c r="AM78" s="187"/>
      <c r="AN78" s="8"/>
      <c r="AO78" s="8"/>
      <c r="AP78" s="188"/>
      <c r="AQ78" s="183"/>
      <c r="AR78" s="184"/>
      <c r="AS78" s="185"/>
      <c r="AT78" s="184"/>
      <c r="AU78" s="186"/>
      <c r="AV78" s="187"/>
      <c r="AW78" s="8"/>
      <c r="AX78" s="8"/>
      <c r="AY78" s="188"/>
      <c r="AZ78" s="183"/>
      <c r="BA78" s="184"/>
      <c r="BB78" s="185"/>
      <c r="BC78" s="28"/>
      <c r="BD78" s="186"/>
      <c r="BE78" s="187"/>
      <c r="BF78" s="8"/>
      <c r="BG78" s="8"/>
      <c r="BH78" s="188"/>
      <c r="BI78" s="183"/>
      <c r="BJ78" s="184"/>
      <c r="BK78" s="185"/>
      <c r="BL78" s="28"/>
      <c r="BM78" s="186"/>
      <c r="BN78" s="187"/>
      <c r="BO78" s="8"/>
      <c r="BP78" s="8"/>
      <c r="BQ78" s="188"/>
      <c r="BR78" s="183"/>
      <c r="BS78" s="184"/>
      <c r="BT78" s="185"/>
      <c r="BU78" s="184"/>
      <c r="BV78" s="186"/>
      <c r="BW78" s="187"/>
      <c r="BX78" s="8"/>
      <c r="BY78" s="8"/>
      <c r="BZ78" s="188"/>
      <c r="CA78" s="183"/>
      <c r="CB78" s="184"/>
      <c r="CC78" s="185"/>
      <c r="CD78" s="184"/>
      <c r="CE78" s="186"/>
      <c r="CF78" s="187"/>
      <c r="CG78" s="8"/>
      <c r="CH78" s="8"/>
      <c r="CI78" s="188"/>
      <c r="CJ78" s="183"/>
      <c r="CK78" s="184"/>
      <c r="CL78" s="185"/>
      <c r="CM78" s="184"/>
      <c r="CN78" s="186"/>
      <c r="CO78" s="187"/>
      <c r="CP78" s="8"/>
      <c r="CQ78" s="8"/>
      <c r="CR78" s="188"/>
      <c r="CS78" s="183"/>
      <c r="CT78" s="184"/>
      <c r="CU78" s="189"/>
      <c r="CV78" s="28"/>
      <c r="CW78" s="190"/>
      <c r="CX78" s="187"/>
      <c r="CY78" s="8"/>
      <c r="CZ78" s="8"/>
      <c r="DA78" s="188"/>
      <c r="DB78" s="183"/>
      <c r="DC78" s="184"/>
      <c r="DD78" s="185"/>
      <c r="DE78" s="184"/>
      <c r="DF78" s="186"/>
      <c r="DG78" s="187"/>
      <c r="DH78" s="8"/>
      <c r="DI78" s="8"/>
      <c r="DJ78" s="188"/>
      <c r="DK78" s="183"/>
      <c r="DL78" s="184"/>
      <c r="DM78" s="189"/>
      <c r="DN78" s="28"/>
      <c r="DO78" s="190"/>
      <c r="DP78" s="187"/>
      <c r="DQ78" s="8"/>
      <c r="DR78" s="8"/>
      <c r="DS78" s="188"/>
      <c r="DT78" s="183"/>
      <c r="DU78" s="184"/>
      <c r="DV78" s="185"/>
      <c r="DW78" s="184"/>
      <c r="DX78" s="186"/>
      <c r="DY78" s="187"/>
      <c r="DZ78" s="8"/>
      <c r="EA78" s="8"/>
      <c r="EB78" s="188"/>
      <c r="EC78" s="183"/>
      <c r="ED78" s="184"/>
      <c r="EE78" s="189"/>
      <c r="EF78" s="28"/>
      <c r="EG78" s="190"/>
      <c r="EH78" s="187"/>
      <c r="EI78" s="8"/>
      <c r="EJ78" s="8"/>
      <c r="EK78" s="188"/>
      <c r="EL78" s="183"/>
      <c r="EM78" s="184"/>
      <c r="EN78" s="189"/>
      <c r="EO78" s="28"/>
      <c r="EP78" s="190"/>
      <c r="EQ78" s="187"/>
      <c r="ER78" s="8"/>
      <c r="ES78" s="8"/>
      <c r="ET78" s="188"/>
      <c r="EU78" s="183"/>
      <c r="EV78" s="184"/>
      <c r="EW78" s="185"/>
      <c r="EX78" s="184"/>
      <c r="EY78" s="186"/>
      <c r="EZ78" s="187"/>
      <c r="FA78" s="8"/>
      <c r="FB78" s="8"/>
      <c r="FC78" s="188"/>
      <c r="FD78" s="183"/>
      <c r="FE78" s="184"/>
      <c r="FF78" s="185"/>
      <c r="FG78" s="184"/>
      <c r="FH78" s="186"/>
      <c r="FI78" s="187"/>
      <c r="FJ78" s="8"/>
      <c r="FK78" s="8"/>
      <c r="FL78" s="188"/>
      <c r="FM78" s="183"/>
      <c r="FN78" s="184"/>
      <c r="FO78" s="185"/>
      <c r="FP78" s="184"/>
      <c r="FQ78" s="186"/>
      <c r="FR78" s="187"/>
      <c r="FS78" s="8"/>
      <c r="FT78" s="8"/>
      <c r="FU78" s="188"/>
      <c r="FV78" s="183"/>
      <c r="FW78" s="184"/>
      <c r="FX78" s="185"/>
      <c r="FY78" s="184"/>
      <c r="FZ78" s="186"/>
      <c r="GA78" s="187"/>
      <c r="GB78" s="8"/>
      <c r="GC78" s="8"/>
      <c r="GD78" s="188"/>
      <c r="GE78" s="183"/>
      <c r="GF78" s="184"/>
      <c r="GG78" s="185"/>
      <c r="GH78" s="184"/>
      <c r="GI78" s="186"/>
      <c r="GJ78" s="187"/>
      <c r="GK78" s="8"/>
      <c r="GL78" s="8"/>
      <c r="GM78" s="188"/>
      <c r="GN78" s="183"/>
      <c r="GO78" s="184"/>
      <c r="GP78" s="185"/>
      <c r="GQ78" s="184"/>
      <c r="GR78" s="186"/>
      <c r="GS78" s="187"/>
      <c r="GT78" s="187"/>
      <c r="GU78" s="29"/>
      <c r="GV78" s="191"/>
      <c r="GW78" s="31"/>
      <c r="GX78" s="31"/>
      <c r="GY78" s="387"/>
      <c r="GZ78" s="33"/>
    </row>
    <row r="79" spans="1:208" x14ac:dyDescent="0.25">
      <c r="A79"/>
      <c r="D79" s="35"/>
      <c r="E79" s="36"/>
      <c r="F79" s="37"/>
      <c r="G79" s="38"/>
      <c r="H79" s="39"/>
      <c r="I79" s="40"/>
      <c r="J79" s="177"/>
      <c r="K79" s="452"/>
      <c r="P79" s="27"/>
      <c r="Q79" s="180"/>
      <c r="R79" s="180"/>
      <c r="S79" s="180"/>
      <c r="T79" s="39">
        <f t="shared" si="6"/>
        <v>0</v>
      </c>
      <c r="U79" s="181"/>
      <c r="V79" s="182"/>
      <c r="W79" s="30"/>
      <c r="X79" s="8"/>
      <c r="Y79" s="183"/>
      <c r="Z79" s="184"/>
      <c r="AA79" s="185"/>
      <c r="AB79" s="184"/>
      <c r="AC79" s="186"/>
      <c r="AD79" s="187"/>
      <c r="AE79" s="8"/>
      <c r="AF79" s="8"/>
      <c r="AG79" s="188"/>
      <c r="AH79" s="183"/>
      <c r="AI79" s="184"/>
      <c r="AJ79" s="185"/>
      <c r="AK79" s="28"/>
      <c r="AL79" s="186"/>
      <c r="AM79" s="187"/>
      <c r="AN79" s="8"/>
      <c r="AO79" s="8"/>
      <c r="AP79" s="188"/>
      <c r="AQ79" s="183"/>
      <c r="AR79" s="184"/>
      <c r="AS79" s="185"/>
      <c r="AT79" s="184"/>
      <c r="AU79" s="186"/>
      <c r="AV79" s="187"/>
      <c r="AW79" s="8"/>
      <c r="AX79" s="8"/>
      <c r="AY79" s="188"/>
      <c r="AZ79" s="183"/>
      <c r="BA79" s="184"/>
      <c r="BB79" s="185"/>
      <c r="BC79" s="28"/>
      <c r="BD79" s="186"/>
      <c r="BE79" s="187"/>
      <c r="BF79" s="8"/>
      <c r="BG79" s="8"/>
      <c r="BH79" s="188"/>
      <c r="BI79" s="183"/>
      <c r="BJ79" s="184"/>
      <c r="BK79" s="185"/>
      <c r="BL79" s="28"/>
      <c r="BM79" s="186"/>
      <c r="BN79" s="187"/>
      <c r="BO79" s="8"/>
      <c r="BP79" s="8"/>
      <c r="BQ79" s="188"/>
      <c r="BR79" s="183"/>
      <c r="BS79" s="184"/>
      <c r="BT79" s="185"/>
      <c r="BU79" s="184"/>
      <c r="BV79" s="186"/>
      <c r="BW79" s="187"/>
      <c r="BX79" s="8"/>
      <c r="BY79" s="8"/>
      <c r="BZ79" s="188"/>
      <c r="CA79" s="183"/>
      <c r="CB79" s="184"/>
      <c r="CC79" s="185"/>
      <c r="CD79" s="184"/>
      <c r="CE79" s="186"/>
      <c r="CF79" s="187"/>
      <c r="CG79" s="8"/>
      <c r="CH79" s="8"/>
      <c r="CI79" s="188"/>
      <c r="CJ79" s="183"/>
      <c r="CK79" s="184"/>
      <c r="CL79" s="185"/>
      <c r="CM79" s="184"/>
      <c r="CN79" s="186"/>
      <c r="CO79" s="187"/>
      <c r="CP79" s="8"/>
      <c r="CQ79" s="8"/>
      <c r="CR79" s="188"/>
      <c r="CS79" s="183"/>
      <c r="CT79" s="184"/>
      <c r="CU79" s="189"/>
      <c r="CV79" s="28"/>
      <c r="CW79" s="190"/>
      <c r="CX79" s="187"/>
      <c r="CY79" s="8"/>
      <c r="CZ79" s="8"/>
      <c r="DA79" s="188"/>
      <c r="DB79" s="183"/>
      <c r="DC79" s="184"/>
      <c r="DD79" s="185"/>
      <c r="DE79" s="184"/>
      <c r="DF79" s="186"/>
      <c r="DG79" s="187"/>
      <c r="DH79" s="8"/>
      <c r="DI79" s="8"/>
      <c r="DJ79" s="188"/>
      <c r="DK79" s="183"/>
      <c r="DL79" s="184"/>
      <c r="DM79" s="189"/>
      <c r="DN79" s="28"/>
      <c r="DO79" s="190"/>
      <c r="DP79" s="187"/>
      <c r="DQ79" s="8"/>
      <c r="DR79" s="8"/>
      <c r="DS79" s="188"/>
      <c r="DT79" s="183"/>
      <c r="DU79" s="184"/>
      <c r="DV79" s="185"/>
      <c r="DW79" s="184"/>
      <c r="DX79" s="186"/>
      <c r="DY79" s="187"/>
      <c r="DZ79" s="8"/>
      <c r="EA79" s="8"/>
      <c r="EB79" s="188"/>
      <c r="EC79" s="183"/>
      <c r="ED79" s="184"/>
      <c r="EE79" s="189"/>
      <c r="EF79" s="28"/>
      <c r="EG79" s="190"/>
      <c r="EH79" s="187"/>
      <c r="EI79" s="8"/>
      <c r="EJ79" s="8"/>
      <c r="EK79" s="188"/>
      <c r="EL79" s="183"/>
      <c r="EM79" s="184"/>
      <c r="EN79" s="189"/>
      <c r="EO79" s="28"/>
      <c r="EP79" s="190"/>
      <c r="EQ79" s="187"/>
      <c r="ER79" s="8"/>
      <c r="ES79" s="8"/>
      <c r="ET79" s="188"/>
      <c r="EU79" s="183"/>
      <c r="EV79" s="184"/>
      <c r="EW79" s="185"/>
      <c r="EX79" s="184"/>
      <c r="EY79" s="186"/>
      <c r="EZ79" s="187"/>
      <c r="FA79" s="8"/>
      <c r="FB79" s="8"/>
      <c r="FC79" s="188"/>
      <c r="FD79" s="183"/>
      <c r="FE79" s="184"/>
      <c r="FF79" s="185"/>
      <c r="FG79" s="184"/>
      <c r="FH79" s="186"/>
      <c r="FI79" s="187"/>
      <c r="FJ79" s="8"/>
      <c r="FK79" s="8"/>
      <c r="FL79" s="188"/>
      <c r="FM79" s="183"/>
      <c r="FN79" s="184"/>
      <c r="FO79" s="185"/>
      <c r="FP79" s="184"/>
      <c r="FQ79" s="186"/>
      <c r="FR79" s="187"/>
      <c r="FS79" s="8"/>
      <c r="FT79" s="8"/>
      <c r="FU79" s="188"/>
      <c r="FV79" s="183"/>
      <c r="FW79" s="184"/>
      <c r="FX79" s="185"/>
      <c r="FY79" s="184"/>
      <c r="FZ79" s="186"/>
      <c r="GA79" s="187"/>
      <c r="GB79" s="8"/>
      <c r="GC79" s="8"/>
      <c r="GD79" s="188"/>
      <c r="GE79" s="183"/>
      <c r="GF79" s="184"/>
      <c r="GG79" s="185"/>
      <c r="GH79" s="184"/>
      <c r="GI79" s="186"/>
      <c r="GJ79" s="187"/>
      <c r="GK79" s="8"/>
      <c r="GL79" s="8"/>
      <c r="GM79" s="188"/>
      <c r="GN79" s="183"/>
      <c r="GO79" s="184"/>
      <c r="GP79" s="185"/>
      <c r="GQ79" s="184"/>
      <c r="GR79" s="186"/>
      <c r="GS79" s="187"/>
      <c r="GT79" s="187"/>
      <c r="GU79" s="29"/>
      <c r="GV79" s="191"/>
      <c r="GW79" s="31"/>
      <c r="GX79" s="31"/>
      <c r="GY79" s="387"/>
      <c r="GZ79" s="33"/>
    </row>
    <row r="80" spans="1:208" ht="16.5" thickBot="1" x14ac:dyDescent="0.3">
      <c r="A80"/>
      <c r="D80" s="35"/>
      <c r="E80" s="36"/>
      <c r="F80" s="37"/>
      <c r="G80" s="38"/>
      <c r="H80" s="39"/>
      <c r="I80" s="40"/>
      <c r="J80" s="177"/>
      <c r="K80" s="452"/>
      <c r="O80" s="192"/>
      <c r="P80" s="27"/>
      <c r="Q80" s="180"/>
      <c r="R80" s="180"/>
      <c r="S80" s="180"/>
      <c r="T80" s="39">
        <f t="shared" si="6"/>
        <v>0</v>
      </c>
      <c r="U80" s="181"/>
      <c r="V80" s="182"/>
      <c r="W80" s="30"/>
      <c r="X80" s="8"/>
      <c r="Y80" s="183"/>
      <c r="Z80" s="184"/>
      <c r="AA80" s="185"/>
      <c r="AB80" s="184"/>
      <c r="AC80" s="186"/>
      <c r="AD80" s="187"/>
      <c r="AE80" s="8"/>
      <c r="AF80" s="8"/>
      <c r="AG80" s="188"/>
      <c r="AH80" s="183"/>
      <c r="AI80" s="184"/>
      <c r="AJ80" s="185"/>
      <c r="AK80" s="28"/>
      <c r="AL80" s="186"/>
      <c r="AM80" s="187"/>
      <c r="AN80" s="8"/>
      <c r="AO80" s="8"/>
      <c r="AP80" s="188"/>
      <c r="AQ80" s="183"/>
      <c r="AR80" s="184"/>
      <c r="AS80" s="185"/>
      <c r="AT80" s="184"/>
      <c r="AU80" s="186"/>
      <c r="AV80" s="187"/>
      <c r="AW80" s="8"/>
      <c r="AX80" s="8"/>
      <c r="AY80" s="188"/>
      <c r="AZ80" s="183"/>
      <c r="BA80" s="184"/>
      <c r="BB80" s="185"/>
      <c r="BC80" s="28"/>
      <c r="BD80" s="186"/>
      <c r="BE80" s="187"/>
      <c r="BF80" s="8"/>
      <c r="BG80" s="8"/>
      <c r="BH80" s="188"/>
      <c r="BI80" s="183"/>
      <c r="BJ80" s="184"/>
      <c r="BK80" s="185"/>
      <c r="BL80" s="28"/>
      <c r="BM80" s="186"/>
      <c r="BN80" s="187"/>
      <c r="BO80" s="8"/>
      <c r="BP80" s="8"/>
      <c r="BQ80" s="188"/>
      <c r="BR80" s="183"/>
      <c r="BS80" s="184"/>
      <c r="BT80" s="185"/>
      <c r="BU80" s="184"/>
      <c r="BV80" s="186"/>
      <c r="BW80" s="187"/>
      <c r="BX80" s="8"/>
      <c r="BY80" s="8"/>
      <c r="BZ80" s="188"/>
      <c r="CA80" s="183"/>
      <c r="CB80" s="184"/>
      <c r="CC80" s="185"/>
      <c r="CD80" s="184"/>
      <c r="CE80" s="186"/>
      <c r="CF80" s="187"/>
      <c r="CG80" s="8"/>
      <c r="CH80" s="8"/>
      <c r="CI80" s="188"/>
      <c r="CJ80" s="183"/>
      <c r="CK80" s="184"/>
      <c r="CL80" s="185"/>
      <c r="CM80" s="184"/>
      <c r="CN80" s="186"/>
      <c r="CO80" s="187"/>
      <c r="CP80" s="8"/>
      <c r="CQ80" s="8"/>
      <c r="CR80" s="188"/>
      <c r="CS80" s="183"/>
      <c r="CT80" s="184"/>
      <c r="CU80" s="189"/>
      <c r="CV80" s="28"/>
      <c r="CW80" s="190"/>
      <c r="CX80" s="187"/>
      <c r="CY80" s="8"/>
      <c r="CZ80" s="8"/>
      <c r="DA80" s="188"/>
      <c r="DB80" s="183"/>
      <c r="DC80" s="184"/>
      <c r="DD80" s="185"/>
      <c r="DE80" s="184"/>
      <c r="DF80" s="186"/>
      <c r="DG80" s="187"/>
      <c r="DH80" s="8"/>
      <c r="DI80" s="8"/>
      <c r="DJ80" s="188"/>
      <c r="DK80" s="183"/>
      <c r="DL80" s="184"/>
      <c r="DM80" s="189"/>
      <c r="DN80" s="28"/>
      <c r="DO80" s="190"/>
      <c r="DP80" s="187"/>
      <c r="DQ80" s="8"/>
      <c r="DR80" s="8"/>
      <c r="DS80" s="188"/>
      <c r="DT80" s="183"/>
      <c r="DU80" s="184"/>
      <c r="DV80" s="185"/>
      <c r="DW80" s="184"/>
      <c r="DX80" s="186"/>
      <c r="DY80" s="187"/>
      <c r="DZ80" s="8"/>
      <c r="EA80" s="8"/>
      <c r="EB80" s="188"/>
      <c r="EC80" s="183"/>
      <c r="ED80" s="184"/>
      <c r="EE80" s="189"/>
      <c r="EF80" s="28"/>
      <c r="EG80" s="190"/>
      <c r="EH80" s="187"/>
      <c r="EI80" s="8"/>
      <c r="EJ80" s="8"/>
      <c r="EK80" s="188"/>
      <c r="EL80" s="183"/>
      <c r="EM80" s="184"/>
      <c r="EN80" s="189"/>
      <c r="EO80" s="28"/>
      <c r="EP80" s="190"/>
      <c r="EQ80" s="187"/>
      <c r="ER80" s="8"/>
      <c r="ES80" s="8"/>
      <c r="ET80" s="188"/>
      <c r="EU80" s="183"/>
      <c r="EV80" s="184"/>
      <c r="EW80" s="185"/>
      <c r="EX80" s="184"/>
      <c r="EY80" s="186"/>
      <c r="EZ80" s="187"/>
      <c r="FA80" s="8"/>
      <c r="FB80" s="8"/>
      <c r="FC80" s="188"/>
      <c r="FD80" s="183"/>
      <c r="FE80" s="184"/>
      <c r="FF80" s="185"/>
      <c r="FG80" s="184"/>
      <c r="FH80" s="186"/>
      <c r="FI80" s="187"/>
      <c r="FJ80" s="8"/>
      <c r="FK80" s="8"/>
      <c r="FL80" s="188"/>
      <c r="FM80" s="183"/>
      <c r="FN80" s="184"/>
      <c r="FO80" s="185"/>
      <c r="FP80" s="184"/>
      <c r="FQ80" s="186"/>
      <c r="FR80" s="187"/>
      <c r="FS80" s="8"/>
      <c r="FT80" s="8"/>
      <c r="FU80" s="188"/>
      <c r="FV80" s="183"/>
      <c r="FW80" s="184"/>
      <c r="FX80" s="185"/>
      <c r="FY80" s="184"/>
      <c r="FZ80" s="186"/>
      <c r="GA80" s="187"/>
      <c r="GB80" s="8"/>
      <c r="GC80" s="8"/>
      <c r="GD80" s="188"/>
      <c r="GE80" s="183"/>
      <c r="GF80" s="184"/>
      <c r="GG80" s="185"/>
      <c r="GH80" s="184"/>
      <c r="GI80" s="186"/>
      <c r="GJ80" s="187"/>
      <c r="GK80" s="8"/>
      <c r="GL80" s="8"/>
      <c r="GM80" s="188"/>
      <c r="GN80" s="183"/>
      <c r="GO80" s="184"/>
      <c r="GP80" s="185"/>
      <c r="GQ80" s="184"/>
      <c r="GR80" s="186"/>
      <c r="GS80" s="187"/>
      <c r="GT80" s="187"/>
      <c r="GU80" s="29"/>
      <c r="GV80" s="191"/>
      <c r="GW80" s="31"/>
      <c r="GX80" s="31"/>
      <c r="GY80" s="387"/>
      <c r="GZ80" s="33"/>
    </row>
    <row r="81" spans="1:208" ht="20.25" thickTop="1" thickBot="1" x14ac:dyDescent="0.35">
      <c r="A81"/>
      <c r="D81" s="35"/>
      <c r="E81" s="36"/>
      <c r="F81" s="37"/>
      <c r="G81" s="38"/>
      <c r="H81" s="39"/>
      <c r="I81" s="40"/>
      <c r="J81" s="177"/>
      <c r="K81" s="452"/>
      <c r="M81" s="870" t="s">
        <v>28</v>
      </c>
      <c r="N81" s="871"/>
      <c r="O81" s="872">
        <f>SUM(O9:O80)</f>
        <v>755538.7</v>
      </c>
      <c r="P81" s="193"/>
      <c r="Q81" s="180"/>
      <c r="R81" s="194"/>
      <c r="S81" s="180"/>
      <c r="T81" s="39">
        <f t="shared" si="6"/>
        <v>0</v>
      </c>
      <c r="U81" s="181"/>
      <c r="V81" s="182"/>
      <c r="W81" s="30"/>
      <c r="X81" s="195"/>
      <c r="Y81" s="196"/>
      <c r="Z81" s="197"/>
      <c r="AA81" s="198"/>
      <c r="AB81" s="197"/>
      <c r="AC81" s="199"/>
      <c r="AD81" s="200"/>
      <c r="AE81" s="195"/>
      <c r="AF81" s="195"/>
      <c r="AG81" s="201"/>
      <c r="AH81" s="196"/>
      <c r="AI81" s="197"/>
      <c r="AJ81" s="198"/>
      <c r="AK81" s="202"/>
      <c r="AL81" s="199"/>
      <c r="AM81" s="200"/>
      <c r="AN81" s="195"/>
      <c r="AO81" s="195"/>
      <c r="AP81" s="201"/>
      <c r="AQ81" s="196"/>
      <c r="AR81" s="197"/>
      <c r="AS81" s="198"/>
      <c r="AT81" s="197"/>
      <c r="AU81" s="199"/>
      <c r="AV81" s="200"/>
      <c r="AW81" s="195"/>
      <c r="AX81" s="195"/>
      <c r="AY81" s="201"/>
      <c r="AZ81" s="196"/>
      <c r="BA81" s="197"/>
      <c r="BB81" s="198"/>
      <c r="BC81" s="202"/>
      <c r="BD81" s="199"/>
      <c r="BE81" s="200"/>
      <c r="BF81" s="195"/>
      <c r="BG81" s="195"/>
      <c r="BH81" s="201"/>
      <c r="BI81" s="196"/>
      <c r="BJ81" s="197"/>
      <c r="BK81" s="198"/>
      <c r="BL81" s="202"/>
      <c r="BM81" s="199"/>
      <c r="BN81" s="200"/>
      <c r="BO81" s="195"/>
      <c r="BP81" s="195"/>
      <c r="BQ81" s="201"/>
      <c r="BR81" s="196"/>
      <c r="BS81" s="197"/>
      <c r="BT81" s="198"/>
      <c r="BU81" s="197"/>
      <c r="BV81" s="199"/>
      <c r="BW81" s="200"/>
      <c r="BX81" s="195"/>
      <c r="BY81" s="195"/>
      <c r="BZ81" s="201"/>
      <c r="CA81" s="196"/>
      <c r="CB81" s="197"/>
      <c r="CC81" s="198"/>
      <c r="CD81" s="197"/>
      <c r="CE81" s="199"/>
      <c r="CF81" s="200"/>
      <c r="CG81" s="195"/>
      <c r="CH81" s="195"/>
      <c r="CI81" s="201"/>
      <c r="CJ81" s="196"/>
      <c r="CK81" s="197"/>
      <c r="CL81" s="198"/>
      <c r="CM81" s="197"/>
      <c r="CN81" s="199"/>
      <c r="CO81" s="200"/>
      <c r="CP81" s="195"/>
      <c r="CQ81" s="195"/>
      <c r="CR81" s="201"/>
      <c r="CS81" s="196"/>
      <c r="CT81" s="197"/>
      <c r="CU81" s="203"/>
      <c r="CV81" s="202"/>
      <c r="CW81" s="204"/>
      <c r="CX81" s="200"/>
      <c r="CY81" s="195"/>
      <c r="CZ81" s="195"/>
      <c r="DA81" s="201"/>
      <c r="DB81" s="196"/>
      <c r="DC81" s="197"/>
      <c r="DD81" s="198"/>
      <c r="DE81" s="197"/>
      <c r="DF81" s="199"/>
      <c r="DG81" s="200"/>
      <c r="DH81" s="195"/>
      <c r="DI81" s="195"/>
      <c r="DJ81" s="201"/>
      <c r="DK81" s="196"/>
      <c r="DL81" s="197"/>
      <c r="DM81" s="203"/>
      <c r="DN81" s="202"/>
      <c r="DO81" s="204"/>
      <c r="DP81" s="200"/>
      <c r="DQ81" s="195"/>
      <c r="DR81" s="195"/>
      <c r="DS81" s="201"/>
      <c r="DT81" s="196"/>
      <c r="DU81" s="197"/>
      <c r="DV81" s="198"/>
      <c r="DW81" s="197"/>
      <c r="DX81" s="199"/>
      <c r="DY81" s="200"/>
      <c r="DZ81" s="195"/>
      <c r="EA81" s="195"/>
      <c r="EB81" s="201"/>
      <c r="EC81" s="196"/>
      <c r="ED81" s="197"/>
      <c r="EE81" s="203"/>
      <c r="EF81" s="202"/>
      <c r="EG81" s="204"/>
      <c r="EH81" s="200"/>
      <c r="EI81" s="195"/>
      <c r="EJ81" s="195"/>
      <c r="EK81" s="201"/>
      <c r="EL81" s="196"/>
      <c r="EM81" s="197"/>
      <c r="EN81" s="203"/>
      <c r="EO81" s="202"/>
      <c r="EP81" s="204"/>
      <c r="EQ81" s="200"/>
      <c r="ER81" s="195"/>
      <c r="ES81" s="195"/>
      <c r="ET81" s="201"/>
      <c r="EU81" s="196"/>
      <c r="EV81" s="197"/>
      <c r="EW81" s="198"/>
      <c r="EX81" s="197"/>
      <c r="EY81" s="199"/>
      <c r="EZ81" s="200"/>
      <c r="FA81" s="195"/>
      <c r="FB81" s="195"/>
      <c r="FC81" s="201"/>
      <c r="FD81" s="196"/>
      <c r="FE81" s="197"/>
      <c r="FF81" s="198"/>
      <c r="FG81" s="197"/>
      <c r="FH81" s="199"/>
      <c r="FI81" s="200"/>
      <c r="FJ81" s="195"/>
      <c r="FK81" s="195"/>
      <c r="FL81" s="201"/>
      <c r="FM81" s="196"/>
      <c r="FN81" s="197"/>
      <c r="FO81" s="198"/>
      <c r="FP81" s="197"/>
      <c r="FQ81" s="199"/>
      <c r="FR81" s="200"/>
      <c r="FS81" s="195"/>
      <c r="FT81" s="195"/>
      <c r="FU81" s="201"/>
      <c r="FV81" s="196"/>
      <c r="FW81" s="197"/>
      <c r="FX81" s="198"/>
      <c r="FY81" s="197"/>
      <c r="FZ81" s="199"/>
      <c r="GA81" s="200"/>
      <c r="GB81" s="195"/>
      <c r="GC81" s="195"/>
      <c r="GD81" s="201"/>
      <c r="GE81" s="196"/>
      <c r="GF81" s="197"/>
      <c r="GG81" s="198"/>
      <c r="GH81" s="197"/>
      <c r="GI81" s="199"/>
      <c r="GJ81" s="200"/>
      <c r="GK81" s="195"/>
      <c r="GL81" s="195"/>
      <c r="GM81" s="201"/>
      <c r="GN81" s="196"/>
      <c r="GO81" s="197"/>
      <c r="GP81" s="198"/>
      <c r="GQ81" s="197"/>
      <c r="GR81" s="199"/>
      <c r="GS81" s="200"/>
      <c r="GT81" s="187"/>
      <c r="GU81" s="29"/>
      <c r="GV81" s="205"/>
      <c r="GZ81" s="33"/>
    </row>
    <row r="82" spans="1:208" ht="19.5" thickBot="1" x14ac:dyDescent="0.3">
      <c r="A82"/>
      <c r="D82" s="35"/>
      <c r="E82" s="36"/>
      <c r="F82" s="37"/>
      <c r="G82" s="38"/>
      <c r="H82" s="39"/>
      <c r="I82" s="40"/>
      <c r="J82" s="208"/>
      <c r="K82" s="452"/>
      <c r="O82" s="873"/>
      <c r="P82" s="193"/>
      <c r="Q82" s="180"/>
      <c r="R82" s="194"/>
      <c r="S82" s="180"/>
      <c r="T82" s="39">
        <f t="shared" si="6"/>
        <v>0</v>
      </c>
      <c r="U82" s="181"/>
      <c r="V82" s="182"/>
      <c r="W82" s="30"/>
      <c r="X82" s="195"/>
      <c r="Y82" s="196"/>
      <c r="Z82" s="197"/>
      <c r="AA82" s="198"/>
      <c r="AB82" s="197"/>
      <c r="AC82" s="199"/>
      <c r="AD82" s="200"/>
      <c r="AE82" s="195"/>
      <c r="AF82" s="195"/>
      <c r="AG82" s="201"/>
      <c r="AH82" s="196"/>
      <c r="AI82" s="197"/>
      <c r="AJ82" s="198"/>
      <c r="AK82" s="202"/>
      <c r="AL82" s="199"/>
      <c r="AM82" s="200"/>
      <c r="AN82" s="195"/>
      <c r="AO82" s="195"/>
      <c r="AP82" s="201"/>
      <c r="AQ82" s="196"/>
      <c r="AR82" s="197"/>
      <c r="AS82" s="198"/>
      <c r="AT82" s="197"/>
      <c r="AU82" s="199"/>
      <c r="AV82" s="200"/>
      <c r="AW82" s="195"/>
      <c r="AX82" s="195"/>
      <c r="AY82" s="201"/>
      <c r="AZ82" s="196"/>
      <c r="BA82" s="197"/>
      <c r="BB82" s="198"/>
      <c r="BC82" s="202"/>
      <c r="BD82" s="199"/>
      <c r="BE82" s="200"/>
      <c r="BF82" s="195"/>
      <c r="BG82" s="195"/>
      <c r="BH82" s="201"/>
      <c r="BI82" s="196"/>
      <c r="BJ82" s="197"/>
      <c r="BK82" s="198"/>
      <c r="BL82" s="202"/>
      <c r="BM82" s="199"/>
      <c r="BN82" s="200"/>
      <c r="BO82" s="195"/>
      <c r="BP82" s="195"/>
      <c r="BQ82" s="201"/>
      <c r="BR82" s="196"/>
      <c r="BS82" s="197"/>
      <c r="BT82" s="198"/>
      <c r="BU82" s="197"/>
      <c r="BV82" s="199"/>
      <c r="BW82" s="200"/>
      <c r="BX82" s="195"/>
      <c r="BY82" s="195"/>
      <c r="BZ82" s="201"/>
      <c r="CA82" s="196"/>
      <c r="CB82" s="197"/>
      <c r="CC82" s="198"/>
      <c r="CD82" s="197"/>
      <c r="CE82" s="199"/>
      <c r="CF82" s="200"/>
      <c r="CG82" s="195"/>
      <c r="CH82" s="195"/>
      <c r="CI82" s="201"/>
      <c r="CJ82" s="196"/>
      <c r="CK82" s="197"/>
      <c r="CL82" s="198"/>
      <c r="CM82" s="197"/>
      <c r="CN82" s="199"/>
      <c r="CO82" s="200"/>
      <c r="CP82" s="195"/>
      <c r="CQ82" s="195"/>
      <c r="CR82" s="201"/>
      <c r="CS82" s="196"/>
      <c r="CT82" s="197"/>
      <c r="CU82" s="203"/>
      <c r="CV82" s="202"/>
      <c r="CW82" s="204"/>
      <c r="CX82" s="200"/>
      <c r="CY82" s="195"/>
      <c r="CZ82" s="195"/>
      <c r="DA82" s="201"/>
      <c r="DB82" s="196"/>
      <c r="DC82" s="197"/>
      <c r="DD82" s="198"/>
      <c r="DE82" s="197"/>
      <c r="DF82" s="199"/>
      <c r="DG82" s="200"/>
      <c r="DH82" s="195"/>
      <c r="DI82" s="195"/>
      <c r="DJ82" s="201"/>
      <c r="DK82" s="196"/>
      <c r="DL82" s="197"/>
      <c r="DM82" s="203"/>
      <c r="DN82" s="202"/>
      <c r="DO82" s="204"/>
      <c r="DP82" s="200"/>
      <c r="DQ82" s="195"/>
      <c r="DR82" s="195"/>
      <c r="DS82" s="201"/>
      <c r="DT82" s="196"/>
      <c r="DU82" s="197"/>
      <c r="DV82" s="198"/>
      <c r="DW82" s="197"/>
      <c r="DX82" s="199"/>
      <c r="DY82" s="200"/>
      <c r="DZ82" s="195"/>
      <c r="EA82" s="195"/>
      <c r="EB82" s="201"/>
      <c r="EC82" s="196"/>
      <c r="ED82" s="197"/>
      <c r="EE82" s="203"/>
      <c r="EF82" s="202"/>
      <c r="EG82" s="204"/>
      <c r="EH82" s="200"/>
      <c r="EI82" s="195"/>
      <c r="EJ82" s="195"/>
      <c r="EK82" s="201"/>
      <c r="EL82" s="196"/>
      <c r="EM82" s="197"/>
      <c r="EN82" s="203"/>
      <c r="EO82" s="202"/>
      <c r="EP82" s="204"/>
      <c r="EQ82" s="200"/>
      <c r="ER82" s="195"/>
      <c r="ES82" s="195"/>
      <c r="ET82" s="201"/>
      <c r="EU82" s="196"/>
      <c r="EV82" s="197"/>
      <c r="EW82" s="198"/>
      <c r="EX82" s="197"/>
      <c r="EY82" s="199"/>
      <c r="EZ82" s="200"/>
      <c r="FA82" s="195"/>
      <c r="FB82" s="195"/>
      <c r="FC82" s="201"/>
      <c r="FD82" s="196"/>
      <c r="FE82" s="197"/>
      <c r="FF82" s="198"/>
      <c r="FG82" s="197"/>
      <c r="FH82" s="199"/>
      <c r="FI82" s="200"/>
      <c r="FJ82" s="195"/>
      <c r="FK82" s="195"/>
      <c r="FL82" s="201"/>
      <c r="FM82" s="196"/>
      <c r="FN82" s="197"/>
      <c r="FO82" s="198"/>
      <c r="FP82" s="197"/>
      <c r="FQ82" s="199"/>
      <c r="FR82" s="200"/>
      <c r="FS82" s="195"/>
      <c r="FT82" s="195"/>
      <c r="FU82" s="201"/>
      <c r="FV82" s="196"/>
      <c r="FW82" s="197"/>
      <c r="FX82" s="198"/>
      <c r="FY82" s="197"/>
      <c r="FZ82" s="199"/>
      <c r="GA82" s="200"/>
      <c r="GB82" s="195"/>
      <c r="GC82" s="195"/>
      <c r="GD82" s="201"/>
      <c r="GE82" s="196"/>
      <c r="GF82" s="197"/>
      <c r="GG82" s="198"/>
      <c r="GH82" s="197"/>
      <c r="GI82" s="199"/>
      <c r="GJ82" s="200"/>
      <c r="GK82" s="195"/>
      <c r="GL82" s="195"/>
      <c r="GM82" s="201"/>
      <c r="GN82" s="196"/>
      <c r="GO82" s="197"/>
      <c r="GP82" s="198"/>
      <c r="GQ82" s="197"/>
      <c r="GR82" s="199"/>
      <c r="GS82" s="200"/>
      <c r="GT82" s="187"/>
      <c r="GU82" s="29"/>
      <c r="GV82" s="205"/>
      <c r="GZ82" s="33"/>
    </row>
    <row r="83" spans="1:208" ht="16.5" thickTop="1" x14ac:dyDescent="0.25">
      <c r="A83"/>
      <c r="D83" s="35"/>
      <c r="E83" s="36"/>
      <c r="F83" s="37"/>
      <c r="G83" s="38"/>
      <c r="H83" s="39"/>
      <c r="I83" s="40"/>
      <c r="J83" s="177"/>
      <c r="K83" s="452"/>
      <c r="P83" s="27"/>
      <c r="Q83" s="180"/>
      <c r="R83" s="180"/>
      <c r="S83" s="180"/>
      <c r="T83" s="39">
        <f t="shared" si="6"/>
        <v>0</v>
      </c>
      <c r="U83" s="181"/>
      <c r="V83" s="182"/>
      <c r="W83" s="30"/>
      <c r="X83" s="195"/>
      <c r="Y83" s="196"/>
      <c r="Z83" s="197"/>
      <c r="AA83" s="198"/>
      <c r="AB83" s="197"/>
      <c r="AC83" s="199"/>
      <c r="AD83" s="200"/>
      <c r="AE83" s="195"/>
      <c r="AF83" s="195"/>
      <c r="AG83" s="201"/>
      <c r="AH83" s="196"/>
      <c r="AI83" s="197"/>
      <c r="AJ83" s="198"/>
      <c r="AK83" s="202"/>
      <c r="AL83" s="199"/>
      <c r="AM83" s="200"/>
      <c r="AN83" s="195"/>
      <c r="AO83" s="195"/>
      <c r="AP83" s="201"/>
      <c r="AQ83" s="196"/>
      <c r="AR83" s="197"/>
      <c r="AS83" s="198"/>
      <c r="AT83" s="197"/>
      <c r="AU83" s="199"/>
      <c r="AV83" s="200"/>
      <c r="AW83" s="195"/>
      <c r="AX83" s="195"/>
      <c r="AY83" s="201"/>
      <c r="AZ83" s="196"/>
      <c r="BA83" s="197"/>
      <c r="BB83" s="198"/>
      <c r="BC83" s="202"/>
      <c r="BD83" s="199"/>
      <c r="BE83" s="200"/>
      <c r="BF83" s="195"/>
      <c r="BG83" s="195"/>
      <c r="BH83" s="201"/>
      <c r="BI83" s="196"/>
      <c r="BJ83" s="197"/>
      <c r="BK83" s="198"/>
      <c r="BL83" s="202"/>
      <c r="BM83" s="199"/>
      <c r="BN83" s="200"/>
      <c r="BO83" s="195"/>
      <c r="BP83" s="195"/>
      <c r="BQ83" s="201"/>
      <c r="BR83" s="196"/>
      <c r="BS83" s="197"/>
      <c r="BT83" s="198"/>
      <c r="BU83" s="197"/>
      <c r="BV83" s="199"/>
      <c r="BW83" s="200"/>
      <c r="BX83" s="195"/>
      <c r="BY83" s="195"/>
      <c r="BZ83" s="201"/>
      <c r="CA83" s="196"/>
      <c r="CB83" s="197"/>
      <c r="CC83" s="198"/>
      <c r="CD83" s="197"/>
      <c r="CE83" s="199"/>
      <c r="CF83" s="200"/>
      <c r="CG83" s="195"/>
      <c r="CH83" s="195"/>
      <c r="CI83" s="201"/>
      <c r="CJ83" s="196"/>
      <c r="CK83" s="197"/>
      <c r="CL83" s="198"/>
      <c r="CM83" s="197"/>
      <c r="CN83" s="199"/>
      <c r="CO83" s="200"/>
      <c r="CP83" s="195"/>
      <c r="CQ83" s="195"/>
      <c r="CR83" s="201"/>
      <c r="CS83" s="196"/>
      <c r="CT83" s="197"/>
      <c r="CU83" s="203"/>
      <c r="CV83" s="202"/>
      <c r="CW83" s="204"/>
      <c r="CX83" s="200"/>
      <c r="CY83" s="195"/>
      <c r="CZ83" s="195"/>
      <c r="DA83" s="201"/>
      <c r="DB83" s="196"/>
      <c r="DC83" s="197"/>
      <c r="DD83" s="198"/>
      <c r="DE83" s="197"/>
      <c r="DF83" s="199"/>
      <c r="DG83" s="200"/>
      <c r="DH83" s="195"/>
      <c r="DI83" s="195"/>
      <c r="DJ83" s="201"/>
      <c r="DK83" s="196"/>
      <c r="DL83" s="197"/>
      <c r="DM83" s="203"/>
      <c r="DN83" s="202"/>
      <c r="DO83" s="204"/>
      <c r="DP83" s="200"/>
      <c r="DQ83" s="195"/>
      <c r="DR83" s="195"/>
      <c r="DS83" s="201"/>
      <c r="DT83" s="196"/>
      <c r="DU83" s="197"/>
      <c r="DV83" s="198"/>
      <c r="DW83" s="197"/>
      <c r="DX83" s="199"/>
      <c r="DY83" s="200"/>
      <c r="DZ83" s="195"/>
      <c r="EA83" s="195"/>
      <c r="EB83" s="201"/>
      <c r="EC83" s="196"/>
      <c r="ED83" s="197"/>
      <c r="EE83" s="203"/>
      <c r="EF83" s="202"/>
      <c r="EG83" s="204"/>
      <c r="EH83" s="200"/>
      <c r="EI83" s="195"/>
      <c r="EJ83" s="195"/>
      <c r="EK83" s="201"/>
      <c r="EL83" s="196"/>
      <c r="EM83" s="197"/>
      <c r="EN83" s="203"/>
      <c r="EO83" s="202"/>
      <c r="EP83" s="204"/>
      <c r="EQ83" s="200"/>
      <c r="ER83" s="195"/>
      <c r="ES83" s="195"/>
      <c r="ET83" s="201"/>
      <c r="EU83" s="196"/>
      <c r="EV83" s="197"/>
      <c r="EW83" s="198"/>
      <c r="EX83" s="197"/>
      <c r="EY83" s="199"/>
      <c r="EZ83" s="200"/>
      <c r="FA83" s="195"/>
      <c r="FB83" s="195"/>
      <c r="FC83" s="201"/>
      <c r="FD83" s="196"/>
      <c r="FE83" s="197"/>
      <c r="FF83" s="198"/>
      <c r="FG83" s="197"/>
      <c r="FH83" s="199"/>
      <c r="FI83" s="200"/>
      <c r="FJ83" s="195"/>
      <c r="FK83" s="195"/>
      <c r="FL83" s="201"/>
      <c r="FM83" s="196"/>
      <c r="FN83" s="197"/>
      <c r="FO83" s="198"/>
      <c r="FP83" s="197"/>
      <c r="FQ83" s="199"/>
      <c r="FR83" s="200"/>
      <c r="FS83" s="195"/>
      <c r="FT83" s="195"/>
      <c r="FU83" s="201"/>
      <c r="FV83" s="196"/>
      <c r="FW83" s="197"/>
      <c r="FX83" s="198"/>
      <c r="FY83" s="197"/>
      <c r="FZ83" s="199"/>
      <c r="GA83" s="200"/>
      <c r="GB83" s="195"/>
      <c r="GC83" s="195"/>
      <c r="GD83" s="201"/>
      <c r="GE83" s="196"/>
      <c r="GF83" s="197"/>
      <c r="GG83" s="198"/>
      <c r="GH83" s="197"/>
      <c r="GI83" s="199"/>
      <c r="GJ83" s="200"/>
      <c r="GK83" s="195"/>
      <c r="GL83" s="195"/>
      <c r="GM83" s="201"/>
      <c r="GN83" s="196"/>
      <c r="GO83" s="197"/>
      <c r="GP83" s="198"/>
      <c r="GQ83" s="197"/>
      <c r="GR83" s="199"/>
      <c r="GS83" s="200"/>
      <c r="GT83" s="187"/>
      <c r="GU83" s="29"/>
      <c r="GV83" s="205"/>
      <c r="GZ83" s="33"/>
    </row>
    <row r="84" spans="1:208" ht="16.5" thickBot="1" x14ac:dyDescent="0.3">
      <c r="A84"/>
      <c r="D84" s="35"/>
      <c r="E84" s="36"/>
      <c r="F84" s="37"/>
      <c r="G84" s="38"/>
      <c r="H84" s="39"/>
      <c r="I84" s="40"/>
      <c r="J84" s="177"/>
      <c r="K84" s="452"/>
      <c r="P84" s="27"/>
      <c r="Q84" s="209"/>
      <c r="T84" s="39">
        <f t="shared" si="6"/>
        <v>0</v>
      </c>
      <c r="U84" s="210"/>
      <c r="W84" s="30"/>
      <c r="X84" s="195"/>
      <c r="Y84" s="183"/>
      <c r="Z84" s="197"/>
      <c r="AA84" s="198"/>
      <c r="AB84" s="197"/>
      <c r="AC84" s="199"/>
      <c r="AD84" s="200"/>
      <c r="AE84" s="195"/>
      <c r="AF84" s="195"/>
      <c r="AG84" s="201"/>
      <c r="AH84" s="183"/>
      <c r="AI84" s="197"/>
      <c r="AJ84" s="198"/>
      <c r="AK84" s="202"/>
      <c r="AL84" s="199"/>
      <c r="AM84" s="200"/>
      <c r="AN84" s="195"/>
      <c r="AO84" s="195"/>
      <c r="AP84" s="201"/>
      <c r="AQ84" s="183"/>
      <c r="AR84" s="197"/>
      <c r="AS84" s="198"/>
      <c r="AT84" s="197"/>
      <c r="AU84" s="199"/>
      <c r="AV84" s="200"/>
      <c r="AW84" s="195"/>
      <c r="AX84" s="195"/>
      <c r="AY84" s="201"/>
      <c r="AZ84" s="183"/>
      <c r="BA84" s="197"/>
      <c r="BB84" s="198"/>
      <c r="BC84" s="202"/>
      <c r="BD84" s="199"/>
      <c r="BE84" s="200"/>
      <c r="BF84" s="195"/>
      <c r="BG84" s="195"/>
      <c r="BH84" s="201"/>
      <c r="BI84" s="183"/>
      <c r="BJ84" s="197"/>
      <c r="BK84" s="198"/>
      <c r="BL84" s="202"/>
      <c r="BM84" s="199"/>
      <c r="BN84" s="200"/>
      <c r="BO84" s="195"/>
      <c r="BP84" s="195"/>
      <c r="BQ84" s="201"/>
      <c r="BR84" s="183"/>
      <c r="BS84" s="197"/>
      <c r="BT84" s="198"/>
      <c r="BU84" s="197"/>
      <c r="BV84" s="199"/>
      <c r="BW84" s="200"/>
      <c r="BX84" s="195"/>
      <c r="BY84" s="195"/>
      <c r="BZ84" s="201"/>
      <c r="CA84" s="183"/>
      <c r="CB84" s="197"/>
      <c r="CC84" s="198"/>
      <c r="CD84" s="197"/>
      <c r="CE84" s="199"/>
      <c r="CF84" s="200"/>
      <c r="CG84" s="195"/>
      <c r="CH84" s="195"/>
      <c r="CI84" s="201"/>
      <c r="CJ84" s="183"/>
      <c r="CK84" s="197"/>
      <c r="CL84" s="198"/>
      <c r="CM84" s="197"/>
      <c r="CN84" s="199"/>
      <c r="CO84" s="200"/>
      <c r="CP84" s="195"/>
      <c r="CQ84" s="195"/>
      <c r="CR84" s="201"/>
      <c r="CS84" s="183"/>
      <c r="CT84" s="197"/>
      <c r="CU84" s="203"/>
      <c r="CV84" s="202"/>
      <c r="CW84" s="204"/>
      <c r="CX84" s="200"/>
      <c r="CY84" s="195"/>
      <c r="CZ84" s="195"/>
      <c r="DA84" s="201"/>
      <c r="DB84" s="183"/>
      <c r="DC84" s="197"/>
      <c r="DD84" s="198"/>
      <c r="DE84" s="197"/>
      <c r="DF84" s="199"/>
      <c r="DG84" s="200"/>
      <c r="DH84" s="195"/>
      <c r="DI84" s="195"/>
      <c r="DJ84" s="201"/>
      <c r="DK84" s="183"/>
      <c r="DL84" s="197"/>
      <c r="DM84" s="203"/>
      <c r="DN84" s="202"/>
      <c r="DO84" s="204"/>
      <c r="DP84" s="200"/>
      <c r="DQ84" s="195"/>
      <c r="DR84" s="195"/>
      <c r="DS84" s="201"/>
      <c r="DT84" s="183"/>
      <c r="DU84" s="197"/>
      <c r="DV84" s="198"/>
      <c r="DW84" s="197"/>
      <c r="DX84" s="199"/>
      <c r="DY84" s="200"/>
      <c r="DZ84" s="195"/>
      <c r="EA84" s="195"/>
      <c r="EB84" s="201"/>
      <c r="EC84" s="183"/>
      <c r="ED84" s="197"/>
      <c r="EE84" s="203"/>
      <c r="EF84" s="202"/>
      <c r="EG84" s="204"/>
      <c r="EH84" s="200"/>
      <c r="EI84" s="195"/>
      <c r="EJ84" s="195"/>
      <c r="EK84" s="201"/>
      <c r="EL84" s="183"/>
      <c r="EM84" s="197"/>
      <c r="EN84" s="203"/>
      <c r="EO84" s="202"/>
      <c r="EP84" s="204"/>
      <c r="EQ84" s="200"/>
      <c r="ER84" s="195"/>
      <c r="ES84" s="195"/>
      <c r="ET84" s="201"/>
      <c r="EU84" s="183"/>
      <c r="EV84" s="197"/>
      <c r="EW84" s="198"/>
      <c r="EX84" s="197"/>
      <c r="EY84" s="199"/>
      <c r="EZ84" s="200"/>
      <c r="FA84" s="195"/>
      <c r="FB84" s="195"/>
      <c r="FC84" s="201"/>
      <c r="FD84" s="183"/>
      <c r="FE84" s="197"/>
      <c r="FF84" s="198"/>
      <c r="FG84" s="197"/>
      <c r="FH84" s="199"/>
      <c r="FI84" s="200"/>
      <c r="FJ84" s="195"/>
      <c r="FK84" s="195"/>
      <c r="FL84" s="201"/>
      <c r="FM84" s="183"/>
      <c r="FN84" s="197"/>
      <c r="FO84" s="198"/>
      <c r="FP84" s="197"/>
      <c r="FQ84" s="199"/>
      <c r="FR84" s="200"/>
      <c r="FS84" s="195"/>
      <c r="FT84" s="195"/>
      <c r="FU84" s="201"/>
      <c r="FV84" s="183"/>
      <c r="FW84" s="197"/>
      <c r="FX84" s="198"/>
      <c r="FY84" s="197"/>
      <c r="FZ84" s="199"/>
      <c r="GA84" s="200"/>
      <c r="GB84" s="195"/>
      <c r="GC84" s="195"/>
      <c r="GD84" s="201"/>
      <c r="GE84" s="183"/>
      <c r="GF84" s="197"/>
      <c r="GG84" s="198"/>
      <c r="GH84" s="197"/>
      <c r="GI84" s="199"/>
      <c r="GJ84" s="200"/>
      <c r="GK84" s="195"/>
      <c r="GL84" s="195"/>
      <c r="GM84" s="201"/>
      <c r="GN84" s="183"/>
      <c r="GO84" s="197"/>
      <c r="GP84" s="198"/>
      <c r="GQ84" s="197"/>
      <c r="GR84" s="199"/>
      <c r="GS84" s="200"/>
      <c r="GT84" s="187"/>
      <c r="GU84" s="29"/>
      <c r="GV84" s="211"/>
      <c r="GZ84" s="33"/>
    </row>
    <row r="85" spans="1:208" ht="17.25" thickTop="1" thickBot="1" x14ac:dyDescent="0.3">
      <c r="A85"/>
      <c r="D85" s="35"/>
      <c r="E85" s="36"/>
      <c r="F85" s="37"/>
      <c r="G85" s="38"/>
      <c r="H85" s="39"/>
      <c r="I85" s="40"/>
      <c r="J85" s="177"/>
      <c r="M85" s="212"/>
      <c r="N85" s="213"/>
      <c r="O85" s="874" t="s">
        <v>29</v>
      </c>
      <c r="P85" s="875"/>
      <c r="Q85" s="875"/>
      <c r="R85" s="214">
        <f>SUM(R9:R84)</f>
        <v>0</v>
      </c>
      <c r="S85" s="215"/>
      <c r="T85" s="216" t="e">
        <f>SUM(T9:T84)</f>
        <v>#VALUE!</v>
      </c>
      <c r="U85" s="217"/>
      <c r="W85" s="218">
        <f t="shared" ref="W85:CH85" si="7">SUM(W9:W84)</f>
        <v>503864.6</v>
      </c>
      <c r="X85" s="219">
        <f t="shared" si="7"/>
        <v>0</v>
      </c>
      <c r="Y85" s="219">
        <f t="shared" si="7"/>
        <v>0</v>
      </c>
      <c r="Z85" s="219">
        <f t="shared" si="7"/>
        <v>0</v>
      </c>
      <c r="AA85" s="219">
        <f t="shared" si="7"/>
        <v>0</v>
      </c>
      <c r="AB85" s="219">
        <f t="shared" si="7"/>
        <v>0</v>
      </c>
      <c r="AC85" s="219">
        <f t="shared" si="7"/>
        <v>0</v>
      </c>
      <c r="AD85" s="219">
        <f t="shared" si="7"/>
        <v>0</v>
      </c>
      <c r="AE85" s="219">
        <f t="shared" si="7"/>
        <v>0</v>
      </c>
      <c r="AF85" s="219">
        <f t="shared" si="7"/>
        <v>0</v>
      </c>
      <c r="AG85" s="219">
        <f t="shared" si="7"/>
        <v>0</v>
      </c>
      <c r="AH85" s="219">
        <f t="shared" si="7"/>
        <v>0</v>
      </c>
      <c r="AI85" s="219">
        <f t="shared" si="7"/>
        <v>0</v>
      </c>
      <c r="AJ85" s="219">
        <f t="shared" si="7"/>
        <v>0</v>
      </c>
      <c r="AK85" s="219">
        <f t="shared" si="7"/>
        <v>0</v>
      </c>
      <c r="AL85" s="219">
        <f t="shared" si="7"/>
        <v>0</v>
      </c>
      <c r="AM85" s="219">
        <f t="shared" si="7"/>
        <v>0</v>
      </c>
      <c r="AN85" s="219">
        <f t="shared" si="7"/>
        <v>0</v>
      </c>
      <c r="AO85" s="219">
        <f t="shared" si="7"/>
        <v>0</v>
      </c>
      <c r="AP85" s="219">
        <f t="shared" si="7"/>
        <v>0</v>
      </c>
      <c r="AQ85" s="219">
        <f t="shared" si="7"/>
        <v>0</v>
      </c>
      <c r="AR85" s="219">
        <f t="shared" si="7"/>
        <v>0</v>
      </c>
      <c r="AS85" s="219">
        <f t="shared" si="7"/>
        <v>0</v>
      </c>
      <c r="AT85" s="219">
        <f t="shared" si="7"/>
        <v>0</v>
      </c>
      <c r="AU85" s="219">
        <f t="shared" si="7"/>
        <v>0</v>
      </c>
      <c r="AV85" s="219">
        <f t="shared" si="7"/>
        <v>0</v>
      </c>
      <c r="AW85" s="219">
        <f t="shared" si="7"/>
        <v>0</v>
      </c>
      <c r="AX85" s="219">
        <f t="shared" si="7"/>
        <v>0</v>
      </c>
      <c r="AY85" s="219">
        <f t="shared" si="7"/>
        <v>0</v>
      </c>
      <c r="AZ85" s="219">
        <f t="shared" si="7"/>
        <v>0</v>
      </c>
      <c r="BA85" s="219">
        <f t="shared" si="7"/>
        <v>0</v>
      </c>
      <c r="BB85" s="219">
        <f t="shared" si="7"/>
        <v>0</v>
      </c>
      <c r="BC85" s="219">
        <f t="shared" si="7"/>
        <v>0</v>
      </c>
      <c r="BD85" s="219">
        <f t="shared" si="7"/>
        <v>0</v>
      </c>
      <c r="BE85" s="219">
        <f t="shared" si="7"/>
        <v>0</v>
      </c>
      <c r="BF85" s="219">
        <f t="shared" si="7"/>
        <v>0</v>
      </c>
      <c r="BG85" s="219">
        <f t="shared" si="7"/>
        <v>0</v>
      </c>
      <c r="BH85" s="219">
        <f t="shared" si="7"/>
        <v>0</v>
      </c>
      <c r="BI85" s="219">
        <f t="shared" si="7"/>
        <v>0</v>
      </c>
      <c r="BJ85" s="219">
        <f t="shared" si="7"/>
        <v>0</v>
      </c>
      <c r="BK85" s="219">
        <f t="shared" si="7"/>
        <v>0</v>
      </c>
      <c r="BL85" s="219">
        <f t="shared" si="7"/>
        <v>0</v>
      </c>
      <c r="BM85" s="219">
        <f t="shared" si="7"/>
        <v>0</v>
      </c>
      <c r="BN85" s="219">
        <f t="shared" si="7"/>
        <v>0</v>
      </c>
      <c r="BO85" s="219">
        <f t="shared" si="7"/>
        <v>0</v>
      </c>
      <c r="BP85" s="219">
        <f t="shared" si="7"/>
        <v>0</v>
      </c>
      <c r="BQ85" s="219">
        <f t="shared" si="7"/>
        <v>0</v>
      </c>
      <c r="BR85" s="219">
        <f t="shared" si="7"/>
        <v>0</v>
      </c>
      <c r="BS85" s="219">
        <f t="shared" si="7"/>
        <v>0</v>
      </c>
      <c r="BT85" s="219">
        <f t="shared" si="7"/>
        <v>0</v>
      </c>
      <c r="BU85" s="219">
        <f t="shared" si="7"/>
        <v>0</v>
      </c>
      <c r="BV85" s="219">
        <f t="shared" si="7"/>
        <v>0</v>
      </c>
      <c r="BW85" s="219">
        <f t="shared" si="7"/>
        <v>0</v>
      </c>
      <c r="BX85" s="219">
        <f t="shared" si="7"/>
        <v>0</v>
      </c>
      <c r="BY85" s="219">
        <f t="shared" si="7"/>
        <v>0</v>
      </c>
      <c r="BZ85" s="219">
        <f t="shared" si="7"/>
        <v>0</v>
      </c>
      <c r="CA85" s="219">
        <f t="shared" si="7"/>
        <v>0</v>
      </c>
      <c r="CB85" s="219">
        <f t="shared" si="7"/>
        <v>0</v>
      </c>
      <c r="CC85" s="219">
        <f t="shared" si="7"/>
        <v>0</v>
      </c>
      <c r="CD85" s="219">
        <f t="shared" si="7"/>
        <v>0</v>
      </c>
      <c r="CE85" s="219">
        <f t="shared" si="7"/>
        <v>0</v>
      </c>
      <c r="CF85" s="219">
        <f t="shared" si="7"/>
        <v>0</v>
      </c>
      <c r="CG85" s="219">
        <f t="shared" si="7"/>
        <v>0</v>
      </c>
      <c r="CH85" s="219">
        <f t="shared" si="7"/>
        <v>0</v>
      </c>
      <c r="CI85" s="219">
        <f t="shared" ref="CI85:ET85" si="8">SUM(CI9:CI84)</f>
        <v>0</v>
      </c>
      <c r="CJ85" s="219">
        <f t="shared" si="8"/>
        <v>0</v>
      </c>
      <c r="CK85" s="219">
        <f t="shared" si="8"/>
        <v>0</v>
      </c>
      <c r="CL85" s="219">
        <f t="shared" si="8"/>
        <v>0</v>
      </c>
      <c r="CM85" s="219">
        <f t="shared" si="8"/>
        <v>0</v>
      </c>
      <c r="CN85" s="219">
        <f t="shared" si="8"/>
        <v>0</v>
      </c>
      <c r="CO85" s="219">
        <f t="shared" si="8"/>
        <v>0</v>
      </c>
      <c r="CP85" s="219">
        <f t="shared" si="8"/>
        <v>0</v>
      </c>
      <c r="CQ85" s="219">
        <f t="shared" si="8"/>
        <v>0</v>
      </c>
      <c r="CR85" s="219">
        <f t="shared" si="8"/>
        <v>0</v>
      </c>
      <c r="CS85" s="219">
        <f t="shared" si="8"/>
        <v>0</v>
      </c>
      <c r="CT85" s="219">
        <f t="shared" si="8"/>
        <v>0</v>
      </c>
      <c r="CU85" s="219">
        <f t="shared" si="8"/>
        <v>0</v>
      </c>
      <c r="CV85" s="219">
        <f t="shared" si="8"/>
        <v>0</v>
      </c>
      <c r="CW85" s="219">
        <f t="shared" si="8"/>
        <v>0</v>
      </c>
      <c r="CX85" s="219">
        <f t="shared" si="8"/>
        <v>0</v>
      </c>
      <c r="CY85" s="219">
        <f t="shared" si="8"/>
        <v>0</v>
      </c>
      <c r="CZ85" s="219">
        <f t="shared" si="8"/>
        <v>0</v>
      </c>
      <c r="DA85" s="219">
        <f t="shared" si="8"/>
        <v>0</v>
      </c>
      <c r="DB85" s="219">
        <f t="shared" si="8"/>
        <v>0</v>
      </c>
      <c r="DC85" s="219">
        <f t="shared" si="8"/>
        <v>0</v>
      </c>
      <c r="DD85" s="219">
        <f t="shared" si="8"/>
        <v>0</v>
      </c>
      <c r="DE85" s="219">
        <f t="shared" si="8"/>
        <v>0</v>
      </c>
      <c r="DF85" s="219">
        <f t="shared" si="8"/>
        <v>0</v>
      </c>
      <c r="DG85" s="219">
        <f t="shared" si="8"/>
        <v>0</v>
      </c>
      <c r="DH85" s="219">
        <f t="shared" si="8"/>
        <v>0</v>
      </c>
      <c r="DI85" s="219">
        <f t="shared" si="8"/>
        <v>0</v>
      </c>
      <c r="DJ85" s="219">
        <f t="shared" si="8"/>
        <v>0</v>
      </c>
      <c r="DK85" s="219">
        <f t="shared" si="8"/>
        <v>0</v>
      </c>
      <c r="DL85" s="219">
        <f t="shared" si="8"/>
        <v>0</v>
      </c>
      <c r="DM85" s="219">
        <f t="shared" si="8"/>
        <v>0</v>
      </c>
      <c r="DN85" s="219">
        <f t="shared" si="8"/>
        <v>0</v>
      </c>
      <c r="DO85" s="219">
        <f t="shared" si="8"/>
        <v>0</v>
      </c>
      <c r="DP85" s="219">
        <f t="shared" si="8"/>
        <v>0</v>
      </c>
      <c r="DQ85" s="219">
        <f t="shared" si="8"/>
        <v>0</v>
      </c>
      <c r="DR85" s="219">
        <f t="shared" si="8"/>
        <v>0</v>
      </c>
      <c r="DS85" s="219">
        <f t="shared" si="8"/>
        <v>0</v>
      </c>
      <c r="DT85" s="219">
        <f t="shared" si="8"/>
        <v>0</v>
      </c>
      <c r="DU85" s="219">
        <f t="shared" si="8"/>
        <v>0</v>
      </c>
      <c r="DV85" s="219">
        <f t="shared" si="8"/>
        <v>0</v>
      </c>
      <c r="DW85" s="219">
        <f t="shared" si="8"/>
        <v>0</v>
      </c>
      <c r="DX85" s="219">
        <f t="shared" si="8"/>
        <v>0</v>
      </c>
      <c r="DY85" s="219">
        <f t="shared" si="8"/>
        <v>0</v>
      </c>
      <c r="DZ85" s="219">
        <f t="shared" si="8"/>
        <v>0</v>
      </c>
      <c r="EA85" s="219">
        <f t="shared" si="8"/>
        <v>0</v>
      </c>
      <c r="EB85" s="219">
        <f t="shared" si="8"/>
        <v>0</v>
      </c>
      <c r="EC85" s="219">
        <f t="shared" si="8"/>
        <v>0</v>
      </c>
      <c r="ED85" s="219">
        <f t="shared" si="8"/>
        <v>0</v>
      </c>
      <c r="EE85" s="219">
        <f t="shared" si="8"/>
        <v>0</v>
      </c>
      <c r="EF85" s="219">
        <f t="shared" si="8"/>
        <v>0</v>
      </c>
      <c r="EG85" s="219">
        <f t="shared" si="8"/>
        <v>0</v>
      </c>
      <c r="EH85" s="219">
        <f t="shared" si="8"/>
        <v>0</v>
      </c>
      <c r="EI85" s="219">
        <f t="shared" si="8"/>
        <v>0</v>
      </c>
      <c r="EJ85" s="219">
        <f t="shared" si="8"/>
        <v>0</v>
      </c>
      <c r="EK85" s="219">
        <f t="shared" si="8"/>
        <v>0</v>
      </c>
      <c r="EL85" s="219">
        <f t="shared" si="8"/>
        <v>0</v>
      </c>
      <c r="EM85" s="219">
        <f t="shared" si="8"/>
        <v>0</v>
      </c>
      <c r="EN85" s="219">
        <f t="shared" si="8"/>
        <v>0</v>
      </c>
      <c r="EO85" s="219">
        <f t="shared" si="8"/>
        <v>0</v>
      </c>
      <c r="EP85" s="219">
        <f t="shared" si="8"/>
        <v>0</v>
      </c>
      <c r="EQ85" s="219">
        <f t="shared" si="8"/>
        <v>0</v>
      </c>
      <c r="ER85" s="219">
        <f t="shared" si="8"/>
        <v>0</v>
      </c>
      <c r="ES85" s="219">
        <f t="shared" si="8"/>
        <v>0</v>
      </c>
      <c r="ET85" s="219">
        <f t="shared" si="8"/>
        <v>0</v>
      </c>
      <c r="EU85" s="219">
        <f t="shared" ref="EU85:GS85" si="9">SUM(EU9:EU84)</f>
        <v>0</v>
      </c>
      <c r="EV85" s="219">
        <f t="shared" si="9"/>
        <v>0</v>
      </c>
      <c r="EW85" s="219">
        <f t="shared" si="9"/>
        <v>0</v>
      </c>
      <c r="EX85" s="219">
        <f t="shared" si="9"/>
        <v>0</v>
      </c>
      <c r="EY85" s="219">
        <f t="shared" si="9"/>
        <v>0</v>
      </c>
      <c r="EZ85" s="219">
        <f t="shared" si="9"/>
        <v>0</v>
      </c>
      <c r="FA85" s="219">
        <f t="shared" si="9"/>
        <v>0</v>
      </c>
      <c r="FB85" s="219">
        <f t="shared" si="9"/>
        <v>0</v>
      </c>
      <c r="FC85" s="219">
        <f t="shared" si="9"/>
        <v>0</v>
      </c>
      <c r="FD85" s="219">
        <f t="shared" si="9"/>
        <v>0</v>
      </c>
      <c r="FE85" s="219">
        <f t="shared" si="9"/>
        <v>0</v>
      </c>
      <c r="FF85" s="219">
        <f t="shared" si="9"/>
        <v>0</v>
      </c>
      <c r="FG85" s="219">
        <f t="shared" si="9"/>
        <v>0</v>
      </c>
      <c r="FH85" s="219">
        <f t="shared" si="9"/>
        <v>0</v>
      </c>
      <c r="FI85" s="219">
        <f t="shared" si="9"/>
        <v>0</v>
      </c>
      <c r="FJ85" s="219">
        <f t="shared" si="9"/>
        <v>0</v>
      </c>
      <c r="FK85" s="219">
        <f t="shared" si="9"/>
        <v>0</v>
      </c>
      <c r="FL85" s="219">
        <f t="shared" si="9"/>
        <v>0</v>
      </c>
      <c r="FM85" s="219">
        <f t="shared" si="9"/>
        <v>0</v>
      </c>
      <c r="FN85" s="219">
        <f t="shared" si="9"/>
        <v>0</v>
      </c>
      <c r="FO85" s="219">
        <f t="shared" si="9"/>
        <v>0</v>
      </c>
      <c r="FP85" s="219">
        <f t="shared" si="9"/>
        <v>0</v>
      </c>
      <c r="FQ85" s="219">
        <f t="shared" si="9"/>
        <v>0</v>
      </c>
      <c r="FR85" s="219">
        <f t="shared" si="9"/>
        <v>0</v>
      </c>
      <c r="FS85" s="219">
        <f t="shared" si="9"/>
        <v>0</v>
      </c>
      <c r="FT85" s="219">
        <f t="shared" si="9"/>
        <v>0</v>
      </c>
      <c r="FU85" s="219">
        <f t="shared" si="9"/>
        <v>0</v>
      </c>
      <c r="FV85" s="219">
        <f t="shared" si="9"/>
        <v>0</v>
      </c>
      <c r="FW85" s="219">
        <f t="shared" si="9"/>
        <v>0</v>
      </c>
      <c r="FX85" s="219">
        <f t="shared" si="9"/>
        <v>0</v>
      </c>
      <c r="FY85" s="219">
        <f t="shared" si="9"/>
        <v>0</v>
      </c>
      <c r="FZ85" s="219">
        <f t="shared" si="9"/>
        <v>0</v>
      </c>
      <c r="GA85" s="219">
        <f t="shared" si="9"/>
        <v>0</v>
      </c>
      <c r="GB85" s="219">
        <f t="shared" si="9"/>
        <v>0</v>
      </c>
      <c r="GC85" s="219">
        <f t="shared" si="9"/>
        <v>0</v>
      </c>
      <c r="GD85" s="219">
        <f t="shared" si="9"/>
        <v>0</v>
      </c>
      <c r="GE85" s="219">
        <f t="shared" si="9"/>
        <v>0</v>
      </c>
      <c r="GF85" s="219">
        <f t="shared" si="9"/>
        <v>0</v>
      </c>
      <c r="GG85" s="219">
        <f t="shared" si="9"/>
        <v>0</v>
      </c>
      <c r="GH85" s="219">
        <f t="shared" si="9"/>
        <v>0</v>
      </c>
      <c r="GI85" s="219">
        <f t="shared" si="9"/>
        <v>0</v>
      </c>
      <c r="GJ85" s="219">
        <f t="shared" si="9"/>
        <v>0</v>
      </c>
      <c r="GK85" s="219">
        <f t="shared" si="9"/>
        <v>0</v>
      </c>
      <c r="GL85" s="219">
        <f t="shared" si="9"/>
        <v>0</v>
      </c>
      <c r="GM85" s="219">
        <f t="shared" si="9"/>
        <v>0</v>
      </c>
      <c r="GN85" s="219">
        <f t="shared" si="9"/>
        <v>0</v>
      </c>
      <c r="GO85" s="219">
        <f t="shared" si="9"/>
        <v>0</v>
      </c>
      <c r="GP85" s="219">
        <f t="shared" si="9"/>
        <v>0</v>
      </c>
      <c r="GQ85" s="219">
        <f t="shared" si="9"/>
        <v>0</v>
      </c>
      <c r="GR85" s="219">
        <f t="shared" si="9"/>
        <v>0</v>
      </c>
      <c r="GS85" s="219">
        <f t="shared" si="9"/>
        <v>0</v>
      </c>
      <c r="GT85" s="219"/>
      <c r="GU85" s="220">
        <f>SUM(GU9:GU84)</f>
        <v>446432</v>
      </c>
      <c r="GV85" s="221"/>
      <c r="GW85" s="62"/>
      <c r="GX85" s="62"/>
      <c r="GY85" s="219"/>
      <c r="GZ85" s="223">
        <f>SUM(GZ9:GZ84)</f>
        <v>164952</v>
      </c>
    </row>
    <row r="86" spans="1:208" x14ac:dyDescent="0.25">
      <c r="D86" s="35"/>
      <c r="E86" s="36"/>
      <c r="F86" s="37"/>
      <c r="G86" s="38"/>
      <c r="H86" s="39"/>
      <c r="I86" s="40"/>
      <c r="J86" s="177"/>
      <c r="M86" s="212"/>
      <c r="N86" s="213"/>
      <c r="O86" s="224"/>
      <c r="P86" s="225"/>
      <c r="Q86" s="226"/>
      <c r="R86" s="226"/>
      <c r="S86" s="226"/>
      <c r="T86" s="39"/>
      <c r="U86" s="217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36"/>
      <c r="AK86" s="231"/>
      <c r="AL86" s="230"/>
      <c r="AM86" s="87"/>
      <c r="AP86" s="227"/>
      <c r="AQ86" s="228"/>
      <c r="AR86" s="229"/>
      <c r="AS86" s="36"/>
      <c r="AT86" s="229"/>
      <c r="AU86" s="230"/>
      <c r="AV86" s="87"/>
      <c r="AY86" s="227"/>
      <c r="AZ86" s="228"/>
      <c r="BA86" s="229"/>
      <c r="BB86" s="36"/>
      <c r="BC86" s="231"/>
      <c r="BD86" s="230"/>
      <c r="BE86" s="87"/>
      <c r="BH86" s="227"/>
      <c r="BI86" s="228"/>
      <c r="BJ86" s="229"/>
      <c r="BK86" s="36"/>
      <c r="BL86" s="231"/>
      <c r="BM86" s="230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/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/>
      <c r="DC86" s="229"/>
      <c r="DD86" s="36"/>
      <c r="DE86" s="229"/>
      <c r="DF86" s="230"/>
      <c r="DG86" s="87"/>
      <c r="DJ86" s="227"/>
      <c r="DK86" s="228"/>
      <c r="DL86" s="229"/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/>
      <c r="ED86" s="229"/>
      <c r="EE86" s="232"/>
      <c r="EF86" s="231"/>
      <c r="EG86" s="233"/>
      <c r="EH86" s="87"/>
      <c r="EK86" s="227"/>
      <c r="EL86" s="228"/>
      <c r="EM86" s="229"/>
      <c r="EN86" s="232"/>
      <c r="EO86" s="231"/>
      <c r="EP86" s="233"/>
      <c r="EQ86" s="87"/>
      <c r="ET86" s="227"/>
      <c r="EU86" s="228"/>
      <c r="EV86" s="229"/>
      <c r="EW86" s="36"/>
      <c r="EX86" s="229"/>
      <c r="EY86" s="230"/>
      <c r="EZ86" s="87"/>
      <c r="FC86" s="227"/>
      <c r="FD86" s="228"/>
      <c r="FE86" s="229"/>
      <c r="FF86" s="36"/>
      <c r="FG86" s="229"/>
      <c r="FH86" s="230"/>
      <c r="FI86" s="87"/>
      <c r="FL86" s="227"/>
      <c r="FM86" s="228"/>
      <c r="FN86" s="229"/>
      <c r="FO86" s="36"/>
      <c r="FP86" s="229"/>
      <c r="FQ86" s="230"/>
      <c r="FR86" s="87"/>
      <c r="FU86" s="227"/>
      <c r="FV86" s="228"/>
      <c r="FW86" s="229"/>
      <c r="FX86" s="36"/>
      <c r="FY86" s="229"/>
      <c r="FZ86" s="230"/>
      <c r="GA86" s="87"/>
      <c r="GD86" s="227"/>
      <c r="GE86" s="228"/>
      <c r="GF86" s="229"/>
      <c r="GG86" s="36"/>
      <c r="GH86" s="229"/>
      <c r="GI86" s="230"/>
      <c r="GJ86" s="87"/>
      <c r="GM86" s="227"/>
      <c r="GN86" s="228"/>
      <c r="GO86" s="229"/>
      <c r="GP86" s="36"/>
      <c r="GQ86" s="229"/>
      <c r="GR86" s="230"/>
      <c r="GS86" s="87"/>
      <c r="GT86" s="187"/>
      <c r="GU86"/>
      <c r="GW86" s="235"/>
      <c r="GX86" s="235"/>
      <c r="GY86" s="195"/>
      <c r="GZ86"/>
    </row>
    <row r="87" spans="1:208" ht="16.5" thickBot="1" x14ac:dyDescent="0.3">
      <c r="D87" s="35"/>
      <c r="E87" s="36"/>
      <c r="F87" s="37"/>
      <c r="G87" s="38"/>
      <c r="H87" s="39"/>
      <c r="I87" s="40"/>
      <c r="J87" s="177"/>
      <c r="M87" s="212"/>
      <c r="N87" s="213"/>
      <c r="O87" s="224"/>
      <c r="P87" s="225"/>
      <c r="Q87" s="226"/>
      <c r="R87" s="226"/>
      <c r="S87" s="226"/>
      <c r="T87" s="39"/>
      <c r="U87" s="217"/>
      <c r="X87" s="227"/>
      <c r="Y87" s="228"/>
      <c r="Z87" s="229"/>
      <c r="AA87" s="36"/>
      <c r="AB87" s="229"/>
      <c r="AC87" s="230"/>
      <c r="AD87" s="87"/>
      <c r="AG87" s="227"/>
      <c r="AH87" s="228"/>
      <c r="AI87" s="229"/>
      <c r="AJ87" s="36"/>
      <c r="AK87" s="231"/>
      <c r="AL87" s="230"/>
      <c r="AM87" s="87"/>
      <c r="AP87" s="227"/>
      <c r="AQ87" s="228"/>
      <c r="AR87" s="229"/>
      <c r="AS87" s="36"/>
      <c r="AT87" s="229"/>
      <c r="AU87" s="230"/>
      <c r="AV87" s="87"/>
      <c r="AY87" s="227"/>
      <c r="AZ87" s="228"/>
      <c r="BA87" s="229"/>
      <c r="BB87" s="36"/>
      <c r="BC87" s="231"/>
      <c r="BD87" s="230"/>
      <c r="BE87" s="87"/>
      <c r="BH87" s="227"/>
      <c r="BI87" s="228"/>
      <c r="BJ87" s="229"/>
      <c r="BK87" s="36"/>
      <c r="BL87" s="231"/>
      <c r="BM87" s="230"/>
      <c r="BN87" s="87"/>
      <c r="BQ87" s="227"/>
      <c r="BR87" s="228"/>
      <c r="BS87" s="229"/>
      <c r="BT87" s="36"/>
      <c r="BU87" s="229"/>
      <c r="BV87" s="230"/>
      <c r="BW87" s="87"/>
      <c r="BZ87" s="227"/>
      <c r="CA87" s="228"/>
      <c r="CB87" s="229"/>
      <c r="CC87" s="36"/>
      <c r="CD87" s="229"/>
      <c r="CE87" s="230"/>
      <c r="CF87" s="87"/>
      <c r="CI87" s="227"/>
      <c r="CJ87" s="228"/>
      <c r="CK87" s="229"/>
      <c r="CL87" s="36"/>
      <c r="CM87" s="229"/>
      <c r="CN87" s="230"/>
      <c r="CO87" s="87"/>
      <c r="CR87" s="227"/>
      <c r="CS87" s="228"/>
      <c r="CT87" s="229"/>
      <c r="CU87" s="232"/>
      <c r="CV87" s="231"/>
      <c r="CW87" s="233"/>
      <c r="CX87" s="87"/>
      <c r="DA87" s="227"/>
      <c r="DB87" s="228"/>
      <c r="DC87" s="229"/>
      <c r="DD87" s="36"/>
      <c r="DE87" s="229"/>
      <c r="DF87" s="230"/>
      <c r="DG87" s="87"/>
      <c r="DJ87" s="227"/>
      <c r="DK87" s="228"/>
      <c r="DL87" s="229"/>
      <c r="DM87" s="232"/>
      <c r="DN87" s="231"/>
      <c r="DO87" s="233"/>
      <c r="DP87" s="87"/>
      <c r="DS87" s="227"/>
      <c r="DT87" s="228"/>
      <c r="DU87" s="229"/>
      <c r="DV87" s="36"/>
      <c r="DW87" s="229"/>
      <c r="DX87" s="230"/>
      <c r="DY87" s="87"/>
      <c r="EB87" s="227"/>
      <c r="EC87" s="228"/>
      <c r="ED87" s="229"/>
      <c r="EE87" s="232"/>
      <c r="EF87" s="231"/>
      <c r="EG87" s="233"/>
      <c r="EH87" s="87"/>
      <c r="EK87" s="227"/>
      <c r="EL87" s="228"/>
      <c r="EM87" s="229"/>
      <c r="EN87" s="232"/>
      <c r="EO87" s="231"/>
      <c r="EP87" s="233"/>
      <c r="EQ87" s="87"/>
      <c r="ET87" s="227"/>
      <c r="EU87" s="228"/>
      <c r="EV87" s="229"/>
      <c r="EW87" s="36"/>
      <c r="EX87" s="229"/>
      <c r="EY87" s="230"/>
      <c r="EZ87" s="87"/>
      <c r="FC87" s="227"/>
      <c r="FD87" s="228"/>
      <c r="FE87" s="229"/>
      <c r="FF87" s="36"/>
      <c r="FG87" s="229"/>
      <c r="FH87" s="230"/>
      <c r="FI87" s="87"/>
      <c r="FL87" s="227"/>
      <c r="FM87" s="228"/>
      <c r="FN87" s="229"/>
      <c r="FO87" s="36"/>
      <c r="FP87" s="229"/>
      <c r="FQ87" s="230"/>
      <c r="FR87" s="87"/>
      <c r="FU87" s="227"/>
      <c r="FV87" s="228"/>
      <c r="FW87" s="229"/>
      <c r="FX87" s="36"/>
      <c r="FY87" s="229"/>
      <c r="FZ87" s="230"/>
      <c r="GA87" s="87"/>
      <c r="GD87" s="227"/>
      <c r="GE87" s="228"/>
      <c r="GF87" s="229"/>
      <c r="GG87" s="36"/>
      <c r="GH87" s="229"/>
      <c r="GI87" s="230"/>
      <c r="GJ87" s="87"/>
      <c r="GM87" s="227"/>
      <c r="GN87" s="228"/>
      <c r="GO87" s="229"/>
      <c r="GP87" s="36"/>
      <c r="GQ87" s="229"/>
      <c r="GR87" s="230"/>
      <c r="GS87" s="87"/>
      <c r="GT87" s="187"/>
      <c r="GU87"/>
      <c r="GW87" s="235"/>
      <c r="GX87" s="235"/>
      <c r="GY87" s="195"/>
      <c r="GZ87"/>
    </row>
    <row r="88" spans="1:208" ht="16.5" thickTop="1" x14ac:dyDescent="0.25">
      <c r="D88" s="35"/>
      <c r="E88" s="36"/>
      <c r="F88" s="37"/>
      <c r="G88" s="38"/>
      <c r="H88" s="39"/>
      <c r="I88" s="40"/>
      <c r="J88" s="177"/>
      <c r="M88" s="212"/>
      <c r="O88" s="876" t="s">
        <v>30</v>
      </c>
      <c r="P88" s="877"/>
      <c r="Q88" s="877"/>
      <c r="R88" s="237"/>
      <c r="S88" s="237"/>
      <c r="T88" s="880" t="e">
        <f>GZ85+GU85+W85+T85+R85</f>
        <v>#VALUE!</v>
      </c>
      <c r="U88" s="881"/>
      <c r="X88" s="227"/>
      <c r="Y88" s="228"/>
      <c r="Z88" s="229"/>
      <c r="AA88" s="36"/>
      <c r="AB88" s="229"/>
      <c r="AC88" s="230"/>
      <c r="AD88" s="87"/>
      <c r="AG88" s="227"/>
      <c r="AH88" s="228"/>
      <c r="AI88" s="229"/>
      <c r="AJ88" s="36"/>
      <c r="AK88" s="231"/>
      <c r="AL88" s="230"/>
      <c r="AM88" s="87"/>
      <c r="AP88" s="227"/>
      <c r="AQ88" s="228"/>
      <c r="AR88" s="229"/>
      <c r="AS88" s="36"/>
      <c r="AT88" s="229"/>
      <c r="AU88" s="230"/>
      <c r="AV88" s="87"/>
      <c r="AY88" s="227"/>
      <c r="AZ88" s="228"/>
      <c r="BA88" s="229"/>
      <c r="BB88" s="36"/>
      <c r="BC88" s="231"/>
      <c r="BD88" s="230"/>
      <c r="BE88" s="87"/>
      <c r="BH88" s="227"/>
      <c r="BI88" s="228"/>
      <c r="BJ88" s="229"/>
      <c r="BK88" s="36"/>
      <c r="BL88" s="231"/>
      <c r="BM88" s="230"/>
      <c r="BN88" s="87"/>
      <c r="BQ88" s="227"/>
      <c r="BR88" s="228"/>
      <c r="BS88" s="229"/>
      <c r="BT88" s="36"/>
      <c r="BU88" s="229"/>
      <c r="BV88" s="230"/>
      <c r="BW88" s="87"/>
      <c r="BZ88" s="227"/>
      <c r="CA88" s="228"/>
      <c r="CB88" s="229"/>
      <c r="CC88" s="36"/>
      <c r="CD88" s="229"/>
      <c r="CE88" s="230"/>
      <c r="CF88" s="87"/>
      <c r="CI88" s="227"/>
      <c r="CJ88" s="228"/>
      <c r="CK88" s="229"/>
      <c r="CL88" s="36"/>
      <c r="CM88" s="229"/>
      <c r="CN88" s="230"/>
      <c r="CO88" s="87"/>
      <c r="CR88" s="227"/>
      <c r="CS88" s="228"/>
      <c r="CT88" s="229"/>
      <c r="CU88" s="232"/>
      <c r="CV88" s="231"/>
      <c r="CW88" s="233"/>
      <c r="CX88" s="87"/>
      <c r="DA88" s="227"/>
      <c r="DB88" s="228"/>
      <c r="DC88" s="229"/>
      <c r="DD88" s="36"/>
      <c r="DE88" s="229"/>
      <c r="DF88" s="230"/>
      <c r="DG88" s="87"/>
      <c r="DJ88" s="227"/>
      <c r="DK88" s="228"/>
      <c r="DL88" s="229"/>
      <c r="DM88" s="232"/>
      <c r="DN88" s="231"/>
      <c r="DO88" s="233"/>
      <c r="DP88" s="87"/>
      <c r="DS88" s="227"/>
      <c r="DT88" s="228"/>
      <c r="DU88" s="229"/>
      <c r="DV88" s="36"/>
      <c r="DW88" s="229"/>
      <c r="DX88" s="230"/>
      <c r="DY88" s="87"/>
      <c r="EB88" s="227"/>
      <c r="EC88" s="228"/>
      <c r="ED88" s="229"/>
      <c r="EE88" s="232"/>
      <c r="EF88" s="231"/>
      <c r="EG88" s="233"/>
      <c r="EH88" s="87"/>
      <c r="EK88" s="227"/>
      <c r="EL88" s="228"/>
      <c r="EM88" s="229"/>
      <c r="EN88" s="232"/>
      <c r="EO88" s="231"/>
      <c r="EP88" s="233"/>
      <c r="EQ88" s="87"/>
      <c r="ET88" s="227"/>
      <c r="EU88" s="228"/>
      <c r="EV88" s="229"/>
      <c r="EW88" s="36"/>
      <c r="EX88" s="229"/>
      <c r="EY88" s="230"/>
      <c r="EZ88" s="87"/>
      <c r="FC88" s="227"/>
      <c r="FD88" s="228"/>
      <c r="FE88" s="229"/>
      <c r="FF88" s="36"/>
      <c r="FG88" s="229"/>
      <c r="FH88" s="230"/>
      <c r="FI88" s="87"/>
      <c r="FL88" s="227"/>
      <c r="FM88" s="228"/>
      <c r="FN88" s="229"/>
      <c r="FO88" s="36"/>
      <c r="FP88" s="229"/>
      <c r="FQ88" s="230"/>
      <c r="FR88" s="87"/>
      <c r="FU88" s="227"/>
      <c r="FV88" s="228"/>
      <c r="FW88" s="229"/>
      <c r="FX88" s="36"/>
      <c r="FY88" s="229"/>
      <c r="FZ88" s="230"/>
      <c r="GA88" s="87"/>
      <c r="GD88" s="227"/>
      <c r="GE88" s="228"/>
      <c r="GF88" s="229"/>
      <c r="GG88" s="36"/>
      <c r="GH88" s="229"/>
      <c r="GI88" s="230"/>
      <c r="GJ88" s="87"/>
      <c r="GM88" s="227"/>
      <c r="GN88" s="228"/>
      <c r="GO88" s="229"/>
      <c r="GP88" s="36"/>
      <c r="GQ88" s="229"/>
      <c r="GR88" s="230"/>
      <c r="GS88" s="87"/>
      <c r="GT88" s="187"/>
      <c r="GU88"/>
      <c r="GW88" s="235"/>
      <c r="GX88" s="235"/>
      <c r="GY88" s="195"/>
      <c r="GZ88"/>
    </row>
    <row r="89" spans="1:208" ht="16.5" thickBot="1" x14ac:dyDescent="0.3">
      <c r="D89" s="35"/>
      <c r="E89" s="36"/>
      <c r="F89" s="37"/>
      <c r="G89" s="38"/>
      <c r="H89" s="39"/>
      <c r="I89" s="40"/>
      <c r="J89" s="238"/>
      <c r="M89" s="212"/>
      <c r="O89" s="878"/>
      <c r="P89" s="879"/>
      <c r="Q89" s="879"/>
      <c r="R89" s="239"/>
      <c r="S89" s="239"/>
      <c r="T89" s="882"/>
      <c r="U89" s="883"/>
      <c r="X89" s="227"/>
      <c r="Y89" s="228"/>
      <c r="Z89" s="229"/>
      <c r="AA89" s="36"/>
      <c r="AB89" s="229"/>
      <c r="AC89" s="230"/>
      <c r="AD89" s="87"/>
      <c r="AG89" s="227"/>
      <c r="AH89" s="228"/>
      <c r="AI89" s="229"/>
      <c r="AJ89" s="36"/>
      <c r="AK89" s="231"/>
      <c r="AL89" s="230"/>
      <c r="AM89" s="87"/>
      <c r="AP89" s="227"/>
      <c r="AQ89" s="228"/>
      <c r="AR89" s="229"/>
      <c r="AS89" s="36"/>
      <c r="AT89" s="229"/>
      <c r="AU89" s="230"/>
      <c r="AV89" s="87"/>
      <c r="AY89" s="227"/>
      <c r="AZ89" s="228"/>
      <c r="BA89" s="229"/>
      <c r="BB89" s="36"/>
      <c r="BC89" s="231"/>
      <c r="BD89" s="230"/>
      <c r="BE89" s="87"/>
      <c r="BH89" s="227"/>
      <c r="BI89" s="228"/>
      <c r="BJ89" s="229"/>
      <c r="BK89" s="36"/>
      <c r="BL89" s="231"/>
      <c r="BM89" s="230"/>
      <c r="BN89" s="87"/>
      <c r="BQ89" s="227"/>
      <c r="BR89" s="228"/>
      <c r="BS89" s="229"/>
      <c r="BT89" s="36"/>
      <c r="BU89" s="229"/>
      <c r="BV89" s="230"/>
      <c r="BW89" s="87"/>
      <c r="BZ89" s="227"/>
      <c r="CA89" s="228"/>
      <c r="CB89" s="229"/>
      <c r="CC89" s="36"/>
      <c r="CD89" s="229"/>
      <c r="CE89" s="230"/>
      <c r="CF89" s="87"/>
      <c r="CI89" s="227"/>
      <c r="CJ89" s="228"/>
      <c r="CK89" s="229"/>
      <c r="CL89" s="36"/>
      <c r="CM89" s="229"/>
      <c r="CN89" s="230"/>
      <c r="CO89" s="87"/>
      <c r="CR89" s="227"/>
      <c r="CS89" s="228"/>
      <c r="CT89" s="229"/>
      <c r="CU89" s="232"/>
      <c r="CV89" s="231"/>
      <c r="CW89" s="233"/>
      <c r="CX89" s="87"/>
      <c r="DA89" s="227"/>
      <c r="DB89" s="228"/>
      <c r="DC89" s="229"/>
      <c r="DD89" s="36"/>
      <c r="DE89" s="229"/>
      <c r="DF89" s="230"/>
      <c r="DG89" s="87"/>
      <c r="DJ89" s="227"/>
      <c r="DK89" s="228"/>
      <c r="DL89" s="229"/>
      <c r="DM89" s="232"/>
      <c r="DN89" s="231"/>
      <c r="DO89" s="233"/>
      <c r="DP89" s="87"/>
      <c r="DS89" s="227"/>
      <c r="DT89" s="228"/>
      <c r="DU89" s="229"/>
      <c r="DV89" s="36"/>
      <c r="DW89" s="229"/>
      <c r="DX89" s="230"/>
      <c r="DY89" s="87"/>
      <c r="EB89" s="227"/>
      <c r="EC89" s="228"/>
      <c r="ED89" s="229"/>
      <c r="EE89" s="232"/>
      <c r="EF89" s="231"/>
      <c r="EG89" s="233"/>
      <c r="EH89" s="87"/>
      <c r="EK89" s="227"/>
      <c r="EL89" s="228"/>
      <c r="EM89" s="229"/>
      <c r="EN89" s="232"/>
      <c r="EO89" s="231"/>
      <c r="EP89" s="233"/>
      <c r="EQ89" s="87"/>
      <c r="ET89" s="227"/>
      <c r="EU89" s="228"/>
      <c r="EV89" s="229"/>
      <c r="EW89" s="36"/>
      <c r="EX89" s="229"/>
      <c r="EY89" s="230"/>
      <c r="EZ89" s="87"/>
      <c r="FC89" s="227"/>
      <c r="FD89" s="228"/>
      <c r="FE89" s="229"/>
      <c r="FF89" s="36"/>
      <c r="FG89" s="229"/>
      <c r="FH89" s="230"/>
      <c r="FI89" s="87"/>
      <c r="FL89" s="227"/>
      <c r="FM89" s="228"/>
      <c r="FN89" s="229"/>
      <c r="FO89" s="36"/>
      <c r="FP89" s="229"/>
      <c r="FQ89" s="230"/>
      <c r="FR89" s="87"/>
      <c r="FU89" s="227"/>
      <c r="FV89" s="228"/>
      <c r="FW89" s="229"/>
      <c r="FX89" s="36"/>
      <c r="FY89" s="229"/>
      <c r="FZ89" s="230"/>
      <c r="GA89" s="87"/>
      <c r="GD89" s="227"/>
      <c r="GE89" s="228"/>
      <c r="GF89" s="229"/>
      <c r="GG89" s="36"/>
      <c r="GH89" s="229"/>
      <c r="GI89" s="230"/>
      <c r="GJ89" s="87"/>
      <c r="GM89" s="227"/>
      <c r="GN89" s="228"/>
      <c r="GO89" s="229"/>
      <c r="GP89" s="36"/>
      <c r="GQ89" s="229"/>
      <c r="GR89" s="230"/>
      <c r="GS89" s="87"/>
      <c r="GT89" s="187"/>
      <c r="GU89"/>
      <c r="GW89" s="235"/>
      <c r="GX89" s="235"/>
      <c r="GY89" s="195"/>
      <c r="GZ89"/>
    </row>
    <row r="90" spans="1:208" ht="16.5" thickTop="1" x14ac:dyDescent="0.25">
      <c r="D90" s="35"/>
      <c r="E90" s="36"/>
      <c r="F90" s="37"/>
      <c r="G90" s="38"/>
      <c r="H90" s="39"/>
      <c r="I90" s="40"/>
      <c r="J90" s="238"/>
      <c r="M90" s="212"/>
      <c r="O90" s="224"/>
      <c r="P90" s="225"/>
      <c r="Q90" s="226"/>
      <c r="R90" s="226"/>
      <c r="S90" s="226"/>
      <c r="T90" s="39"/>
      <c r="U90" s="217"/>
      <c r="X90" s="227"/>
      <c r="Y90" s="228"/>
      <c r="Z90" s="229"/>
      <c r="AA90" s="36"/>
      <c r="AB90" s="229"/>
      <c r="AC90" s="230"/>
      <c r="AD90" s="87"/>
      <c r="AG90" s="227"/>
      <c r="AH90" s="228"/>
      <c r="AI90" s="229"/>
      <c r="AJ90" s="36"/>
      <c r="AK90" s="231"/>
      <c r="AL90" s="230"/>
      <c r="AM90" s="87"/>
      <c r="AP90" s="227"/>
      <c r="AQ90" s="228"/>
      <c r="AR90" s="229"/>
      <c r="AS90" s="36"/>
      <c r="AT90" s="229"/>
      <c r="AU90" s="230"/>
      <c r="AV90" s="87"/>
      <c r="AY90" s="227"/>
      <c r="AZ90" s="228"/>
      <c r="BA90" s="229"/>
      <c r="BB90" s="36"/>
      <c r="BC90" s="231"/>
      <c r="BD90" s="230"/>
      <c r="BE90" s="87"/>
      <c r="BH90" s="227"/>
      <c r="BI90" s="228"/>
      <c r="BJ90" s="229"/>
      <c r="BK90" s="36"/>
      <c r="BL90" s="231"/>
      <c r="BM90" s="230"/>
      <c r="BN90" s="87"/>
      <c r="BQ90" s="227"/>
      <c r="BR90" s="228"/>
      <c r="BS90" s="229"/>
      <c r="BT90" s="36"/>
      <c r="BU90" s="229"/>
      <c r="BV90" s="230"/>
      <c r="BW90" s="87"/>
      <c r="BZ90" s="227"/>
      <c r="CA90" s="228"/>
      <c r="CB90" s="229"/>
      <c r="CC90" s="36"/>
      <c r="CD90" s="229"/>
      <c r="CE90" s="230"/>
      <c r="CF90" s="87"/>
      <c r="CI90" s="227"/>
      <c r="CJ90" s="228"/>
      <c r="CK90" s="229"/>
      <c r="CL90" s="36"/>
      <c r="CM90" s="229"/>
      <c r="CN90" s="230"/>
      <c r="CO90" s="87"/>
      <c r="CR90" s="227"/>
      <c r="CS90" s="228"/>
      <c r="CT90" s="229"/>
      <c r="CU90" s="232"/>
      <c r="CV90" s="231"/>
      <c r="CW90" s="233"/>
      <c r="CX90" s="87"/>
      <c r="DA90" s="227"/>
      <c r="DB90" s="228"/>
      <c r="DC90" s="229"/>
      <c r="DD90" s="36"/>
      <c r="DE90" s="229"/>
      <c r="DF90" s="230"/>
      <c r="DG90" s="87"/>
      <c r="DJ90" s="227"/>
      <c r="DK90" s="228"/>
      <c r="DL90" s="229"/>
      <c r="DM90" s="232"/>
      <c r="DN90" s="231"/>
      <c r="DO90" s="233"/>
      <c r="DP90" s="87"/>
      <c r="DS90" s="227"/>
      <c r="DT90" s="228"/>
      <c r="DU90" s="229"/>
      <c r="DV90" s="36"/>
      <c r="DW90" s="229"/>
      <c r="DX90" s="230"/>
      <c r="DY90" s="87"/>
      <c r="EB90" s="227"/>
      <c r="EC90" s="228"/>
      <c r="ED90" s="229"/>
      <c r="EE90" s="232"/>
      <c r="EF90" s="231"/>
      <c r="EG90" s="233"/>
      <c r="EH90" s="87"/>
      <c r="EK90" s="227"/>
      <c r="EL90" s="228"/>
      <c r="EM90" s="229"/>
      <c r="EN90" s="232"/>
      <c r="EO90" s="231"/>
      <c r="EP90" s="233"/>
      <c r="EQ90" s="87"/>
      <c r="ET90" s="227"/>
      <c r="EU90" s="228"/>
      <c r="EV90" s="229"/>
      <c r="EW90" s="36"/>
      <c r="EX90" s="229"/>
      <c r="EY90" s="230"/>
      <c r="EZ90" s="87"/>
      <c r="FC90" s="227"/>
      <c r="FD90" s="228"/>
      <c r="FE90" s="229"/>
      <c r="FF90" s="36"/>
      <c r="FG90" s="229"/>
      <c r="FH90" s="230"/>
      <c r="FI90" s="87"/>
      <c r="FL90" s="227"/>
      <c r="FM90" s="228"/>
      <c r="FN90" s="229"/>
      <c r="FO90" s="36"/>
      <c r="FP90" s="229"/>
      <c r="FQ90" s="230"/>
      <c r="FR90" s="87"/>
      <c r="FU90" s="227"/>
      <c r="FV90" s="228"/>
      <c r="FW90" s="229"/>
      <c r="FX90" s="36"/>
      <c r="FY90" s="229"/>
      <c r="FZ90" s="230"/>
      <c r="GA90" s="87"/>
      <c r="GD90" s="227"/>
      <c r="GE90" s="228"/>
      <c r="GF90" s="229"/>
      <c r="GG90" s="36"/>
      <c r="GH90" s="229"/>
      <c r="GI90" s="230"/>
      <c r="GJ90" s="87"/>
      <c r="GM90" s="227"/>
      <c r="GN90" s="228"/>
      <c r="GO90" s="229"/>
      <c r="GP90" s="36"/>
      <c r="GQ90" s="229"/>
      <c r="GR90" s="230"/>
      <c r="GS90" s="87"/>
      <c r="GT90" s="187"/>
      <c r="GU90"/>
      <c r="GW90" s="235"/>
      <c r="GX90" s="235"/>
      <c r="GY90" s="195"/>
      <c r="GZ90"/>
    </row>
    <row r="91" spans="1:208" x14ac:dyDescent="0.25">
      <c r="D91" s="35"/>
      <c r="E91" s="36"/>
      <c r="F91" s="37"/>
      <c r="G91" s="38"/>
      <c r="H91" s="39"/>
      <c r="I91" s="40"/>
      <c r="J91" s="177"/>
      <c r="M91" s="212"/>
      <c r="O91" s="224"/>
      <c r="P91" s="225"/>
      <c r="Q91" s="226"/>
      <c r="R91" s="226"/>
      <c r="S91" s="226"/>
      <c r="T91" s="39"/>
      <c r="U91" s="217"/>
      <c r="X91" s="227"/>
      <c r="Y91" s="228"/>
      <c r="Z91" s="229"/>
      <c r="AA91" s="36"/>
      <c r="AB91" s="229"/>
      <c r="AC91" s="230"/>
      <c r="AD91" s="87"/>
      <c r="AG91" s="227"/>
      <c r="AH91" s="228"/>
      <c r="AI91" s="229"/>
      <c r="AJ91" s="36"/>
      <c r="AK91" s="231"/>
      <c r="AL91" s="230"/>
      <c r="AM91" s="87"/>
      <c r="AP91" s="227"/>
      <c r="AQ91" s="228"/>
      <c r="AR91" s="229"/>
      <c r="AS91" s="36"/>
      <c r="AT91" s="229"/>
      <c r="AU91" s="230"/>
      <c r="AV91" s="87"/>
      <c r="AY91" s="227"/>
      <c r="AZ91" s="228"/>
      <c r="BA91" s="229"/>
      <c r="BB91" s="36"/>
      <c r="BC91" s="231"/>
      <c r="BD91" s="230"/>
      <c r="BE91" s="87"/>
      <c r="BH91" s="227"/>
      <c r="BI91" s="228"/>
      <c r="BJ91" s="229"/>
      <c r="BK91" s="36"/>
      <c r="BL91" s="231"/>
      <c r="BM91" s="230"/>
      <c r="BN91" s="87"/>
      <c r="BQ91" s="227"/>
      <c r="BR91" s="228"/>
      <c r="BS91" s="229"/>
      <c r="BT91" s="36"/>
      <c r="BU91" s="229"/>
      <c r="BV91" s="230"/>
      <c r="BW91" s="87"/>
      <c r="BZ91" s="227"/>
      <c r="CA91" s="228"/>
      <c r="CB91" s="229"/>
      <c r="CC91" s="36"/>
      <c r="CD91" s="229"/>
      <c r="CE91" s="230"/>
      <c r="CF91" s="87"/>
      <c r="CI91" s="227"/>
      <c r="CJ91" s="228"/>
      <c r="CK91" s="229"/>
      <c r="CL91" s="36"/>
      <c r="CM91" s="229"/>
      <c r="CN91" s="230"/>
      <c r="CO91" s="87"/>
      <c r="CR91" s="227"/>
      <c r="CS91" s="228"/>
      <c r="CT91" s="229"/>
      <c r="CU91" s="232"/>
      <c r="CV91" s="231"/>
      <c r="CW91" s="233"/>
      <c r="CX91" s="87"/>
      <c r="DA91" s="227"/>
      <c r="DB91" s="228"/>
      <c r="DC91" s="229"/>
      <c r="DD91" s="36"/>
      <c r="DE91" s="229"/>
      <c r="DF91" s="230"/>
      <c r="DG91" s="87"/>
      <c r="DJ91" s="227"/>
      <c r="DK91" s="228"/>
      <c r="DL91" s="229"/>
      <c r="DM91" s="232"/>
      <c r="DN91" s="231"/>
      <c r="DO91" s="233"/>
      <c r="DP91" s="87"/>
      <c r="DS91" s="227"/>
      <c r="DT91" s="228"/>
      <c r="DU91" s="229"/>
      <c r="DV91" s="36"/>
      <c r="DW91" s="229"/>
      <c r="DX91" s="230"/>
      <c r="DY91" s="87"/>
      <c r="EB91" s="227"/>
      <c r="EC91" s="228"/>
      <c r="ED91" s="229"/>
      <c r="EE91" s="232"/>
      <c r="EF91" s="231"/>
      <c r="EG91" s="233"/>
      <c r="EH91" s="87"/>
      <c r="EK91" s="227"/>
      <c r="EL91" s="228"/>
      <c r="EM91" s="229"/>
      <c r="EN91" s="232"/>
      <c r="EO91" s="231"/>
      <c r="EP91" s="233"/>
      <c r="EQ91" s="87"/>
      <c r="ET91" s="227"/>
      <c r="EU91" s="228"/>
      <c r="EV91" s="229"/>
      <c r="EW91" s="36"/>
      <c r="EX91" s="229"/>
      <c r="EY91" s="230"/>
      <c r="EZ91" s="87"/>
      <c r="FC91" s="227"/>
      <c r="FD91" s="228"/>
      <c r="FE91" s="229"/>
      <c r="FF91" s="36"/>
      <c r="FG91" s="229"/>
      <c r="FH91" s="230"/>
      <c r="FI91" s="87"/>
      <c r="FL91" s="227"/>
      <c r="FM91" s="228"/>
      <c r="FN91" s="229"/>
      <c r="FO91" s="36"/>
      <c r="FP91" s="229"/>
      <c r="FQ91" s="230"/>
      <c r="FR91" s="87"/>
      <c r="FU91" s="227"/>
      <c r="FV91" s="228"/>
      <c r="FW91" s="229"/>
      <c r="FX91" s="36"/>
      <c r="FY91" s="229"/>
      <c r="FZ91" s="230"/>
      <c r="GA91" s="87"/>
      <c r="GD91" s="227"/>
      <c r="GE91" s="228"/>
      <c r="GF91" s="229"/>
      <c r="GG91" s="36"/>
      <c r="GH91" s="229"/>
      <c r="GI91" s="230"/>
      <c r="GJ91" s="87"/>
      <c r="GM91" s="227"/>
      <c r="GN91" s="228"/>
      <c r="GO91" s="229"/>
      <c r="GP91" s="36"/>
      <c r="GQ91" s="229"/>
      <c r="GR91" s="230"/>
      <c r="GS91" s="87"/>
      <c r="GT91" s="187"/>
      <c r="GU91"/>
      <c r="GW91" s="235"/>
      <c r="GX91" s="235"/>
      <c r="GY91" s="195"/>
      <c r="GZ91"/>
    </row>
    <row r="92" spans="1:208" x14ac:dyDescent="0.25">
      <c r="A92" s="1">
        <v>25</v>
      </c>
      <c r="B92" t="e">
        <f>#REF!</f>
        <v>#REF!</v>
      </c>
      <c r="C92" t="e">
        <f>#REF!</f>
        <v>#REF!</v>
      </c>
      <c r="D92" s="35" t="e">
        <f>#REF!</f>
        <v>#REF!</v>
      </c>
      <c r="E92" s="36" t="e">
        <f>#REF!</f>
        <v>#REF!</v>
      </c>
      <c r="F92" s="37" t="e">
        <f>#REF!</f>
        <v>#REF!</v>
      </c>
      <c r="G92" s="38" t="e">
        <f>#REF!</f>
        <v>#REF!</v>
      </c>
      <c r="H92" s="39" t="e">
        <f>#REF!</f>
        <v>#REF!</v>
      </c>
      <c r="I92" s="40" t="e">
        <f>#REF!</f>
        <v>#REF!</v>
      </c>
      <c r="J92" s="177"/>
      <c r="M92" s="212"/>
      <c r="O92" s="224"/>
      <c r="P92" s="240"/>
      <c r="Q92" s="226"/>
      <c r="R92" s="226"/>
      <c r="S92" s="226"/>
      <c r="T92" s="39"/>
      <c r="U92" s="241"/>
      <c r="X92" s="227"/>
      <c r="Y92" s="228"/>
      <c r="Z92" s="229"/>
      <c r="AA92" s="198"/>
      <c r="AB92" s="197"/>
      <c r="AC92" s="199"/>
      <c r="AD92" s="200"/>
      <c r="AG92" s="227"/>
      <c r="AH92" s="228"/>
      <c r="AI92" s="229"/>
      <c r="AJ92" s="232"/>
      <c r="AK92" s="231"/>
      <c r="AL92" s="233"/>
      <c r="AM92" s="87"/>
      <c r="AP92" s="227"/>
      <c r="AQ92" s="228">
        <v>21</v>
      </c>
      <c r="AR92" s="229"/>
      <c r="AS92" s="232"/>
      <c r="AT92" s="229"/>
      <c r="AU92" s="233"/>
      <c r="AV92" s="87"/>
      <c r="AY92" s="227"/>
      <c r="AZ92" s="228">
        <v>21</v>
      </c>
      <c r="BA92" s="229"/>
      <c r="BB92" s="232"/>
      <c r="BC92" s="231"/>
      <c r="BD92" s="233"/>
      <c r="BE92" s="87"/>
      <c r="BH92" s="227"/>
      <c r="BI92" s="228"/>
      <c r="BJ92" s="229"/>
      <c r="BK92" s="232"/>
      <c r="BL92" s="231"/>
      <c r="BM92" s="233"/>
      <c r="BN92" s="87"/>
      <c r="BQ92" s="227"/>
      <c r="BR92" s="228"/>
      <c r="BS92" s="229"/>
      <c r="BT92" s="36"/>
      <c r="BU92" s="229"/>
      <c r="BV92" s="230"/>
      <c r="BW92" s="87"/>
      <c r="BZ92" s="227"/>
      <c r="CA92" s="228"/>
      <c r="CB92" s="229"/>
      <c r="CC92" s="36"/>
      <c r="CD92" s="229"/>
      <c r="CE92" s="230"/>
      <c r="CF92" s="87"/>
      <c r="CI92" s="227"/>
      <c r="CJ92" s="228">
        <v>21</v>
      </c>
      <c r="CK92" s="229"/>
      <c r="CL92" s="36"/>
      <c r="CM92" s="229"/>
      <c r="CN92" s="230"/>
      <c r="CO92" s="87"/>
      <c r="CR92" s="227"/>
      <c r="CS92" s="228"/>
      <c r="CT92" s="229"/>
      <c r="CU92" s="232"/>
      <c r="CV92" s="231"/>
      <c r="CW92" s="233"/>
      <c r="CX92" s="87"/>
      <c r="DA92" s="227"/>
      <c r="DB92" s="228">
        <v>21</v>
      </c>
      <c r="DC92" s="229"/>
      <c r="DD92" s="36"/>
      <c r="DE92" s="229"/>
      <c r="DF92" s="230"/>
      <c r="DG92" s="87"/>
      <c r="DJ92" s="227"/>
      <c r="DK92" s="228"/>
      <c r="DL92" s="229"/>
      <c r="DM92" s="232"/>
      <c r="DN92" s="231"/>
      <c r="DO92" s="233"/>
      <c r="DP92" s="87"/>
      <c r="DS92" s="227"/>
      <c r="DT92" s="228"/>
      <c r="DU92" s="229"/>
      <c r="DV92" s="36"/>
      <c r="DW92" s="229"/>
      <c r="DX92" s="230"/>
      <c r="DY92" s="87"/>
      <c r="EB92" s="227"/>
      <c r="EC92" s="228">
        <v>21</v>
      </c>
      <c r="ED92" s="229"/>
      <c r="EE92" s="232"/>
      <c r="EF92" s="231"/>
      <c r="EG92" s="233"/>
      <c r="EH92" s="87"/>
      <c r="EK92" s="227"/>
      <c r="EL92" s="228">
        <v>21</v>
      </c>
      <c r="EM92" s="229"/>
      <c r="EN92" s="232"/>
      <c r="EO92" s="231"/>
      <c r="EP92" s="233"/>
      <c r="EQ92" s="87"/>
      <c r="ET92" s="227"/>
      <c r="EU92" s="228">
        <v>21</v>
      </c>
      <c r="EV92" s="229"/>
      <c r="EW92" s="36"/>
      <c r="EX92" s="229"/>
      <c r="EY92" s="230"/>
      <c r="EZ92" s="87"/>
      <c r="FC92" s="227"/>
      <c r="FD92" s="228">
        <v>21</v>
      </c>
      <c r="FE92" s="229"/>
      <c r="FF92" s="36"/>
      <c r="FG92" s="229"/>
      <c r="FH92" s="230"/>
      <c r="FI92" s="87"/>
      <c r="FL92" s="227"/>
      <c r="FM92" s="228">
        <v>21</v>
      </c>
      <c r="FN92" s="229"/>
      <c r="FO92" s="36"/>
      <c r="FP92" s="229"/>
      <c r="FQ92" s="230"/>
      <c r="FR92" s="87"/>
      <c r="FU92" s="227"/>
      <c r="FV92" s="228">
        <v>21</v>
      </c>
      <c r="FW92" s="229"/>
      <c r="FX92" s="36"/>
      <c r="FY92" s="229"/>
      <c r="FZ92" s="230"/>
      <c r="GA92" s="87"/>
      <c r="GD92" s="227"/>
      <c r="GE92" s="228">
        <v>21</v>
      </c>
      <c r="GF92" s="229"/>
      <c r="GG92" s="36"/>
      <c r="GH92" s="229"/>
      <c r="GI92" s="230"/>
      <c r="GJ92" s="87"/>
      <c r="GM92" s="227"/>
      <c r="GN92" s="228">
        <v>21</v>
      </c>
      <c r="GO92" s="229"/>
      <c r="GP92" s="36"/>
      <c r="GQ92" s="229"/>
      <c r="GR92" s="230"/>
      <c r="GS92" s="87"/>
      <c r="GT92" s="187"/>
      <c r="GU92"/>
      <c r="GW92" s="235"/>
      <c r="GX92" s="235"/>
      <c r="GY92" s="195"/>
      <c r="GZ92"/>
    </row>
    <row r="93" spans="1:208" x14ac:dyDescent="0.25">
      <c r="A93" s="1">
        <v>26</v>
      </c>
      <c r="B93" t="e">
        <f>#REF!</f>
        <v>#REF!</v>
      </c>
      <c r="C93" t="e">
        <f>#REF!</f>
        <v>#REF!</v>
      </c>
      <c r="D93" s="35" t="e">
        <f>#REF!</f>
        <v>#REF!</v>
      </c>
      <c r="E93" s="36" t="e">
        <f>#REF!</f>
        <v>#REF!</v>
      </c>
      <c r="F93" s="37" t="e">
        <f>#REF!</f>
        <v>#REF!</v>
      </c>
      <c r="G93" s="38" t="e">
        <f>#REF!</f>
        <v>#REF!</v>
      </c>
      <c r="H93" s="39" t="e">
        <f>#REF!</f>
        <v>#REF!</v>
      </c>
      <c r="I93" s="40" t="e">
        <f>#REF!</f>
        <v>#REF!</v>
      </c>
      <c r="J93" s="238"/>
      <c r="M93" s="212"/>
      <c r="T93" s="39"/>
      <c r="U93" s="242"/>
      <c r="X93" s="227"/>
      <c r="Y93" s="228"/>
      <c r="Z93" s="229"/>
      <c r="AA93" s="36"/>
      <c r="AB93" s="229"/>
      <c r="AC93" s="230"/>
      <c r="AD93" s="87"/>
      <c r="AG93" s="227"/>
      <c r="AH93" s="228"/>
      <c r="AI93" s="229"/>
      <c r="AJ93" s="232"/>
      <c r="AK93" s="231"/>
      <c r="AL93" s="233"/>
      <c r="AM93" s="87"/>
      <c r="AP93" s="227"/>
      <c r="AQ93" s="228">
        <v>22</v>
      </c>
      <c r="AR93" s="231"/>
      <c r="AS93" s="232"/>
      <c r="AT93" s="229"/>
      <c r="AU93" s="233"/>
      <c r="AV93" s="87"/>
      <c r="AY93" s="227"/>
      <c r="AZ93" s="228">
        <v>22</v>
      </c>
      <c r="BA93" s="229"/>
      <c r="BB93" s="232"/>
      <c r="BC93" s="231"/>
      <c r="BD93" s="233"/>
      <c r="BE93" s="87"/>
      <c r="BH93" s="227"/>
      <c r="BI93" s="228"/>
      <c r="BJ93" s="229"/>
      <c r="BK93" s="232"/>
      <c r="BL93" s="231"/>
      <c r="BM93" s="233"/>
      <c r="BN93" s="87"/>
      <c r="BQ93" s="227"/>
      <c r="BR93" s="228"/>
      <c r="BS93" s="229"/>
      <c r="BT93" s="36"/>
      <c r="BU93" s="229"/>
      <c r="BV93" s="230"/>
      <c r="BW93" s="87"/>
      <c r="BZ93" s="227"/>
      <c r="CA93" s="228"/>
      <c r="CB93" s="229"/>
      <c r="CC93" s="36"/>
      <c r="CD93" s="229"/>
      <c r="CE93" s="230"/>
      <c r="CF93" s="87"/>
      <c r="CI93" s="227"/>
      <c r="CJ93" s="228">
        <v>22</v>
      </c>
      <c r="CK93" s="229"/>
      <c r="CL93" s="36"/>
      <c r="CM93" s="229"/>
      <c r="CN93" s="230"/>
      <c r="CO93" s="87"/>
      <c r="CR93" s="227"/>
      <c r="CS93" s="228"/>
      <c r="CT93" s="229"/>
      <c r="CU93" s="232"/>
      <c r="CV93" s="231"/>
      <c r="CW93" s="233"/>
      <c r="CX93" s="87"/>
      <c r="DA93" s="227"/>
      <c r="DB93" s="228">
        <v>22</v>
      </c>
      <c r="DC93" s="229"/>
      <c r="DD93" s="232"/>
      <c r="DE93" s="231"/>
      <c r="DF93" s="233"/>
      <c r="DG93" s="87"/>
      <c r="DJ93" s="227"/>
      <c r="DK93" s="228"/>
      <c r="DL93" s="229">
        <v>0</v>
      </c>
      <c r="DM93" s="232"/>
      <c r="DN93" s="231"/>
      <c r="DO93" s="233"/>
      <c r="DP93" s="87"/>
      <c r="DS93" s="227"/>
      <c r="DT93" s="228"/>
      <c r="DU93" s="229"/>
      <c r="DV93" s="36"/>
      <c r="DW93" s="229"/>
      <c r="DX93" s="230"/>
      <c r="DY93" s="87"/>
      <c r="EB93" s="227"/>
      <c r="EC93" s="228">
        <v>22</v>
      </c>
      <c r="ED93" s="229"/>
      <c r="EE93" s="232"/>
      <c r="EF93" s="231"/>
      <c r="EG93" s="233"/>
      <c r="EH93" s="87"/>
      <c r="EK93" s="227"/>
      <c r="EL93" s="228">
        <v>22</v>
      </c>
      <c r="EM93" s="229"/>
      <c r="EN93" s="232"/>
      <c r="EO93" s="231"/>
      <c r="EP93" s="233"/>
      <c r="EQ93" s="87"/>
      <c r="ET93" s="227"/>
      <c r="EU93" s="228">
        <v>22</v>
      </c>
      <c r="EV93" s="229"/>
      <c r="EW93" s="36"/>
      <c r="EX93" s="229"/>
      <c r="EY93" s="230"/>
      <c r="EZ93" s="87"/>
      <c r="FC93" s="227"/>
      <c r="FD93" s="228">
        <v>22</v>
      </c>
      <c r="FE93" s="229"/>
      <c r="FF93" s="36"/>
      <c r="FG93" s="229"/>
      <c r="FH93" s="230"/>
      <c r="FI93" s="87"/>
      <c r="FL93" s="227"/>
      <c r="FM93" s="228">
        <v>22</v>
      </c>
      <c r="FN93" s="229"/>
      <c r="FO93" s="36"/>
      <c r="FP93" s="229"/>
      <c r="FQ93" s="230"/>
      <c r="FR93" s="87"/>
      <c r="FU93" s="227"/>
      <c r="FV93" s="228">
        <v>22</v>
      </c>
      <c r="FW93" s="229"/>
      <c r="FX93" s="36"/>
      <c r="FY93" s="229"/>
      <c r="FZ93" s="230"/>
      <c r="GA93" s="87"/>
      <c r="GD93" s="227"/>
      <c r="GE93" s="228">
        <v>22</v>
      </c>
      <c r="GF93" s="229"/>
      <c r="GG93" s="36"/>
      <c r="GH93" s="229"/>
      <c r="GI93" s="230"/>
      <c r="GJ93" s="87"/>
      <c r="GM93" s="227"/>
      <c r="GN93" s="228">
        <v>22</v>
      </c>
      <c r="GO93" s="229"/>
      <c r="GP93" s="36"/>
      <c r="GQ93" s="229"/>
      <c r="GR93" s="230"/>
      <c r="GS93" s="87"/>
      <c r="GT93" s="187"/>
      <c r="GU93"/>
      <c r="GW93" s="235"/>
      <c r="GX93" s="235"/>
      <c r="GY93" s="195"/>
      <c r="GZ93"/>
    </row>
    <row r="94" spans="1:208" ht="16.5" thickBot="1" x14ac:dyDescent="0.3">
      <c r="A94" s="1">
        <v>27</v>
      </c>
      <c r="B94" t="e">
        <f>#REF!</f>
        <v>#REF!</v>
      </c>
      <c r="C94" t="e">
        <f>#REF!</f>
        <v>#REF!</v>
      </c>
      <c r="D94" s="35" t="e">
        <f>#REF!</f>
        <v>#REF!</v>
      </c>
      <c r="E94" s="36" t="e">
        <f>#REF!</f>
        <v>#REF!</v>
      </c>
      <c r="F94" s="37" t="e">
        <f>#REF!</f>
        <v>#REF!</v>
      </c>
      <c r="G94" s="38" t="e">
        <f>#REF!</f>
        <v>#REF!</v>
      </c>
      <c r="H94" s="39" t="e">
        <f>#REF!</f>
        <v>#REF!</v>
      </c>
      <c r="I94" s="40" t="e">
        <f>#REF!</f>
        <v>#REF!</v>
      </c>
      <c r="J94" s="238"/>
      <c r="U94" s="242"/>
      <c r="X94" s="227"/>
      <c r="Y94" s="228"/>
      <c r="Z94" s="231"/>
      <c r="AA94" s="36"/>
      <c r="AB94" s="229"/>
      <c r="AC94" s="230"/>
      <c r="AD94" s="87"/>
      <c r="AG94" s="243"/>
      <c r="AH94" s="244"/>
      <c r="AI94" s="245"/>
      <c r="AJ94" s="246"/>
      <c r="AK94" s="247"/>
      <c r="AL94" s="248"/>
      <c r="AP94" s="227"/>
      <c r="AQ94" s="228">
        <v>23</v>
      </c>
      <c r="AR94" s="231"/>
      <c r="AS94" s="232"/>
      <c r="AT94" s="229"/>
      <c r="AU94" s="230"/>
      <c r="AV94" s="87"/>
      <c r="AY94" s="227"/>
      <c r="AZ94" s="228"/>
      <c r="BA94" s="231"/>
      <c r="BB94" s="232"/>
      <c r="BC94" s="249"/>
      <c r="BD94" s="230"/>
      <c r="BE94" s="87"/>
      <c r="BH94" s="243"/>
      <c r="BI94" s="250"/>
      <c r="BJ94" s="245"/>
      <c r="BK94" s="251"/>
      <c r="BL94" s="247"/>
      <c r="BM94" s="252"/>
      <c r="BN94" s="87"/>
      <c r="BR94" s="228"/>
      <c r="BS94" s="231"/>
      <c r="BT94" s="36"/>
      <c r="BU94" s="231"/>
      <c r="BV94" s="230"/>
      <c r="BW94" s="87"/>
      <c r="BZ94" s="243"/>
      <c r="CA94" s="253"/>
      <c r="CB94" s="245"/>
      <c r="CC94" s="246"/>
      <c r="CD94" s="247"/>
      <c r="CE94" s="248"/>
      <c r="CI94" s="227"/>
      <c r="CJ94" s="228">
        <v>23</v>
      </c>
      <c r="CK94" s="231"/>
      <c r="CM94" s="231"/>
      <c r="CR94" s="243"/>
      <c r="CS94" s="253"/>
      <c r="CT94" s="245">
        <v>0</v>
      </c>
      <c r="CU94" s="246"/>
      <c r="CV94" s="247">
        <v>0</v>
      </c>
      <c r="CW94" s="248"/>
      <c r="DA94" s="243"/>
      <c r="DB94" s="253"/>
      <c r="DC94" s="245">
        <v>0</v>
      </c>
      <c r="DD94" s="246"/>
      <c r="DE94" s="247">
        <v>0</v>
      </c>
      <c r="DF94" s="248"/>
      <c r="DJ94" s="243"/>
      <c r="DK94" s="253"/>
      <c r="DL94" s="245">
        <v>0</v>
      </c>
      <c r="DM94" s="246"/>
      <c r="DN94" s="247">
        <v>0</v>
      </c>
      <c r="DO94" s="248"/>
      <c r="DS94" s="243"/>
      <c r="DT94" s="253"/>
      <c r="DU94" s="245">
        <v>0</v>
      </c>
      <c r="DV94" s="246"/>
      <c r="DW94" s="247">
        <v>0</v>
      </c>
      <c r="DX94" s="248"/>
      <c r="EB94" s="243"/>
      <c r="EC94" s="253"/>
      <c r="ED94" s="245">
        <v>0</v>
      </c>
      <c r="EE94" s="246"/>
      <c r="EF94" s="247">
        <v>0</v>
      </c>
      <c r="EG94" s="248"/>
      <c r="EK94" s="243"/>
      <c r="EL94" s="253"/>
      <c r="EM94" s="245">
        <v>0</v>
      </c>
      <c r="EN94" s="246"/>
      <c r="EO94" s="247">
        <v>0</v>
      </c>
      <c r="EP94" s="248"/>
      <c r="ET94" s="243"/>
      <c r="EU94" s="253"/>
      <c r="EV94" s="245">
        <v>0</v>
      </c>
      <c r="EW94" s="246"/>
      <c r="EX94" s="247">
        <v>0</v>
      </c>
      <c r="EY94" s="248"/>
      <c r="FC94" s="243"/>
      <c r="FD94" s="253"/>
      <c r="FE94" s="245">
        <v>0</v>
      </c>
      <c r="FF94" s="246"/>
      <c r="FG94" s="247">
        <v>0</v>
      </c>
      <c r="FH94" s="248"/>
      <c r="FL94" s="243"/>
      <c r="FM94" s="253"/>
      <c r="FN94" s="245">
        <v>0</v>
      </c>
      <c r="FO94" s="246"/>
      <c r="FP94" s="247">
        <v>0</v>
      </c>
      <c r="FQ94" s="248"/>
      <c r="FU94" s="243"/>
      <c r="FV94" s="253"/>
      <c r="FW94" s="245">
        <v>0</v>
      </c>
      <c r="FX94" s="246"/>
      <c r="FY94" s="247">
        <v>0</v>
      </c>
      <c r="FZ94" s="248"/>
      <c r="GD94" s="243"/>
      <c r="GE94" s="253"/>
      <c r="GF94" s="245">
        <v>0</v>
      </c>
      <c r="GG94" s="246"/>
      <c r="GH94" s="247">
        <v>0</v>
      </c>
      <c r="GI94" s="248"/>
      <c r="GM94" s="243"/>
      <c r="GN94" s="253"/>
      <c r="GO94" s="245">
        <v>0</v>
      </c>
      <c r="GP94" s="246"/>
      <c r="GQ94" s="247">
        <v>0</v>
      </c>
      <c r="GR94" s="248"/>
      <c r="GU94"/>
      <c r="GW94" s="235"/>
      <c r="GX94" s="235"/>
      <c r="GY94" s="195"/>
      <c r="GZ94"/>
    </row>
    <row r="95" spans="1:208" x14ac:dyDescent="0.25">
      <c r="J95" s="177"/>
      <c r="K95" s="452"/>
      <c r="T95" s="39"/>
      <c r="U95" s="217"/>
      <c r="GU95"/>
      <c r="GW95" s="235"/>
      <c r="GX95" s="235"/>
      <c r="GY95" s="195"/>
      <c r="GZ95"/>
    </row>
    <row r="96" spans="1:208" x14ac:dyDescent="0.25">
      <c r="J96" s="238"/>
      <c r="K96" s="452"/>
      <c r="T96" s="39"/>
      <c r="U96" s="217"/>
      <c r="GU96"/>
      <c r="GW96" s="235"/>
      <c r="GX96" s="235"/>
      <c r="GY96" s="195"/>
      <c r="GZ96"/>
    </row>
    <row r="97" spans="1:208" x14ac:dyDescent="0.25">
      <c r="J97" s="177"/>
      <c r="K97" s="452"/>
      <c r="O97" s="224"/>
      <c r="P97" s="225"/>
      <c r="Q97" s="226"/>
      <c r="R97" s="226"/>
      <c r="S97" s="226"/>
      <c r="T97" s="39"/>
      <c r="U97" s="217"/>
      <c r="GU97"/>
      <c r="GW97" s="235"/>
      <c r="GX97" s="235"/>
      <c r="GY97" s="195"/>
      <c r="GZ97"/>
    </row>
    <row r="98" spans="1:208" x14ac:dyDescent="0.25">
      <c r="J98" s="238"/>
      <c r="K98" s="452"/>
      <c r="M98" s="212"/>
      <c r="O98" s="224"/>
      <c r="P98" s="225"/>
      <c r="Q98" s="226"/>
      <c r="R98" s="226"/>
      <c r="S98" s="226"/>
      <c r="T98" s="39"/>
      <c r="U98" s="217"/>
      <c r="GU98"/>
      <c r="GW98" s="235"/>
      <c r="GX98" s="235"/>
      <c r="GY98" s="195"/>
      <c r="GZ98"/>
    </row>
    <row r="99" spans="1:208" x14ac:dyDescent="0.25">
      <c r="J99" s="177"/>
      <c r="K99" s="452"/>
      <c r="M99" s="212"/>
      <c r="O99" s="884"/>
      <c r="P99" s="884"/>
      <c r="Q99" s="884"/>
      <c r="T99" s="39"/>
      <c r="U99" s="217"/>
      <c r="GU99"/>
      <c r="GW99" s="235"/>
      <c r="GX99" s="235"/>
      <c r="GY99" s="195"/>
      <c r="GZ99"/>
    </row>
    <row r="100" spans="1:208" x14ac:dyDescent="0.25">
      <c r="J100" s="238"/>
      <c r="GU100"/>
      <c r="GW100" s="235"/>
      <c r="GX100" s="235"/>
      <c r="GY100" s="195"/>
      <c r="GZ100"/>
    </row>
    <row r="101" spans="1:208" x14ac:dyDescent="0.25">
      <c r="J101" s="177"/>
      <c r="GU101"/>
      <c r="GW101" s="235"/>
      <c r="GX101" s="235"/>
      <c r="GY101" s="195"/>
      <c r="GZ101"/>
    </row>
    <row r="102" spans="1:208" x14ac:dyDescent="0.25">
      <c r="A102"/>
      <c r="F102"/>
      <c r="J102" s="177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195"/>
      <c r="GZ102"/>
    </row>
    <row r="103" spans="1:208" x14ac:dyDescent="0.25">
      <c r="A103"/>
      <c r="F103"/>
      <c r="J103" s="238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195"/>
      <c r="GZ103"/>
    </row>
    <row r="104" spans="1:208" x14ac:dyDescent="0.25">
      <c r="A104"/>
      <c r="F104"/>
      <c r="J104" s="238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195"/>
      <c r="GZ104"/>
    </row>
    <row r="105" spans="1:208" x14ac:dyDescent="0.25">
      <c r="A105"/>
      <c r="F105"/>
      <c r="J105" s="238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195"/>
      <c r="GZ105"/>
    </row>
    <row r="106" spans="1:208" x14ac:dyDescent="0.25">
      <c r="A106"/>
      <c r="F106"/>
      <c r="J106" s="255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195"/>
      <c r="GZ106"/>
    </row>
    <row r="107" spans="1:208" x14ac:dyDescent="0.25">
      <c r="A107"/>
      <c r="F107"/>
      <c r="J107" s="208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195"/>
      <c r="GZ107"/>
    </row>
    <row r="108" spans="1:208" x14ac:dyDescent="0.25">
      <c r="A108"/>
      <c r="F108"/>
      <c r="J108" s="177"/>
      <c r="K108" s="453"/>
      <c r="L108"/>
      <c r="M108"/>
      <c r="N108"/>
      <c r="O108" s="37"/>
      <c r="P108"/>
      <c r="Q108"/>
      <c r="R108"/>
      <c r="S108"/>
      <c r="V108"/>
      <c r="W108"/>
      <c r="GU108"/>
      <c r="GW108" s="235"/>
      <c r="GX108" s="235"/>
      <c r="GY108" s="195"/>
      <c r="GZ108"/>
    </row>
    <row r="109" spans="1:208" x14ac:dyDescent="0.25">
      <c r="A109"/>
      <c r="F109"/>
      <c r="J109" s="177"/>
      <c r="K109" s="453"/>
      <c r="L109"/>
      <c r="M109"/>
      <c r="N109"/>
      <c r="O109" s="37"/>
      <c r="P109"/>
      <c r="Q109"/>
      <c r="R109"/>
      <c r="S109"/>
      <c r="V109"/>
      <c r="W109"/>
      <c r="GU109"/>
      <c r="GW109" s="235"/>
      <c r="GX109" s="235"/>
      <c r="GY109" s="195"/>
      <c r="GZ109"/>
    </row>
    <row r="110" spans="1:208" x14ac:dyDescent="0.25">
      <c r="A110"/>
      <c r="F110"/>
      <c r="J110" s="177"/>
      <c r="K110" s="453"/>
      <c r="L110"/>
      <c r="M110"/>
      <c r="N110"/>
      <c r="O110" s="37"/>
      <c r="P110"/>
      <c r="Q110"/>
      <c r="R110"/>
      <c r="S110"/>
      <c r="V110"/>
      <c r="W110"/>
      <c r="GU110"/>
      <c r="GW110" s="235"/>
      <c r="GX110" s="235"/>
      <c r="GY110" s="195"/>
      <c r="GZ110"/>
    </row>
    <row r="111" spans="1:208" x14ac:dyDescent="0.25">
      <c r="A111"/>
      <c r="F111"/>
      <c r="J111" s="177"/>
      <c r="K111" s="453"/>
      <c r="L111"/>
      <c r="M111"/>
      <c r="N111"/>
      <c r="O111" s="37"/>
      <c r="P111"/>
      <c r="Q111"/>
      <c r="R111"/>
      <c r="S111"/>
      <c r="V111"/>
      <c r="W111"/>
      <c r="GU111"/>
      <c r="GW111" s="235"/>
      <c r="GX111" s="235"/>
      <c r="GY111" s="195"/>
      <c r="GZ111"/>
    </row>
    <row r="112" spans="1:208" x14ac:dyDescent="0.25">
      <c r="A112"/>
      <c r="F112"/>
      <c r="J112" s="177"/>
      <c r="K112" s="453"/>
      <c r="L112"/>
      <c r="M112"/>
      <c r="N112"/>
      <c r="O112" s="37"/>
      <c r="P112"/>
      <c r="Q112"/>
      <c r="R112"/>
      <c r="S112"/>
      <c r="V112"/>
      <c r="W112"/>
      <c r="GU112"/>
      <c r="GW112" s="235"/>
      <c r="GX112" s="235"/>
      <c r="GY112" s="195"/>
      <c r="GZ112"/>
    </row>
    <row r="113" spans="1:208" x14ac:dyDescent="0.25">
      <c r="A113"/>
      <c r="F113"/>
      <c r="J113" s="177"/>
      <c r="K113" s="453"/>
      <c r="L113"/>
      <c r="M113"/>
      <c r="N113"/>
      <c r="O113" s="37"/>
      <c r="P113"/>
      <c r="Q113"/>
      <c r="R113"/>
      <c r="S113"/>
      <c r="V113"/>
      <c r="W113"/>
      <c r="GU113"/>
      <c r="GW113" s="235"/>
      <c r="GX113" s="235"/>
      <c r="GY113" s="195"/>
      <c r="GZ113"/>
    </row>
    <row r="114" spans="1:208" x14ac:dyDescent="0.25">
      <c r="A114"/>
      <c r="F114"/>
      <c r="J114" s="177"/>
      <c r="K114" s="453"/>
      <c r="L114"/>
      <c r="M114"/>
      <c r="N114"/>
      <c r="O114" s="37"/>
      <c r="P114"/>
      <c r="Q114"/>
      <c r="R114"/>
      <c r="S114"/>
      <c r="V114"/>
      <c r="W114"/>
      <c r="GU114"/>
      <c r="GW114" s="235"/>
      <c r="GX114" s="235"/>
      <c r="GY114" s="195"/>
      <c r="GZ114"/>
    </row>
  </sheetData>
  <mergeCells count="34">
    <mergeCell ref="R19:S19"/>
    <mergeCell ref="O99:Q99"/>
    <mergeCell ref="R46:S46"/>
    <mergeCell ref="M81:N81"/>
    <mergeCell ref="O81:O82"/>
    <mergeCell ref="O85:Q85"/>
    <mergeCell ref="O88:Q89"/>
    <mergeCell ref="R31:S31"/>
    <mergeCell ref="R32:S32"/>
    <mergeCell ref="T88:U89"/>
    <mergeCell ref="FT1:FZ1"/>
    <mergeCell ref="GC1:GI1"/>
    <mergeCell ref="GL1:GR1"/>
    <mergeCell ref="R16:S16"/>
    <mergeCell ref="R20:S20"/>
    <mergeCell ref="R30:S3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966FF"/>
  </sheetPr>
  <dimension ref="A1:N163"/>
  <sheetViews>
    <sheetView topLeftCell="A111" workbookViewId="0">
      <selection activeCell="A132" sqref="A132"/>
    </sheetView>
  </sheetViews>
  <sheetFormatPr baseColWidth="10" defaultRowHeight="15" x14ac:dyDescent="0.25"/>
  <cols>
    <col min="1" max="1" width="25.5703125" style="685" customWidth="1"/>
    <col min="2" max="2" width="15" style="8" customWidth="1"/>
    <col min="3" max="3" width="11.42578125" style="62"/>
    <col min="4" max="4" width="14.7109375" bestFit="1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4.85546875" style="183" bestFit="1" customWidth="1"/>
    <col min="9" max="9" width="11.85546875" style="62" customWidth="1"/>
    <col min="10" max="10" width="13.42578125" style="195" bestFit="1" customWidth="1"/>
    <col min="11" max="11" width="11.42578125" style="195"/>
  </cols>
  <sheetData>
    <row r="1" spans="1:14" ht="42" x14ac:dyDescent="0.65">
      <c r="A1" s="885" t="s">
        <v>925</v>
      </c>
      <c r="B1" s="885"/>
      <c r="C1" s="885"/>
      <c r="D1" s="885"/>
      <c r="E1" s="885"/>
      <c r="F1" s="885"/>
      <c r="G1" s="885"/>
      <c r="H1" s="259"/>
    </row>
    <row r="2" spans="1:14" ht="15.75" thickBot="1" x14ac:dyDescent="0.3">
      <c r="D2" s="260"/>
    </row>
    <row r="3" spans="1:14" ht="16.5" thickTop="1" thickBot="1" x14ac:dyDescent="0.3">
      <c r="A3" s="686" t="s">
        <v>8</v>
      </c>
      <c r="B3" s="262" t="s">
        <v>16</v>
      </c>
      <c r="C3" s="263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267"/>
    </row>
    <row r="4" spans="1:14" ht="15.75" thickTop="1" x14ac:dyDescent="0.25">
      <c r="A4" s="811" t="s">
        <v>1180</v>
      </c>
      <c r="B4" s="268" t="s">
        <v>1618</v>
      </c>
      <c r="C4" s="274">
        <v>43040</v>
      </c>
      <c r="D4" s="270">
        <v>5040</v>
      </c>
      <c r="E4" s="261">
        <v>472.5</v>
      </c>
      <c r="F4" s="29">
        <v>43.5</v>
      </c>
      <c r="G4" s="39">
        <f t="shared" ref="G4:G86" si="0">F4*E4</f>
        <v>20553.75</v>
      </c>
      <c r="H4" s="31">
        <v>43040</v>
      </c>
      <c r="I4" s="62" t="s">
        <v>1172</v>
      </c>
      <c r="J4" s="619"/>
      <c r="L4" s="195"/>
      <c r="M4" s="195"/>
      <c r="N4" s="195"/>
    </row>
    <row r="5" spans="1:14" x14ac:dyDescent="0.25">
      <c r="A5" s="811" t="s">
        <v>1173</v>
      </c>
      <c r="B5" s="268" t="s">
        <v>1210</v>
      </c>
      <c r="C5" s="274">
        <v>43040</v>
      </c>
      <c r="D5" s="270">
        <f t="shared" ref="D5:D65" si="1">D4+1</f>
        <v>5041</v>
      </c>
      <c r="E5" s="261">
        <v>121.6</v>
      </c>
      <c r="F5" s="29">
        <v>49</v>
      </c>
      <c r="G5" s="39">
        <f>F5*E5+40*30</f>
        <v>7158.4</v>
      </c>
      <c r="H5" s="31">
        <v>43045</v>
      </c>
      <c r="I5" s="62" t="s">
        <v>1172</v>
      </c>
      <c r="J5" s="619"/>
      <c r="L5" s="195"/>
      <c r="M5" s="195"/>
      <c r="N5" s="195"/>
    </row>
    <row r="6" spans="1:14" x14ac:dyDescent="0.25">
      <c r="A6" s="811" t="s">
        <v>1171</v>
      </c>
      <c r="B6" s="268" t="s">
        <v>206</v>
      </c>
      <c r="C6" s="274">
        <v>43040</v>
      </c>
      <c r="D6" s="270">
        <f t="shared" si="1"/>
        <v>5042</v>
      </c>
      <c r="E6" s="261">
        <v>1724.1</v>
      </c>
      <c r="F6" s="29">
        <v>68</v>
      </c>
      <c r="G6" s="39">
        <f t="shared" si="0"/>
        <v>117238.79999999999</v>
      </c>
      <c r="H6" s="31">
        <v>43043</v>
      </c>
      <c r="I6" s="62" t="s">
        <v>1172</v>
      </c>
      <c r="J6" s="619"/>
      <c r="L6" s="195"/>
      <c r="M6" s="195"/>
      <c r="N6" s="195"/>
    </row>
    <row r="7" spans="1:14" x14ac:dyDescent="0.25">
      <c r="A7" s="839" t="s">
        <v>1197</v>
      </c>
      <c r="B7" s="8" t="s">
        <v>1260</v>
      </c>
      <c r="C7" s="274">
        <v>43040</v>
      </c>
      <c r="D7" s="270">
        <f t="shared" si="1"/>
        <v>5043</v>
      </c>
      <c r="E7" s="261">
        <v>99.9</v>
      </c>
      <c r="F7" s="29">
        <v>46</v>
      </c>
      <c r="G7" s="39">
        <f t="shared" si="0"/>
        <v>4595.4000000000005</v>
      </c>
      <c r="H7" s="31">
        <v>43044</v>
      </c>
      <c r="I7" s="62" t="s">
        <v>1172</v>
      </c>
      <c r="J7" s="619"/>
      <c r="L7" s="195"/>
      <c r="M7" s="195"/>
      <c r="N7" s="195"/>
    </row>
    <row r="8" spans="1:14" x14ac:dyDescent="0.25">
      <c r="A8" s="839" t="s">
        <v>1197</v>
      </c>
      <c r="B8" s="8" t="s">
        <v>1245</v>
      </c>
      <c r="C8" s="274">
        <v>43040</v>
      </c>
      <c r="D8" s="270">
        <f t="shared" si="1"/>
        <v>5044</v>
      </c>
      <c r="E8" s="261">
        <v>83.34</v>
      </c>
      <c r="F8" s="29">
        <v>52</v>
      </c>
      <c r="G8" s="39">
        <f t="shared" si="0"/>
        <v>4333.68</v>
      </c>
      <c r="H8" s="31">
        <v>43044</v>
      </c>
      <c r="I8" s="62" t="s">
        <v>1172</v>
      </c>
      <c r="J8" s="619"/>
      <c r="L8" s="195"/>
      <c r="M8" s="195"/>
      <c r="N8" s="195"/>
    </row>
    <row r="9" spans="1:14" x14ac:dyDescent="0.25">
      <c r="A9" s="839" t="s">
        <v>1220</v>
      </c>
      <c r="B9" s="8" t="s">
        <v>1621</v>
      </c>
      <c r="C9" s="274">
        <v>43040</v>
      </c>
      <c r="D9" s="270">
        <f t="shared" si="1"/>
        <v>5045</v>
      </c>
      <c r="E9" s="261">
        <v>27288</v>
      </c>
      <c r="F9" s="29">
        <v>1</v>
      </c>
      <c r="G9" s="39">
        <f t="shared" si="0"/>
        <v>27288</v>
      </c>
      <c r="H9" s="31">
        <v>43042</v>
      </c>
      <c r="I9" s="62" t="s">
        <v>1172</v>
      </c>
      <c r="J9" s="619"/>
      <c r="L9" s="195"/>
      <c r="M9" s="195"/>
      <c r="N9" s="195"/>
    </row>
    <row r="10" spans="1:14" x14ac:dyDescent="0.25">
      <c r="A10" s="839" t="s">
        <v>1220</v>
      </c>
      <c r="B10" s="8" t="s">
        <v>1620</v>
      </c>
      <c r="C10" s="274">
        <v>43040</v>
      </c>
      <c r="D10" s="270">
        <f t="shared" si="1"/>
        <v>5046</v>
      </c>
      <c r="E10" s="261">
        <v>8647.5</v>
      </c>
      <c r="F10" s="29">
        <v>1</v>
      </c>
      <c r="G10" s="39">
        <f t="shared" si="0"/>
        <v>8647.5</v>
      </c>
      <c r="H10" s="31">
        <v>43042</v>
      </c>
      <c r="I10" s="62" t="s">
        <v>1172</v>
      </c>
      <c r="J10" s="619"/>
      <c r="L10" s="195"/>
      <c r="M10" s="195"/>
      <c r="N10" s="195"/>
    </row>
    <row r="11" spans="1:14" x14ac:dyDescent="0.25">
      <c r="A11" s="839" t="s">
        <v>1220</v>
      </c>
      <c r="B11" s="8" t="s">
        <v>1619</v>
      </c>
      <c r="C11" s="274">
        <v>43042</v>
      </c>
      <c r="D11" s="270">
        <f t="shared" si="1"/>
        <v>5047</v>
      </c>
      <c r="E11" s="261">
        <v>20114.2</v>
      </c>
      <c r="F11" s="29">
        <v>1</v>
      </c>
      <c r="G11" s="39">
        <f t="shared" si="0"/>
        <v>20114.2</v>
      </c>
      <c r="H11" s="31">
        <v>43042</v>
      </c>
      <c r="I11" s="62" t="s">
        <v>1172</v>
      </c>
      <c r="J11" s="619"/>
      <c r="L11" s="195"/>
      <c r="M11" s="195"/>
      <c r="N11" s="195"/>
    </row>
    <row r="12" spans="1:14" x14ac:dyDescent="0.25">
      <c r="A12" s="839" t="s">
        <v>1171</v>
      </c>
      <c r="B12" s="8" t="s">
        <v>206</v>
      </c>
      <c r="C12" s="274">
        <v>43042</v>
      </c>
      <c r="D12" s="270">
        <f t="shared" si="1"/>
        <v>5048</v>
      </c>
      <c r="E12" s="261">
        <v>1135.5999999999999</v>
      </c>
      <c r="F12" s="29">
        <v>68</v>
      </c>
      <c r="G12" s="39">
        <f>F12*E12+208.3*64</f>
        <v>90551.999999999985</v>
      </c>
      <c r="H12" s="31">
        <v>43043</v>
      </c>
      <c r="I12" s="62" t="s">
        <v>1172</v>
      </c>
      <c r="J12" s="619"/>
      <c r="L12" s="195"/>
      <c r="M12" s="195"/>
      <c r="N12" s="195"/>
    </row>
    <row r="13" spans="1:14" x14ac:dyDescent="0.25">
      <c r="A13" s="839" t="s">
        <v>1206</v>
      </c>
      <c r="B13" s="8" t="s">
        <v>1325</v>
      </c>
      <c r="C13" s="274">
        <v>43043</v>
      </c>
      <c r="D13" s="270">
        <f t="shared" si="1"/>
        <v>5049</v>
      </c>
      <c r="E13" s="261">
        <v>102.4</v>
      </c>
      <c r="F13" s="29">
        <v>65.8</v>
      </c>
      <c r="G13" s="39">
        <f t="shared" si="0"/>
        <v>6737.92</v>
      </c>
      <c r="H13" s="31">
        <v>43044</v>
      </c>
      <c r="I13" s="62" t="s">
        <v>1172</v>
      </c>
      <c r="L13" s="195"/>
      <c r="M13" s="195"/>
      <c r="N13" s="195"/>
    </row>
    <row r="14" spans="1:14" x14ac:dyDescent="0.25">
      <c r="A14" s="811" t="s">
        <v>1171</v>
      </c>
      <c r="B14" s="268" t="s">
        <v>206</v>
      </c>
      <c r="C14" s="274">
        <v>43043</v>
      </c>
      <c r="D14" s="270">
        <f t="shared" si="1"/>
        <v>5050</v>
      </c>
      <c r="E14" s="261">
        <v>2139.3000000000002</v>
      </c>
      <c r="F14" s="29">
        <v>68</v>
      </c>
      <c r="G14" s="39">
        <f t="shared" si="0"/>
        <v>145472.40000000002</v>
      </c>
      <c r="H14" s="31">
        <v>43050</v>
      </c>
      <c r="I14" s="62" t="s">
        <v>1172</v>
      </c>
      <c r="L14" s="195"/>
      <c r="M14" s="195"/>
      <c r="N14" s="195"/>
    </row>
    <row r="15" spans="1:14" x14ac:dyDescent="0.25">
      <c r="A15" s="811" t="s">
        <v>1173</v>
      </c>
      <c r="B15" s="268" t="s">
        <v>1210</v>
      </c>
      <c r="C15" s="278">
        <v>43044</v>
      </c>
      <c r="D15" s="270">
        <f t="shared" si="1"/>
        <v>5051</v>
      </c>
      <c r="E15" s="261">
        <v>144.6</v>
      </c>
      <c r="F15" s="29">
        <v>49</v>
      </c>
      <c r="G15" s="39">
        <f t="shared" si="0"/>
        <v>7085.4</v>
      </c>
      <c r="H15" s="31">
        <v>43045</v>
      </c>
      <c r="I15" s="62" t="s">
        <v>1172</v>
      </c>
      <c r="L15" s="195"/>
      <c r="M15" s="195"/>
      <c r="N15" s="195"/>
    </row>
    <row r="16" spans="1:14" x14ac:dyDescent="0.25">
      <c r="A16" s="811" t="s">
        <v>1221</v>
      </c>
      <c r="B16" s="268" t="s">
        <v>241</v>
      </c>
      <c r="C16" s="274">
        <v>43045</v>
      </c>
      <c r="D16" s="270">
        <f t="shared" si="1"/>
        <v>5052</v>
      </c>
      <c r="E16" s="261">
        <v>600</v>
      </c>
      <c r="F16" s="29">
        <v>38</v>
      </c>
      <c r="G16" s="39">
        <f t="shared" si="0"/>
        <v>22800</v>
      </c>
      <c r="H16" s="31">
        <v>43045</v>
      </c>
      <c r="I16" s="62" t="s">
        <v>1172</v>
      </c>
      <c r="L16" s="195"/>
      <c r="M16" s="195"/>
      <c r="N16" s="195"/>
    </row>
    <row r="17" spans="1:14" x14ac:dyDescent="0.25">
      <c r="A17" s="811" t="s">
        <v>1171</v>
      </c>
      <c r="B17" s="279" t="s">
        <v>206</v>
      </c>
      <c r="C17" s="274">
        <v>43045</v>
      </c>
      <c r="D17" s="270">
        <f t="shared" si="1"/>
        <v>5053</v>
      </c>
      <c r="E17" s="261">
        <v>1275.2</v>
      </c>
      <c r="F17" s="29">
        <v>68</v>
      </c>
      <c r="G17" s="39">
        <f t="shared" si="0"/>
        <v>86713.600000000006</v>
      </c>
      <c r="H17" s="31">
        <v>43045</v>
      </c>
      <c r="I17" s="62" t="s">
        <v>1172</v>
      </c>
      <c r="L17" s="195"/>
      <c r="M17" s="195"/>
      <c r="N17" s="195"/>
    </row>
    <row r="18" spans="1:14" x14ac:dyDescent="0.25">
      <c r="A18" s="811" t="s">
        <v>1173</v>
      </c>
      <c r="B18" s="279" t="s">
        <v>1490</v>
      </c>
      <c r="C18" s="274">
        <v>43045</v>
      </c>
      <c r="D18" s="270">
        <f t="shared" si="1"/>
        <v>5054</v>
      </c>
      <c r="E18" s="261">
        <v>86.4</v>
      </c>
      <c r="F18" s="29">
        <v>49</v>
      </c>
      <c r="G18" s="39">
        <f>F18*E18+30.7*30</f>
        <v>5154.6000000000004</v>
      </c>
      <c r="H18" s="31">
        <v>43045</v>
      </c>
      <c r="I18" s="62" t="s">
        <v>1172</v>
      </c>
      <c r="L18" s="195"/>
      <c r="M18" s="195"/>
      <c r="N18" s="195"/>
    </row>
    <row r="19" spans="1:14" ht="15.75" x14ac:dyDescent="0.25">
      <c r="A19" s="811" t="s">
        <v>1197</v>
      </c>
      <c r="B19" s="280" t="s">
        <v>1652</v>
      </c>
      <c r="C19" s="274">
        <v>43046</v>
      </c>
      <c r="D19" s="270">
        <f t="shared" si="1"/>
        <v>5055</v>
      </c>
      <c r="E19" s="261">
        <v>146.19999999999999</v>
      </c>
      <c r="F19" s="29">
        <v>52</v>
      </c>
      <c r="G19" s="39">
        <f t="shared" si="0"/>
        <v>7602.4</v>
      </c>
      <c r="H19" s="31">
        <v>43064</v>
      </c>
      <c r="I19" s="62" t="s">
        <v>1172</v>
      </c>
      <c r="L19" s="195"/>
      <c r="M19" s="195"/>
      <c r="N19" s="195"/>
    </row>
    <row r="20" spans="1:14" ht="15.75" x14ac:dyDescent="0.25">
      <c r="A20" s="811" t="s">
        <v>1197</v>
      </c>
      <c r="B20" s="280" t="s">
        <v>1260</v>
      </c>
      <c r="C20" s="274">
        <v>43046</v>
      </c>
      <c r="D20" s="270">
        <f t="shared" si="1"/>
        <v>5056</v>
      </c>
      <c r="E20" s="261">
        <v>547.4</v>
      </c>
      <c r="F20" s="209">
        <v>39</v>
      </c>
      <c r="G20" s="39">
        <f t="shared" si="0"/>
        <v>21348.6</v>
      </c>
      <c r="H20" s="31">
        <v>43047</v>
      </c>
      <c r="I20" s="62" t="s">
        <v>1172</v>
      </c>
      <c r="J20" s="198"/>
      <c r="K20" s="281"/>
      <c r="L20" s="195"/>
      <c r="M20" s="195"/>
      <c r="N20" s="195"/>
    </row>
    <row r="21" spans="1:14" x14ac:dyDescent="0.25">
      <c r="A21" s="838" t="s">
        <v>1173</v>
      </c>
      <c r="B21" s="283" t="s">
        <v>1490</v>
      </c>
      <c r="C21" s="284">
        <v>43046</v>
      </c>
      <c r="D21" s="270">
        <f t="shared" si="1"/>
        <v>5057</v>
      </c>
      <c r="E21" s="261">
        <v>185.2</v>
      </c>
      <c r="F21" s="209">
        <v>49</v>
      </c>
      <c r="G21" s="39">
        <f t="shared" si="0"/>
        <v>9074.7999999999993</v>
      </c>
      <c r="H21" s="31">
        <v>43049</v>
      </c>
      <c r="I21" s="62" t="s">
        <v>1172</v>
      </c>
      <c r="J21" s="198"/>
      <c r="K21" s="281"/>
      <c r="L21" s="195"/>
      <c r="M21" s="195"/>
      <c r="N21" s="195"/>
    </row>
    <row r="22" spans="1:14" x14ac:dyDescent="0.25">
      <c r="A22" s="838" t="s">
        <v>1220</v>
      </c>
      <c r="B22" s="283" t="s">
        <v>1619</v>
      </c>
      <c r="C22" s="284">
        <v>43046</v>
      </c>
      <c r="D22" s="270">
        <f t="shared" si="1"/>
        <v>5058</v>
      </c>
      <c r="E22" s="261">
        <v>26111</v>
      </c>
      <c r="F22" s="209">
        <v>1</v>
      </c>
      <c r="G22" s="39">
        <f t="shared" si="0"/>
        <v>26111</v>
      </c>
      <c r="H22" s="31">
        <v>43082</v>
      </c>
      <c r="I22" s="62" t="s">
        <v>1172</v>
      </c>
      <c r="J22" s="198"/>
      <c r="K22" s="281"/>
      <c r="L22" s="195"/>
      <c r="M22" s="195"/>
      <c r="N22" s="195"/>
    </row>
    <row r="23" spans="1:14" x14ac:dyDescent="0.25">
      <c r="A23" s="838" t="s">
        <v>1171</v>
      </c>
      <c r="B23" s="283" t="s">
        <v>206</v>
      </c>
      <c r="C23" s="284">
        <v>43046</v>
      </c>
      <c r="D23" s="270">
        <f t="shared" si="1"/>
        <v>5059</v>
      </c>
      <c r="E23" s="261">
        <v>1590.4</v>
      </c>
      <c r="F23" s="209">
        <v>68</v>
      </c>
      <c r="G23" s="39">
        <f t="shared" si="0"/>
        <v>108147.20000000001</v>
      </c>
      <c r="H23" s="31">
        <v>43050</v>
      </c>
      <c r="I23" s="62" t="s">
        <v>1172</v>
      </c>
      <c r="J23" s="198"/>
      <c r="K23" s="281"/>
      <c r="L23" s="195"/>
      <c r="M23" s="195"/>
      <c r="N23" s="195"/>
    </row>
    <row r="24" spans="1:14" x14ac:dyDescent="0.25">
      <c r="A24" s="838" t="s">
        <v>1197</v>
      </c>
      <c r="B24" s="279" t="s">
        <v>1260</v>
      </c>
      <c r="C24" s="284">
        <v>43047</v>
      </c>
      <c r="D24" s="270">
        <f t="shared" si="1"/>
        <v>5060</v>
      </c>
      <c r="E24" s="261">
        <v>509</v>
      </c>
      <c r="F24" s="209">
        <v>39</v>
      </c>
      <c r="G24" s="39">
        <f t="shared" si="0"/>
        <v>19851</v>
      </c>
      <c r="H24" s="31">
        <v>43064</v>
      </c>
      <c r="I24" s="62" t="s">
        <v>1172</v>
      </c>
      <c r="J24" s="198"/>
      <c r="K24" s="281"/>
      <c r="L24" s="195"/>
      <c r="M24" s="195"/>
      <c r="N24" s="195"/>
    </row>
    <row r="25" spans="1:14" x14ac:dyDescent="0.25">
      <c r="A25" s="838" t="s">
        <v>1173</v>
      </c>
      <c r="B25" s="279" t="s">
        <v>1489</v>
      </c>
      <c r="C25" s="284">
        <v>43047</v>
      </c>
      <c r="D25" s="270">
        <f t="shared" si="1"/>
        <v>5061</v>
      </c>
      <c r="E25" s="261">
        <v>70.599999999999994</v>
      </c>
      <c r="F25" s="209">
        <v>48</v>
      </c>
      <c r="G25" s="39">
        <f t="shared" si="0"/>
        <v>3388.7999999999997</v>
      </c>
      <c r="H25" s="31">
        <v>44145</v>
      </c>
      <c r="I25" s="62" t="s">
        <v>1172</v>
      </c>
      <c r="J25" s="198"/>
      <c r="K25" s="281"/>
      <c r="L25" s="195"/>
      <c r="M25" s="195"/>
      <c r="N25" s="195"/>
    </row>
    <row r="26" spans="1:14" x14ac:dyDescent="0.25">
      <c r="A26" s="838" t="s">
        <v>1171</v>
      </c>
      <c r="B26" s="279" t="s">
        <v>206</v>
      </c>
      <c r="C26" s="284">
        <v>43047</v>
      </c>
      <c r="D26" s="270">
        <f t="shared" si="1"/>
        <v>5062</v>
      </c>
      <c r="E26" s="261">
        <v>1461.8</v>
      </c>
      <c r="F26" s="209">
        <v>68</v>
      </c>
      <c r="G26" s="39">
        <f t="shared" si="0"/>
        <v>99402.4</v>
      </c>
      <c r="H26" s="31">
        <v>43047</v>
      </c>
      <c r="I26" s="62" t="s">
        <v>1172</v>
      </c>
      <c r="J26" s="198"/>
      <c r="K26" s="281"/>
      <c r="L26" s="195"/>
      <c r="M26" s="195"/>
      <c r="N26" s="195"/>
    </row>
    <row r="27" spans="1:14" x14ac:dyDescent="0.25">
      <c r="A27" s="838" t="s">
        <v>1628</v>
      </c>
      <c r="B27" s="279" t="s">
        <v>1195</v>
      </c>
      <c r="C27" s="284">
        <v>43047</v>
      </c>
      <c r="D27" s="270">
        <f t="shared" si="1"/>
        <v>5063</v>
      </c>
      <c r="E27" s="261">
        <v>5.3</v>
      </c>
      <c r="F27" s="209">
        <v>44</v>
      </c>
      <c r="G27" s="39">
        <f t="shared" si="0"/>
        <v>233.2</v>
      </c>
      <c r="H27" s="31">
        <v>43047</v>
      </c>
      <c r="I27" s="62" t="s">
        <v>1172</v>
      </c>
      <c r="J27" s="198"/>
      <c r="K27" s="281"/>
      <c r="L27" s="195"/>
      <c r="M27" s="195"/>
      <c r="N27" s="195"/>
    </row>
    <row r="28" spans="1:14" x14ac:dyDescent="0.25">
      <c r="A28" s="861" t="s">
        <v>223</v>
      </c>
      <c r="B28" s="279"/>
      <c r="C28" s="276"/>
      <c r="D28" s="270">
        <f t="shared" si="1"/>
        <v>5064</v>
      </c>
      <c r="F28" s="209"/>
      <c r="G28" s="39">
        <f t="shared" si="0"/>
        <v>0</v>
      </c>
      <c r="H28" s="31"/>
      <c r="L28" s="195"/>
      <c r="M28" s="195"/>
      <c r="N28" s="195"/>
    </row>
    <row r="29" spans="1:14" x14ac:dyDescent="0.25">
      <c r="A29" s="839" t="s">
        <v>1221</v>
      </c>
      <c r="B29" s="279" t="s">
        <v>1629</v>
      </c>
      <c r="C29" s="274">
        <v>43048</v>
      </c>
      <c r="D29" s="270">
        <f t="shared" si="1"/>
        <v>5065</v>
      </c>
      <c r="E29" s="261">
        <v>319.8</v>
      </c>
      <c r="F29" s="209">
        <v>35</v>
      </c>
      <c r="G29" s="39">
        <f t="shared" si="0"/>
        <v>11193</v>
      </c>
      <c r="H29" s="31">
        <v>43048</v>
      </c>
      <c r="I29" s="62" t="s">
        <v>1172</v>
      </c>
      <c r="J29" s="286"/>
      <c r="L29" s="195"/>
      <c r="M29" s="195"/>
      <c r="N29" s="195"/>
    </row>
    <row r="30" spans="1:14" x14ac:dyDescent="0.25">
      <c r="A30" s="839" t="s">
        <v>1173</v>
      </c>
      <c r="B30" s="279" t="s">
        <v>1210</v>
      </c>
      <c r="C30" s="274">
        <v>43048</v>
      </c>
      <c r="D30" s="270">
        <f t="shared" si="1"/>
        <v>5066</v>
      </c>
      <c r="E30" s="261">
        <v>195.2</v>
      </c>
      <c r="F30" s="209">
        <v>49</v>
      </c>
      <c r="G30" s="39">
        <f>F30*E30+163*30+80.4*65</f>
        <v>19680.8</v>
      </c>
      <c r="H30" s="31">
        <v>43049</v>
      </c>
      <c r="I30" s="62" t="s">
        <v>1172</v>
      </c>
      <c r="J30" s="286"/>
      <c r="L30" s="195"/>
      <c r="M30" s="195"/>
      <c r="N30" s="195"/>
    </row>
    <row r="31" spans="1:14" s="8" customFormat="1" x14ac:dyDescent="0.25">
      <c r="A31" s="839" t="s">
        <v>1171</v>
      </c>
      <c r="B31" s="279" t="s">
        <v>206</v>
      </c>
      <c r="C31" s="274">
        <v>43048</v>
      </c>
      <c r="D31" s="270">
        <f t="shared" si="1"/>
        <v>5067</v>
      </c>
      <c r="E31" s="261">
        <v>1511.7</v>
      </c>
      <c r="F31" s="209">
        <v>68</v>
      </c>
      <c r="G31" s="39">
        <f t="shared" si="0"/>
        <v>102795.6</v>
      </c>
      <c r="H31" s="31">
        <v>43050</v>
      </c>
      <c r="I31" s="519" t="s">
        <v>1172</v>
      </c>
      <c r="J31" s="195"/>
    </row>
    <row r="32" spans="1:14" s="8" customFormat="1" x14ac:dyDescent="0.25">
      <c r="A32" s="839" t="s">
        <v>1197</v>
      </c>
      <c r="B32" s="279" t="s">
        <v>1260</v>
      </c>
      <c r="C32" s="274">
        <v>43048</v>
      </c>
      <c r="D32" s="270">
        <f t="shared" si="1"/>
        <v>5068</v>
      </c>
      <c r="E32" s="261">
        <v>480.14</v>
      </c>
      <c r="F32" s="29">
        <v>39</v>
      </c>
      <c r="G32" s="39">
        <f t="shared" si="0"/>
        <v>18725.46</v>
      </c>
      <c r="H32" s="31">
        <v>43064</v>
      </c>
      <c r="I32" s="519" t="s">
        <v>1172</v>
      </c>
      <c r="J32" s="195"/>
    </row>
    <row r="33" spans="1:14" s="8" customFormat="1" x14ac:dyDescent="0.25">
      <c r="A33" s="839" t="s">
        <v>1197</v>
      </c>
      <c r="B33" s="279" t="s">
        <v>1652</v>
      </c>
      <c r="C33" s="274">
        <v>43049</v>
      </c>
      <c r="D33" s="270">
        <f t="shared" si="1"/>
        <v>5069</v>
      </c>
      <c r="E33" s="261">
        <v>175.8</v>
      </c>
      <c r="F33" s="29">
        <v>52</v>
      </c>
      <c r="G33" s="39">
        <f t="shared" si="0"/>
        <v>9141.6</v>
      </c>
      <c r="H33" s="31">
        <v>43064</v>
      </c>
      <c r="I33" s="519" t="s">
        <v>1172</v>
      </c>
      <c r="J33" s="195"/>
    </row>
    <row r="34" spans="1:14" s="8" customFormat="1" ht="30" x14ac:dyDescent="0.25">
      <c r="A34" s="839" t="s">
        <v>1171</v>
      </c>
      <c r="B34" s="279" t="s">
        <v>206</v>
      </c>
      <c r="C34" s="274">
        <v>43049</v>
      </c>
      <c r="D34" s="270">
        <f t="shared" si="1"/>
        <v>5070</v>
      </c>
      <c r="E34" s="261">
        <v>1003.8</v>
      </c>
      <c r="F34" s="29">
        <v>68</v>
      </c>
      <c r="G34" s="39">
        <f>F34*E34+654.8*66</f>
        <v>111475.19999999998</v>
      </c>
      <c r="H34" s="718" t="s">
        <v>1636</v>
      </c>
      <c r="I34" s="519" t="s">
        <v>1172</v>
      </c>
      <c r="J34" s="195"/>
    </row>
    <row r="35" spans="1:14" s="8" customFormat="1" x14ac:dyDescent="0.25">
      <c r="A35" s="839" t="s">
        <v>1630</v>
      </c>
      <c r="B35" s="177" t="s">
        <v>1631</v>
      </c>
      <c r="C35" s="274">
        <v>43049</v>
      </c>
      <c r="D35" s="270">
        <f t="shared" si="1"/>
        <v>5071</v>
      </c>
      <c r="E35" s="261">
        <v>8.1</v>
      </c>
      <c r="F35" s="29">
        <v>51</v>
      </c>
      <c r="G35" s="39">
        <f t="shared" si="0"/>
        <v>413.09999999999997</v>
      </c>
      <c r="H35" s="31">
        <v>43050</v>
      </c>
      <c r="I35" s="62" t="s">
        <v>1172</v>
      </c>
      <c r="J35" s="195"/>
    </row>
    <row r="36" spans="1:14" x14ac:dyDescent="0.25">
      <c r="A36" s="839" t="s">
        <v>1173</v>
      </c>
      <c r="B36" s="177" t="s">
        <v>1489</v>
      </c>
      <c r="C36" s="274">
        <v>43049</v>
      </c>
      <c r="D36" s="270">
        <f t="shared" si="1"/>
        <v>5072</v>
      </c>
      <c r="E36" s="261">
        <v>93.5</v>
      </c>
      <c r="F36" s="29">
        <v>65</v>
      </c>
      <c r="G36" s="39">
        <f>F36*E36+279*49+89*30</f>
        <v>22418.5</v>
      </c>
      <c r="H36" s="31">
        <v>43052</v>
      </c>
      <c r="I36" s="62" t="s">
        <v>1172</v>
      </c>
      <c r="L36" s="195"/>
      <c r="M36" s="195"/>
      <c r="N36" s="195"/>
    </row>
    <row r="37" spans="1:14" x14ac:dyDescent="0.25">
      <c r="A37" s="839" t="s">
        <v>1220</v>
      </c>
      <c r="B37" s="177" t="s">
        <v>1619</v>
      </c>
      <c r="C37" s="274">
        <v>43050</v>
      </c>
      <c r="D37" s="270">
        <f t="shared" si="1"/>
        <v>5073</v>
      </c>
      <c r="E37" s="261">
        <v>29878</v>
      </c>
      <c r="F37" s="29">
        <v>1</v>
      </c>
      <c r="G37" s="39">
        <f t="shared" si="0"/>
        <v>29878</v>
      </c>
      <c r="H37" s="31">
        <v>43082</v>
      </c>
      <c r="I37" s="62" t="s">
        <v>1172</v>
      </c>
      <c r="L37" s="195"/>
      <c r="M37" s="195"/>
      <c r="N37" s="195"/>
    </row>
    <row r="38" spans="1:14" x14ac:dyDescent="0.25">
      <c r="A38" s="808" t="s">
        <v>1444</v>
      </c>
      <c r="B38" s="188" t="s">
        <v>1260</v>
      </c>
      <c r="C38" s="269">
        <v>43042</v>
      </c>
      <c r="D38" s="270">
        <f t="shared" si="1"/>
        <v>5074</v>
      </c>
      <c r="E38" s="261">
        <v>102.5</v>
      </c>
      <c r="F38" s="29">
        <v>47</v>
      </c>
      <c r="G38" s="39">
        <f t="shared" si="0"/>
        <v>4817.5</v>
      </c>
      <c r="H38" s="31">
        <v>43050</v>
      </c>
      <c r="I38" s="62" t="s">
        <v>1172</v>
      </c>
      <c r="L38" s="195"/>
      <c r="M38" s="195"/>
      <c r="N38" s="195"/>
    </row>
    <row r="39" spans="1:14" x14ac:dyDescent="0.25">
      <c r="A39" s="808" t="s">
        <v>1171</v>
      </c>
      <c r="B39" s="188" t="s">
        <v>206</v>
      </c>
      <c r="C39" s="269">
        <v>43050</v>
      </c>
      <c r="D39" s="270">
        <f t="shared" si="1"/>
        <v>5075</v>
      </c>
      <c r="E39" s="261">
        <v>1040.4000000000001</v>
      </c>
      <c r="F39" s="29">
        <v>68</v>
      </c>
      <c r="G39" s="39">
        <f t="shared" si="0"/>
        <v>70747.200000000012</v>
      </c>
      <c r="H39" s="31">
        <v>43055</v>
      </c>
      <c r="I39" s="62" t="s">
        <v>1172</v>
      </c>
      <c r="L39" s="195"/>
      <c r="M39" s="195"/>
      <c r="N39" s="195"/>
    </row>
    <row r="40" spans="1:14" x14ac:dyDescent="0.25">
      <c r="A40" s="808" t="s">
        <v>1632</v>
      </c>
      <c r="B40" s="188" t="s">
        <v>1258</v>
      </c>
      <c r="C40" s="292">
        <v>43050</v>
      </c>
      <c r="D40" s="270">
        <f t="shared" si="1"/>
        <v>5076</v>
      </c>
      <c r="E40" s="261">
        <v>1005</v>
      </c>
      <c r="F40" s="29">
        <v>17</v>
      </c>
      <c r="G40" s="39">
        <f t="shared" si="0"/>
        <v>17085</v>
      </c>
      <c r="H40" s="31">
        <v>43052</v>
      </c>
      <c r="I40" s="62" t="s">
        <v>1172</v>
      </c>
      <c r="L40" s="195"/>
      <c r="M40" s="195"/>
      <c r="N40" s="195"/>
    </row>
    <row r="41" spans="1:14" x14ac:dyDescent="0.25">
      <c r="A41" s="808" t="s">
        <v>1182</v>
      </c>
      <c r="B41" s="188" t="s">
        <v>1369</v>
      </c>
      <c r="C41" s="269">
        <v>43050</v>
      </c>
      <c r="D41" s="270">
        <f t="shared" si="1"/>
        <v>5077</v>
      </c>
      <c r="E41" s="261">
        <v>35014</v>
      </c>
      <c r="F41" s="29">
        <v>1</v>
      </c>
      <c r="G41" s="39">
        <f t="shared" si="0"/>
        <v>35014</v>
      </c>
      <c r="H41" s="31">
        <v>43050</v>
      </c>
      <c r="I41" s="62" t="s">
        <v>1172</v>
      </c>
      <c r="L41" s="195"/>
      <c r="M41" s="195"/>
      <c r="N41" s="195"/>
    </row>
    <row r="42" spans="1:14" x14ac:dyDescent="0.25">
      <c r="A42" s="808" t="s">
        <v>1182</v>
      </c>
      <c r="B42" s="188" t="s">
        <v>1621</v>
      </c>
      <c r="C42" s="269">
        <v>43050</v>
      </c>
      <c r="D42" s="270">
        <f t="shared" si="1"/>
        <v>5078</v>
      </c>
      <c r="E42" s="261">
        <v>304.82</v>
      </c>
      <c r="F42" s="29">
        <v>50</v>
      </c>
      <c r="G42" s="39">
        <f>F42*E42+221.6*48</f>
        <v>25877.8</v>
      </c>
      <c r="H42" s="31">
        <v>43053</v>
      </c>
      <c r="I42" s="62" t="s">
        <v>1172</v>
      </c>
      <c r="L42" s="195"/>
      <c r="M42" s="195"/>
      <c r="N42" s="195"/>
    </row>
    <row r="43" spans="1:14" x14ac:dyDescent="0.25">
      <c r="A43" s="808" t="s">
        <v>1173</v>
      </c>
      <c r="B43" s="188" t="s">
        <v>1414</v>
      </c>
      <c r="C43" s="269">
        <v>43051</v>
      </c>
      <c r="D43" s="270">
        <f t="shared" si="1"/>
        <v>5079</v>
      </c>
      <c r="E43" s="261">
        <v>217.7</v>
      </c>
      <c r="F43" s="29">
        <v>49</v>
      </c>
      <c r="G43" s="39">
        <f t="shared" si="0"/>
        <v>10667.3</v>
      </c>
      <c r="H43" s="31">
        <v>43052</v>
      </c>
      <c r="I43" s="62" t="s">
        <v>1172</v>
      </c>
      <c r="L43" s="195"/>
      <c r="M43" s="195"/>
      <c r="N43" s="195"/>
    </row>
    <row r="44" spans="1:14" x14ac:dyDescent="0.25">
      <c r="A44" s="808" t="s">
        <v>1633</v>
      </c>
      <c r="B44" s="188" t="s">
        <v>1634</v>
      </c>
      <c r="C44" s="269">
        <v>43051</v>
      </c>
      <c r="D44" s="270">
        <f t="shared" si="1"/>
        <v>5080</v>
      </c>
      <c r="E44" s="261">
        <v>24.29</v>
      </c>
      <c r="F44" s="29">
        <v>105</v>
      </c>
      <c r="G44" s="39">
        <f t="shared" si="0"/>
        <v>2550.4499999999998</v>
      </c>
      <c r="H44" s="31">
        <v>43055</v>
      </c>
      <c r="I44" s="62" t="s">
        <v>1172</v>
      </c>
      <c r="L44" s="195"/>
      <c r="M44" s="195"/>
      <c r="N44" s="195"/>
    </row>
    <row r="45" spans="1:14" x14ac:dyDescent="0.25">
      <c r="A45" s="808" t="s">
        <v>1171</v>
      </c>
      <c r="B45" s="188" t="s">
        <v>206</v>
      </c>
      <c r="C45" s="269">
        <v>43052</v>
      </c>
      <c r="D45" s="270">
        <f t="shared" si="1"/>
        <v>5081</v>
      </c>
      <c r="E45" s="261">
        <v>1205.4000000000001</v>
      </c>
      <c r="F45" s="29">
        <v>68</v>
      </c>
      <c r="G45" s="39">
        <f t="shared" si="0"/>
        <v>81967.200000000012</v>
      </c>
      <c r="H45" s="31">
        <v>43057</v>
      </c>
      <c r="I45" s="62" t="s">
        <v>1172</v>
      </c>
      <c r="L45" s="195"/>
      <c r="M45" s="195"/>
      <c r="N45" s="195"/>
    </row>
    <row r="46" spans="1:14" x14ac:dyDescent="0.25">
      <c r="A46" s="808" t="s">
        <v>1184</v>
      </c>
      <c r="B46" s="188" t="s">
        <v>1503</v>
      </c>
      <c r="C46" s="269">
        <v>43052</v>
      </c>
      <c r="D46" s="270">
        <f t="shared" si="1"/>
        <v>5082</v>
      </c>
      <c r="E46" s="261">
        <v>218</v>
      </c>
      <c r="F46" s="29">
        <v>90</v>
      </c>
      <c r="G46" s="39">
        <f>F46*E46</f>
        <v>19620</v>
      </c>
      <c r="H46" s="31">
        <v>43062</v>
      </c>
      <c r="I46" s="62" t="s">
        <v>1172</v>
      </c>
      <c r="L46" s="195"/>
      <c r="M46" s="195"/>
      <c r="N46" s="195"/>
    </row>
    <row r="47" spans="1:14" x14ac:dyDescent="0.25">
      <c r="A47" s="808" t="s">
        <v>1387</v>
      </c>
      <c r="B47" s="188" t="s">
        <v>1641</v>
      </c>
      <c r="C47" s="269">
        <v>43053</v>
      </c>
      <c r="D47" s="270">
        <f t="shared" si="1"/>
        <v>5083</v>
      </c>
      <c r="E47" s="261">
        <v>1460</v>
      </c>
      <c r="F47" s="29">
        <v>68</v>
      </c>
      <c r="G47" s="39">
        <f t="shared" si="0"/>
        <v>99280</v>
      </c>
      <c r="H47" s="31">
        <v>43057</v>
      </c>
      <c r="I47" s="62" t="s">
        <v>1172</v>
      </c>
      <c r="L47" s="195"/>
      <c r="M47" s="195"/>
      <c r="N47" s="195"/>
    </row>
    <row r="48" spans="1:14" x14ac:dyDescent="0.25">
      <c r="A48" s="808" t="s">
        <v>1182</v>
      </c>
      <c r="B48" s="188" t="s">
        <v>1621</v>
      </c>
      <c r="C48" s="269">
        <v>43053</v>
      </c>
      <c r="D48" s="270">
        <f t="shared" si="1"/>
        <v>5084</v>
      </c>
      <c r="E48" s="261">
        <v>29320</v>
      </c>
      <c r="F48" s="29">
        <v>1</v>
      </c>
      <c r="G48" s="39">
        <f t="shared" si="0"/>
        <v>29320</v>
      </c>
      <c r="H48" s="31">
        <v>43056</v>
      </c>
      <c r="I48" s="62" t="s">
        <v>1172</v>
      </c>
      <c r="L48" s="195"/>
      <c r="M48" s="195"/>
      <c r="N48" s="195"/>
    </row>
    <row r="49" spans="1:14" x14ac:dyDescent="0.25">
      <c r="A49" s="808" t="s">
        <v>1180</v>
      </c>
      <c r="B49" s="188" t="s">
        <v>1618</v>
      </c>
      <c r="C49" s="269">
        <v>43054</v>
      </c>
      <c r="D49" s="270">
        <f t="shared" si="1"/>
        <v>5085</v>
      </c>
      <c r="E49" s="261">
        <v>380.1</v>
      </c>
      <c r="F49" s="29">
        <v>43.5</v>
      </c>
      <c r="G49" s="39">
        <f t="shared" si="0"/>
        <v>16534.350000000002</v>
      </c>
      <c r="H49" s="31">
        <v>43054</v>
      </c>
      <c r="I49" s="62" t="s">
        <v>1172</v>
      </c>
      <c r="L49" s="195"/>
      <c r="M49" s="195"/>
      <c r="N49" s="195"/>
    </row>
    <row r="50" spans="1:14" x14ac:dyDescent="0.25">
      <c r="A50" s="808" t="s">
        <v>1173</v>
      </c>
      <c r="B50" s="188" t="s">
        <v>1489</v>
      </c>
      <c r="C50" s="269">
        <v>43054</v>
      </c>
      <c r="D50" s="270">
        <f t="shared" si="1"/>
        <v>5086</v>
      </c>
      <c r="E50" s="261">
        <v>229.6</v>
      </c>
      <c r="F50" s="29">
        <v>49</v>
      </c>
      <c r="G50" s="39">
        <f>F50*E50+51.2*48+145.2*30</f>
        <v>18064</v>
      </c>
      <c r="H50" s="31">
        <v>43055</v>
      </c>
      <c r="I50" s="62" t="s">
        <v>1172</v>
      </c>
      <c r="J50" s="8"/>
      <c r="L50" s="195"/>
      <c r="M50" s="195"/>
      <c r="N50" s="195"/>
    </row>
    <row r="51" spans="1:14" x14ac:dyDescent="0.25">
      <c r="A51" s="808" t="s">
        <v>1197</v>
      </c>
      <c r="B51" s="188" t="s">
        <v>1651</v>
      </c>
      <c r="C51" s="269">
        <v>43054</v>
      </c>
      <c r="D51" s="270">
        <f t="shared" si="1"/>
        <v>5087</v>
      </c>
      <c r="E51" s="261">
        <v>1031.9000000000001</v>
      </c>
      <c r="F51" s="29">
        <v>39</v>
      </c>
      <c r="G51" s="39">
        <f>F51*E51+376.7*52</f>
        <v>59832.5</v>
      </c>
      <c r="H51" s="31">
        <v>43064</v>
      </c>
      <c r="I51" s="62" t="s">
        <v>1172</v>
      </c>
      <c r="L51" s="195"/>
      <c r="M51" s="195"/>
      <c r="N51" s="195"/>
    </row>
    <row r="52" spans="1:14" ht="15.75" x14ac:dyDescent="0.25">
      <c r="A52" s="808" t="s">
        <v>1637</v>
      </c>
      <c r="B52" s="188" t="s">
        <v>1638</v>
      </c>
      <c r="C52" s="294">
        <v>43054</v>
      </c>
      <c r="D52" s="270">
        <f t="shared" si="1"/>
        <v>5088</v>
      </c>
      <c r="E52" s="261">
        <v>12.2</v>
      </c>
      <c r="F52" s="29">
        <v>50</v>
      </c>
      <c r="G52" s="39">
        <f t="shared" si="0"/>
        <v>610</v>
      </c>
      <c r="H52" s="31" t="s">
        <v>1639</v>
      </c>
      <c r="I52" s="62" t="s">
        <v>1172</v>
      </c>
      <c r="J52" s="8"/>
      <c r="L52" s="195"/>
      <c r="M52" s="195"/>
      <c r="N52" s="195"/>
    </row>
    <row r="53" spans="1:14" ht="15.75" x14ac:dyDescent="0.25">
      <c r="A53" s="808" t="s">
        <v>1171</v>
      </c>
      <c r="B53" s="188" t="s">
        <v>206</v>
      </c>
      <c r="C53" s="294">
        <v>43054</v>
      </c>
      <c r="D53" s="270">
        <f t="shared" si="1"/>
        <v>5089</v>
      </c>
      <c r="E53" s="261">
        <v>1325.4</v>
      </c>
      <c r="F53" s="29">
        <v>67</v>
      </c>
      <c r="G53" s="39">
        <f t="shared" si="0"/>
        <v>88801.8</v>
      </c>
      <c r="H53" s="31">
        <v>43057</v>
      </c>
      <c r="I53" s="62" t="s">
        <v>1172</v>
      </c>
      <c r="J53" s="8"/>
      <c r="L53" s="195"/>
      <c r="M53" s="195"/>
      <c r="N53" s="195"/>
    </row>
    <row r="54" spans="1:14" ht="15.75" x14ac:dyDescent="0.25">
      <c r="A54" s="808" t="s">
        <v>1635</v>
      </c>
      <c r="B54" s="188" t="s">
        <v>1203</v>
      </c>
      <c r="C54" s="294">
        <v>43055</v>
      </c>
      <c r="D54" s="270">
        <f t="shared" si="1"/>
        <v>5090</v>
      </c>
      <c r="E54" s="261">
        <v>1093.4000000000001</v>
      </c>
      <c r="F54" s="29">
        <v>33.5</v>
      </c>
      <c r="G54" s="39">
        <f t="shared" si="0"/>
        <v>36628.9</v>
      </c>
      <c r="H54" s="31">
        <v>43055</v>
      </c>
      <c r="I54" s="62" t="s">
        <v>1172</v>
      </c>
      <c r="J54" s="8"/>
      <c r="L54" s="195"/>
      <c r="M54" s="195"/>
      <c r="N54" s="195"/>
    </row>
    <row r="55" spans="1:14" x14ac:dyDescent="0.25">
      <c r="A55" s="808" t="s">
        <v>1208</v>
      </c>
      <c r="B55" s="189" t="s">
        <v>1291</v>
      </c>
      <c r="C55" s="269">
        <v>43055</v>
      </c>
      <c r="D55" s="270">
        <f t="shared" si="1"/>
        <v>5091</v>
      </c>
      <c r="E55" s="261">
        <v>459.5</v>
      </c>
      <c r="F55" s="29">
        <v>72</v>
      </c>
      <c r="G55" s="39">
        <f t="shared" si="0"/>
        <v>33084</v>
      </c>
      <c r="H55" s="31">
        <v>43057</v>
      </c>
      <c r="I55" s="62" t="s">
        <v>1172</v>
      </c>
      <c r="L55" s="195"/>
      <c r="M55" s="195"/>
      <c r="N55" s="195"/>
    </row>
    <row r="56" spans="1:14" x14ac:dyDescent="0.25">
      <c r="A56" s="808" t="s">
        <v>1173</v>
      </c>
      <c r="B56" s="189" t="s">
        <v>1489</v>
      </c>
      <c r="C56" s="269">
        <v>43055</v>
      </c>
      <c r="D56" s="270">
        <f t="shared" si="1"/>
        <v>5092</v>
      </c>
      <c r="E56" s="261">
        <v>182.2</v>
      </c>
      <c r="F56" s="29">
        <v>49</v>
      </c>
      <c r="G56" s="39">
        <f>F56*E56+105*30+175*64</f>
        <v>23277.8</v>
      </c>
      <c r="H56" s="31">
        <v>43062</v>
      </c>
      <c r="I56" s="62" t="s">
        <v>1172</v>
      </c>
      <c r="L56" s="195"/>
      <c r="M56" s="195"/>
      <c r="N56" s="195"/>
    </row>
    <row r="57" spans="1:14" x14ac:dyDescent="0.25">
      <c r="A57" s="808" t="s">
        <v>1171</v>
      </c>
      <c r="B57" s="189" t="s">
        <v>206</v>
      </c>
      <c r="C57" s="269">
        <v>43055</v>
      </c>
      <c r="D57" s="270">
        <f t="shared" si="1"/>
        <v>5093</v>
      </c>
      <c r="E57" s="261">
        <v>668.5</v>
      </c>
      <c r="F57" s="29">
        <v>68</v>
      </c>
      <c r="G57" s="39">
        <f t="shared" si="0"/>
        <v>45458</v>
      </c>
      <c r="H57" s="31">
        <v>43055</v>
      </c>
      <c r="I57" s="62" t="s">
        <v>1172</v>
      </c>
      <c r="L57" s="195"/>
      <c r="M57" s="195"/>
      <c r="N57" s="195"/>
    </row>
    <row r="58" spans="1:14" x14ac:dyDescent="0.25">
      <c r="A58" s="808" t="s">
        <v>1220</v>
      </c>
      <c r="B58" s="188" t="s">
        <v>1619</v>
      </c>
      <c r="C58" s="269">
        <v>43056</v>
      </c>
      <c r="D58" s="270">
        <f t="shared" si="1"/>
        <v>5094</v>
      </c>
      <c r="E58" s="261">
        <v>34083</v>
      </c>
      <c r="F58" s="29">
        <v>1</v>
      </c>
      <c r="G58" s="39">
        <f t="shared" si="0"/>
        <v>34083</v>
      </c>
      <c r="H58" s="31">
        <v>43082</v>
      </c>
      <c r="I58" s="62" t="s">
        <v>1172</v>
      </c>
      <c r="J58" s="8"/>
      <c r="L58" s="195"/>
      <c r="M58" s="195"/>
      <c r="N58" s="195"/>
    </row>
    <row r="59" spans="1:14" x14ac:dyDescent="0.25">
      <c r="A59" s="808" t="s">
        <v>1197</v>
      </c>
      <c r="B59" s="188" t="s">
        <v>1652</v>
      </c>
      <c r="C59" s="269">
        <v>43056</v>
      </c>
      <c r="D59" s="270">
        <f t="shared" si="1"/>
        <v>5095</v>
      </c>
      <c r="E59" s="261">
        <v>80.260000000000005</v>
      </c>
      <c r="F59" s="29">
        <v>52</v>
      </c>
      <c r="G59" s="39">
        <f t="shared" si="0"/>
        <v>4173.5200000000004</v>
      </c>
      <c r="H59" s="31">
        <v>43064</v>
      </c>
      <c r="I59" s="62" t="s">
        <v>1172</v>
      </c>
      <c r="J59" s="8"/>
      <c r="L59" s="195"/>
      <c r="M59" s="195"/>
      <c r="N59" s="195"/>
    </row>
    <row r="60" spans="1:14" x14ac:dyDescent="0.25">
      <c r="A60" s="808" t="s">
        <v>1206</v>
      </c>
      <c r="B60" s="188" t="s">
        <v>1650</v>
      </c>
      <c r="C60" s="269">
        <v>43056</v>
      </c>
      <c r="D60" s="270">
        <f t="shared" si="1"/>
        <v>5096</v>
      </c>
      <c r="E60" s="261">
        <v>205.6</v>
      </c>
      <c r="F60" s="29">
        <v>65.8</v>
      </c>
      <c r="G60" s="39">
        <f t="shared" si="0"/>
        <v>13528.48</v>
      </c>
      <c r="H60" s="31">
        <v>43063</v>
      </c>
      <c r="I60" s="62" t="s">
        <v>1172</v>
      </c>
      <c r="J60" s="8"/>
      <c r="L60" s="195"/>
      <c r="M60" s="195"/>
      <c r="N60" s="195"/>
    </row>
    <row r="61" spans="1:14" x14ac:dyDescent="0.25">
      <c r="A61" s="808" t="s">
        <v>1171</v>
      </c>
      <c r="B61" s="188" t="s">
        <v>206</v>
      </c>
      <c r="C61" s="269">
        <v>43056</v>
      </c>
      <c r="D61" s="270">
        <f t="shared" si="1"/>
        <v>5097</v>
      </c>
      <c r="E61" s="261">
        <v>994</v>
      </c>
      <c r="F61" s="29">
        <v>68</v>
      </c>
      <c r="G61" s="39">
        <f>F61*E61+276*64</f>
        <v>85256</v>
      </c>
      <c r="H61" s="31">
        <v>43057</v>
      </c>
      <c r="I61" s="62" t="s">
        <v>1172</v>
      </c>
      <c r="J61" s="8"/>
      <c r="L61" s="195"/>
      <c r="M61" s="195"/>
      <c r="N61" s="195"/>
    </row>
    <row r="62" spans="1:14" x14ac:dyDescent="0.25">
      <c r="A62" s="808" t="s">
        <v>1642</v>
      </c>
      <c r="B62" s="188" t="s">
        <v>1578</v>
      </c>
      <c r="C62" s="269">
        <v>43056</v>
      </c>
      <c r="D62" s="270">
        <f t="shared" si="1"/>
        <v>5098</v>
      </c>
      <c r="E62" s="261">
        <v>10.4</v>
      </c>
      <c r="F62" s="29">
        <v>19</v>
      </c>
      <c r="G62" s="39">
        <f t="shared" si="0"/>
        <v>197.6</v>
      </c>
      <c r="H62" s="31">
        <v>43057</v>
      </c>
      <c r="I62" s="62" t="s">
        <v>1172</v>
      </c>
      <c r="L62" s="195"/>
      <c r="M62" s="195"/>
      <c r="N62" s="195"/>
    </row>
    <row r="63" spans="1:14" x14ac:dyDescent="0.25">
      <c r="A63" s="808" t="s">
        <v>1221</v>
      </c>
      <c r="B63" s="188" t="s">
        <v>1640</v>
      </c>
      <c r="C63" s="269">
        <v>43057</v>
      </c>
      <c r="D63" s="270">
        <f t="shared" si="1"/>
        <v>5099</v>
      </c>
      <c r="E63" s="261">
        <v>500</v>
      </c>
      <c r="F63" s="29">
        <v>38</v>
      </c>
      <c r="G63" s="39">
        <f>F63*E63+89.8*35</f>
        <v>22143</v>
      </c>
      <c r="H63" s="31">
        <v>43057</v>
      </c>
      <c r="I63" s="62" t="s">
        <v>1172</v>
      </c>
      <c r="J63" s="8"/>
      <c r="L63" s="195"/>
      <c r="M63" s="195"/>
      <c r="N63" s="195"/>
    </row>
    <row r="64" spans="1:14" ht="17.25" customHeight="1" x14ac:dyDescent="0.25">
      <c r="A64" s="808" t="s">
        <v>1220</v>
      </c>
      <c r="B64" s="295" t="s">
        <v>1297</v>
      </c>
      <c r="C64" s="269">
        <v>43054</v>
      </c>
      <c r="D64" s="270">
        <f t="shared" si="1"/>
        <v>5100</v>
      </c>
      <c r="E64" s="296">
        <v>40.200000000000003</v>
      </c>
      <c r="F64" s="297">
        <v>80</v>
      </c>
      <c r="G64" s="39">
        <f>F64*E64+2*40</f>
        <v>3296</v>
      </c>
      <c r="H64" s="298">
        <v>43082</v>
      </c>
      <c r="I64" s="298" t="s">
        <v>1172</v>
      </c>
      <c r="J64" s="300"/>
      <c r="K64" s="208"/>
      <c r="L64" s="301"/>
      <c r="M64" s="301"/>
      <c r="N64" s="301"/>
    </row>
    <row r="65" spans="1:14" x14ac:dyDescent="0.25">
      <c r="A65" s="808" t="s">
        <v>1184</v>
      </c>
      <c r="B65" s="188" t="s">
        <v>1223</v>
      </c>
      <c r="C65" s="269">
        <v>43055</v>
      </c>
      <c r="D65" s="270">
        <f t="shared" si="1"/>
        <v>5101</v>
      </c>
      <c r="E65" s="261">
        <v>245.7</v>
      </c>
      <c r="F65" s="29">
        <v>90</v>
      </c>
      <c r="G65" s="39">
        <f t="shared" si="0"/>
        <v>22113</v>
      </c>
      <c r="H65" s="31">
        <v>43062</v>
      </c>
      <c r="I65" s="62" t="s">
        <v>1172</v>
      </c>
      <c r="K65" s="302"/>
      <c r="L65" s="302"/>
      <c r="M65" s="302"/>
      <c r="N65" s="302"/>
    </row>
    <row r="66" spans="1:14" x14ac:dyDescent="0.25">
      <c r="A66" s="808" t="s">
        <v>1220</v>
      </c>
      <c r="B66" s="188" t="s">
        <v>1619</v>
      </c>
      <c r="C66" s="269">
        <v>43057</v>
      </c>
      <c r="D66" s="270">
        <f t="shared" ref="D66:D121" si="2">D65+1</f>
        <v>5102</v>
      </c>
      <c r="E66" s="261">
        <v>32681</v>
      </c>
      <c r="F66" s="29">
        <v>1</v>
      </c>
      <c r="G66" s="39">
        <f t="shared" si="0"/>
        <v>32681</v>
      </c>
      <c r="H66" s="31">
        <v>43082</v>
      </c>
      <c r="I66" s="62" t="s">
        <v>1172</v>
      </c>
      <c r="K66" s="302"/>
      <c r="L66" s="302"/>
      <c r="M66" s="302"/>
      <c r="N66" s="302"/>
    </row>
    <row r="67" spans="1:14" x14ac:dyDescent="0.25">
      <c r="A67" s="808" t="s">
        <v>1208</v>
      </c>
      <c r="B67" s="303" t="s">
        <v>1644</v>
      </c>
      <c r="C67" s="269">
        <v>43057</v>
      </c>
      <c r="D67" s="270">
        <f t="shared" si="2"/>
        <v>5103</v>
      </c>
      <c r="E67" s="261">
        <v>278.5</v>
      </c>
      <c r="F67" s="29">
        <v>73</v>
      </c>
      <c r="G67" s="39">
        <f>F67*E67+31.3*170</f>
        <v>25651.5</v>
      </c>
      <c r="H67" s="31">
        <v>43060</v>
      </c>
      <c r="I67" s="62" t="s">
        <v>1172</v>
      </c>
      <c r="L67" s="195"/>
      <c r="M67" s="195"/>
      <c r="N67" s="195"/>
    </row>
    <row r="68" spans="1:14" x14ac:dyDescent="0.25">
      <c r="A68" s="808" t="s">
        <v>1643</v>
      </c>
      <c r="B68" s="303" t="s">
        <v>1258</v>
      </c>
      <c r="C68" s="269">
        <v>43057</v>
      </c>
      <c r="D68" s="270">
        <f t="shared" si="2"/>
        <v>5104</v>
      </c>
      <c r="E68" s="261">
        <v>488</v>
      </c>
      <c r="F68" s="29">
        <v>17</v>
      </c>
      <c r="G68" s="39">
        <f t="shared" si="0"/>
        <v>8296</v>
      </c>
      <c r="H68" s="31">
        <v>43058</v>
      </c>
      <c r="I68" s="62" t="s">
        <v>1172</v>
      </c>
      <c r="L68" s="195"/>
      <c r="M68" s="195"/>
      <c r="N68" s="195"/>
    </row>
    <row r="69" spans="1:14" x14ac:dyDescent="0.25">
      <c r="A69" s="808" t="s">
        <v>1197</v>
      </c>
      <c r="B69" s="188" t="s">
        <v>1654</v>
      </c>
      <c r="C69" s="269">
        <v>43057</v>
      </c>
      <c r="D69" s="270">
        <f t="shared" si="2"/>
        <v>5105</v>
      </c>
      <c r="E69" s="261">
        <v>532.29999999999995</v>
      </c>
      <c r="F69" s="29">
        <v>50</v>
      </c>
      <c r="G69" s="39">
        <f>F69*E69+161.6*52</f>
        <v>35018.199999999997</v>
      </c>
      <c r="H69" s="31">
        <v>43064</v>
      </c>
      <c r="I69" s="62" t="s">
        <v>1172</v>
      </c>
      <c r="L69" s="195"/>
      <c r="M69" s="195"/>
      <c r="N69" s="195"/>
    </row>
    <row r="70" spans="1:14" x14ac:dyDescent="0.25">
      <c r="A70" s="808" t="s">
        <v>361</v>
      </c>
      <c r="B70" s="188" t="s">
        <v>1621</v>
      </c>
      <c r="C70" s="269">
        <v>43057</v>
      </c>
      <c r="D70" s="270">
        <f t="shared" si="2"/>
        <v>5106</v>
      </c>
      <c r="E70" s="261">
        <v>86.05</v>
      </c>
      <c r="F70" s="29">
        <v>49</v>
      </c>
      <c r="G70" s="39">
        <f t="shared" si="0"/>
        <v>4216.45</v>
      </c>
      <c r="H70" s="31">
        <v>43063</v>
      </c>
      <c r="I70" s="62" t="s">
        <v>1172</v>
      </c>
      <c r="L70" s="195"/>
      <c r="M70" s="195"/>
      <c r="N70" s="195"/>
    </row>
    <row r="71" spans="1:14" x14ac:dyDescent="0.25">
      <c r="A71" s="808" t="s">
        <v>1171</v>
      </c>
      <c r="B71" s="188" t="s">
        <v>206</v>
      </c>
      <c r="C71" s="292">
        <v>43057</v>
      </c>
      <c r="D71" s="270">
        <f t="shared" si="2"/>
        <v>5107</v>
      </c>
      <c r="E71" s="261">
        <v>163.5</v>
      </c>
      <c r="F71" s="29">
        <v>68</v>
      </c>
      <c r="G71" s="39">
        <f t="shared" si="0"/>
        <v>11118</v>
      </c>
      <c r="H71" s="31">
        <v>43057</v>
      </c>
      <c r="I71" s="62" t="s">
        <v>1172</v>
      </c>
      <c r="J71" s="8"/>
      <c r="L71" s="195"/>
      <c r="M71" s="195"/>
      <c r="N71" s="195"/>
    </row>
    <row r="72" spans="1:14" x14ac:dyDescent="0.25">
      <c r="A72" s="808" t="s">
        <v>1387</v>
      </c>
      <c r="B72" s="188" t="s">
        <v>206</v>
      </c>
      <c r="C72" s="269">
        <v>43057</v>
      </c>
      <c r="D72" s="270">
        <f t="shared" si="2"/>
        <v>5108</v>
      </c>
      <c r="E72" s="261">
        <v>15</v>
      </c>
      <c r="F72" s="29">
        <v>68</v>
      </c>
      <c r="G72" s="39">
        <f t="shared" si="0"/>
        <v>1020</v>
      </c>
      <c r="H72" s="31">
        <v>43057</v>
      </c>
      <c r="I72" s="62" t="s">
        <v>1172</v>
      </c>
      <c r="J72" s="8"/>
      <c r="L72" s="195"/>
      <c r="M72" s="195"/>
      <c r="N72" s="195"/>
    </row>
    <row r="73" spans="1:14" x14ac:dyDescent="0.25">
      <c r="A73" s="808" t="s">
        <v>1173</v>
      </c>
      <c r="B73" s="188" t="s">
        <v>1489</v>
      </c>
      <c r="C73" s="269">
        <v>43057</v>
      </c>
      <c r="D73" s="270">
        <f t="shared" si="2"/>
        <v>5109</v>
      </c>
      <c r="E73" s="261">
        <v>204.7</v>
      </c>
      <c r="F73" s="29">
        <v>30</v>
      </c>
      <c r="G73" s="39">
        <f>F73*E73+84.9*49+81*48+21.6*30</f>
        <v>14837.1</v>
      </c>
      <c r="H73" s="31">
        <v>43062</v>
      </c>
      <c r="I73" s="62" t="s">
        <v>1172</v>
      </c>
      <c r="J73" s="8"/>
      <c r="L73" s="195"/>
      <c r="M73" s="195"/>
      <c r="N73" s="195"/>
    </row>
    <row r="74" spans="1:14" x14ac:dyDescent="0.25">
      <c r="A74" s="808" t="s">
        <v>1173</v>
      </c>
      <c r="B74" s="188" t="s">
        <v>1489</v>
      </c>
      <c r="C74" s="269">
        <v>43058</v>
      </c>
      <c r="D74" s="270">
        <f t="shared" si="2"/>
        <v>5110</v>
      </c>
      <c r="E74" s="261">
        <v>120.4</v>
      </c>
      <c r="F74" s="29">
        <v>49</v>
      </c>
      <c r="G74" s="39">
        <f>F74*E74+40.2*30</f>
        <v>7105.6</v>
      </c>
      <c r="H74" s="31">
        <v>43062</v>
      </c>
      <c r="I74" s="62" t="s">
        <v>1172</v>
      </c>
      <c r="J74" s="8"/>
      <c r="L74" s="195"/>
      <c r="M74" s="195"/>
      <c r="N74" s="195"/>
    </row>
    <row r="75" spans="1:14" x14ac:dyDescent="0.25">
      <c r="A75" s="808" t="s">
        <v>1173</v>
      </c>
      <c r="B75" s="188" t="s">
        <v>1647</v>
      </c>
      <c r="C75" s="292">
        <v>43058</v>
      </c>
      <c r="D75" s="270">
        <f t="shared" si="2"/>
        <v>5111</v>
      </c>
      <c r="E75" s="261">
        <v>146.19999999999999</v>
      </c>
      <c r="F75" s="29">
        <v>64</v>
      </c>
      <c r="G75" s="39">
        <f t="shared" si="0"/>
        <v>9356.7999999999993</v>
      </c>
      <c r="H75" s="31">
        <v>43062</v>
      </c>
      <c r="I75" s="62" t="s">
        <v>1172</v>
      </c>
      <c r="J75" s="8"/>
      <c r="L75" s="195"/>
      <c r="M75" s="195"/>
      <c r="N75" s="195"/>
    </row>
    <row r="76" spans="1:14" x14ac:dyDescent="0.25">
      <c r="A76" s="808" t="s">
        <v>1197</v>
      </c>
      <c r="B76" s="188" t="s">
        <v>1651</v>
      </c>
      <c r="C76" s="269">
        <v>43059</v>
      </c>
      <c r="D76" s="270">
        <f t="shared" si="2"/>
        <v>5112</v>
      </c>
      <c r="E76" s="261">
        <v>109.1</v>
      </c>
      <c r="F76" s="29">
        <v>52</v>
      </c>
      <c r="G76" s="39">
        <f>F76*E76+203*46</f>
        <v>15011.2</v>
      </c>
      <c r="H76" s="31">
        <v>43064</v>
      </c>
      <c r="I76" s="62" t="s">
        <v>1172</v>
      </c>
      <c r="J76" s="8"/>
      <c r="L76" s="195"/>
      <c r="M76" s="195"/>
      <c r="N76" s="195"/>
    </row>
    <row r="77" spans="1:14" x14ac:dyDescent="0.25">
      <c r="A77" s="808" t="s">
        <v>1221</v>
      </c>
      <c r="B77" s="189" t="s">
        <v>1629</v>
      </c>
      <c r="C77" s="269">
        <v>43059</v>
      </c>
      <c r="D77" s="270">
        <f t="shared" si="2"/>
        <v>5113</v>
      </c>
      <c r="E77" s="261">
        <v>330.4</v>
      </c>
      <c r="F77" s="29">
        <v>35</v>
      </c>
      <c r="G77" s="39">
        <f t="shared" si="0"/>
        <v>11564</v>
      </c>
      <c r="H77" s="31">
        <v>43059</v>
      </c>
      <c r="I77" s="62" t="s">
        <v>1172</v>
      </c>
      <c r="J77" s="8"/>
      <c r="L77" s="195"/>
      <c r="M77" s="195"/>
      <c r="N77" s="195"/>
    </row>
    <row r="78" spans="1:14" x14ac:dyDescent="0.25">
      <c r="A78" s="808" t="s">
        <v>1171</v>
      </c>
      <c r="B78" s="189" t="s">
        <v>206</v>
      </c>
      <c r="C78" s="269">
        <v>43059</v>
      </c>
      <c r="D78" s="270">
        <f t="shared" si="2"/>
        <v>5114</v>
      </c>
      <c r="E78" s="261">
        <v>1116.8</v>
      </c>
      <c r="F78" s="29">
        <v>68</v>
      </c>
      <c r="G78" s="39">
        <f t="shared" si="0"/>
        <v>75942.399999999994</v>
      </c>
      <c r="H78" s="31">
        <v>43059</v>
      </c>
      <c r="I78" s="62" t="s">
        <v>1172</v>
      </c>
      <c r="J78" s="8"/>
      <c r="L78" s="195"/>
      <c r="M78" s="195"/>
      <c r="N78" s="195"/>
    </row>
    <row r="79" spans="1:14" x14ac:dyDescent="0.25">
      <c r="A79" s="808" t="s">
        <v>1184</v>
      </c>
      <c r="B79" s="188" t="s">
        <v>1503</v>
      </c>
      <c r="C79" s="269">
        <v>43059</v>
      </c>
      <c r="D79" s="270">
        <f t="shared" si="2"/>
        <v>5115</v>
      </c>
      <c r="E79" s="261">
        <v>220</v>
      </c>
      <c r="F79" s="29">
        <v>90</v>
      </c>
      <c r="G79" s="39">
        <f t="shared" si="0"/>
        <v>19800</v>
      </c>
      <c r="H79" s="31">
        <v>43062</v>
      </c>
      <c r="I79" s="62" t="s">
        <v>1172</v>
      </c>
      <c r="L79" s="195"/>
      <c r="M79" s="195"/>
      <c r="N79" s="195"/>
    </row>
    <row r="80" spans="1:14" x14ac:dyDescent="0.25">
      <c r="A80" s="808" t="s">
        <v>1387</v>
      </c>
      <c r="B80" s="188" t="s">
        <v>1646</v>
      </c>
      <c r="C80" s="269">
        <v>43059</v>
      </c>
      <c r="D80" s="270">
        <f t="shared" si="2"/>
        <v>5116</v>
      </c>
      <c r="E80" s="261">
        <v>2069.4</v>
      </c>
      <c r="F80" s="29">
        <v>68</v>
      </c>
      <c r="G80" s="39">
        <f t="shared" si="0"/>
        <v>140719.20000000001</v>
      </c>
      <c r="H80" s="31">
        <v>43062</v>
      </c>
      <c r="I80" s="62" t="s">
        <v>1172</v>
      </c>
      <c r="L80" s="195"/>
      <c r="M80" s="195"/>
      <c r="N80" s="195"/>
    </row>
    <row r="81" spans="1:14" x14ac:dyDescent="0.25">
      <c r="A81" s="808" t="s">
        <v>1171</v>
      </c>
      <c r="B81" s="188" t="s">
        <v>206</v>
      </c>
      <c r="C81" s="269">
        <v>43060</v>
      </c>
      <c r="D81" s="270">
        <f t="shared" si="2"/>
        <v>5117</v>
      </c>
      <c r="E81" s="261">
        <v>659.9</v>
      </c>
      <c r="F81" s="29">
        <v>68</v>
      </c>
      <c r="G81" s="39">
        <f t="shared" si="0"/>
        <v>44873.2</v>
      </c>
      <c r="H81" s="31">
        <v>43062</v>
      </c>
      <c r="I81" s="62" t="s">
        <v>1172</v>
      </c>
      <c r="L81" s="195"/>
      <c r="M81" s="195"/>
      <c r="N81" s="195"/>
    </row>
    <row r="82" spans="1:14" x14ac:dyDescent="0.25">
      <c r="A82" s="808" t="s">
        <v>223</v>
      </c>
      <c r="B82" s="188"/>
      <c r="C82" s="269"/>
      <c r="D82" s="270">
        <f t="shared" si="2"/>
        <v>5118</v>
      </c>
      <c r="G82" s="39">
        <f t="shared" si="0"/>
        <v>0</v>
      </c>
      <c r="H82" s="31"/>
      <c r="L82" s="195"/>
      <c r="M82" s="195"/>
      <c r="N82" s="195"/>
    </row>
    <row r="83" spans="1:14" x14ac:dyDescent="0.25">
      <c r="A83" s="808" t="s">
        <v>223</v>
      </c>
      <c r="B83" s="188"/>
      <c r="C83" s="269"/>
      <c r="D83" s="270">
        <f t="shared" si="2"/>
        <v>5119</v>
      </c>
      <c r="G83" s="39">
        <f t="shared" si="0"/>
        <v>0</v>
      </c>
      <c r="H83" s="31"/>
      <c r="L83" s="195"/>
      <c r="M83" s="195"/>
      <c r="N83" s="195"/>
    </row>
    <row r="84" spans="1:14" x14ac:dyDescent="0.25">
      <c r="A84" s="808" t="s">
        <v>1220</v>
      </c>
      <c r="B84" s="188" t="s">
        <v>1683</v>
      </c>
      <c r="C84" s="269">
        <v>43060</v>
      </c>
      <c r="D84" s="270">
        <f t="shared" si="2"/>
        <v>5120</v>
      </c>
      <c r="E84" s="261">
        <f>154.28+264.54</f>
        <v>418.82000000000005</v>
      </c>
      <c r="F84" s="29">
        <v>54</v>
      </c>
      <c r="G84" s="39">
        <f t="shared" si="0"/>
        <v>22616.280000000002</v>
      </c>
      <c r="H84" s="31">
        <v>43082</v>
      </c>
      <c r="I84" s="62" t="s">
        <v>1172</v>
      </c>
      <c r="L84" s="195"/>
      <c r="M84" s="195"/>
      <c r="N84" s="195"/>
    </row>
    <row r="85" spans="1:14" x14ac:dyDescent="0.25">
      <c r="A85" s="808" t="s">
        <v>1197</v>
      </c>
      <c r="B85" s="188" t="s">
        <v>1652</v>
      </c>
      <c r="C85" s="269">
        <v>43061</v>
      </c>
      <c r="D85" s="270">
        <f t="shared" si="2"/>
        <v>5121</v>
      </c>
      <c r="E85" s="261">
        <v>83.66</v>
      </c>
      <c r="F85" s="29">
        <v>52</v>
      </c>
      <c r="G85" s="39">
        <f t="shared" si="0"/>
        <v>4350.32</v>
      </c>
      <c r="H85" s="31">
        <v>43064</v>
      </c>
      <c r="I85" s="62" t="s">
        <v>1172</v>
      </c>
      <c r="L85" s="195"/>
      <c r="M85" s="195"/>
      <c r="N85" s="195"/>
    </row>
    <row r="86" spans="1:14" x14ac:dyDescent="0.25">
      <c r="A86" s="808" t="s">
        <v>223</v>
      </c>
      <c r="B86" s="188"/>
      <c r="C86" s="269"/>
      <c r="D86" s="270">
        <f t="shared" si="2"/>
        <v>5122</v>
      </c>
      <c r="G86" s="39">
        <f t="shared" si="0"/>
        <v>0</v>
      </c>
      <c r="H86" s="31"/>
      <c r="L86" s="195"/>
      <c r="M86" s="195"/>
      <c r="N86" s="195"/>
    </row>
    <row r="87" spans="1:14" x14ac:dyDescent="0.25">
      <c r="A87" s="808" t="s">
        <v>1171</v>
      </c>
      <c r="B87" s="188" t="s">
        <v>1645</v>
      </c>
      <c r="C87" s="269">
        <v>43061</v>
      </c>
      <c r="D87" s="270">
        <f t="shared" si="2"/>
        <v>5123</v>
      </c>
      <c r="E87" s="261">
        <v>1294.2</v>
      </c>
      <c r="F87" s="29">
        <v>68</v>
      </c>
      <c r="G87" s="39">
        <f>F87*E87+108.8*71</f>
        <v>95730.400000000009</v>
      </c>
      <c r="H87" s="31" t="s">
        <v>1657</v>
      </c>
      <c r="I87" s="857" t="s">
        <v>1172</v>
      </c>
      <c r="J87" s="856">
        <f>79300+16430.4</f>
        <v>95730.4</v>
      </c>
      <c r="L87" s="195"/>
      <c r="M87" s="195"/>
      <c r="N87" s="195"/>
    </row>
    <row r="88" spans="1:14" x14ac:dyDescent="0.25">
      <c r="A88" s="808" t="s">
        <v>1387</v>
      </c>
      <c r="B88" s="188" t="s">
        <v>1656</v>
      </c>
      <c r="C88" s="269">
        <v>43061</v>
      </c>
      <c r="D88" s="270">
        <f t="shared" si="2"/>
        <v>5124</v>
      </c>
      <c r="E88" s="261">
        <v>1697.6</v>
      </c>
      <c r="F88" s="29">
        <v>68</v>
      </c>
      <c r="G88" s="39">
        <f t="shared" ref="G88:G121" si="3">F88*E88</f>
        <v>115436.79999999999</v>
      </c>
      <c r="H88" s="31">
        <v>43064</v>
      </c>
      <c r="I88" s="62" t="s">
        <v>1172</v>
      </c>
      <c r="L88" s="195"/>
      <c r="M88" s="195"/>
      <c r="N88" s="195"/>
    </row>
    <row r="89" spans="1:14" x14ac:dyDescent="0.25">
      <c r="A89" s="808" t="s">
        <v>1197</v>
      </c>
      <c r="B89" s="188" t="s">
        <v>1653</v>
      </c>
      <c r="C89" s="269">
        <v>43062</v>
      </c>
      <c r="D89" s="270">
        <f t="shared" si="2"/>
        <v>5125</v>
      </c>
      <c r="E89" s="261">
        <v>55.1</v>
      </c>
      <c r="F89" s="29">
        <v>20</v>
      </c>
      <c r="G89" s="39">
        <f t="shared" si="3"/>
        <v>1102</v>
      </c>
      <c r="H89" s="31">
        <v>43064</v>
      </c>
      <c r="I89" s="62" t="s">
        <v>1172</v>
      </c>
      <c r="L89" s="195"/>
      <c r="M89" s="195"/>
      <c r="N89" s="195"/>
    </row>
    <row r="90" spans="1:14" x14ac:dyDescent="0.25">
      <c r="A90" s="808" t="s">
        <v>1208</v>
      </c>
      <c r="B90" s="188" t="s">
        <v>1644</v>
      </c>
      <c r="C90" s="269">
        <v>43062</v>
      </c>
      <c r="D90" s="270">
        <f t="shared" si="2"/>
        <v>5126</v>
      </c>
      <c r="E90" s="261">
        <v>103.2</v>
      </c>
      <c r="F90" s="29">
        <v>170</v>
      </c>
      <c r="G90" s="39">
        <f>F90*E90+152.4*73</f>
        <v>28669.200000000001</v>
      </c>
      <c r="H90" s="31">
        <v>43064</v>
      </c>
      <c r="I90" s="62" t="s">
        <v>1172</v>
      </c>
      <c r="L90" s="195"/>
      <c r="M90" s="195"/>
      <c r="N90" s="195"/>
    </row>
    <row r="91" spans="1:14" x14ac:dyDescent="0.25">
      <c r="A91" s="808" t="s">
        <v>223</v>
      </c>
      <c r="B91" s="188"/>
      <c r="C91" s="269"/>
      <c r="D91" s="270">
        <f t="shared" si="2"/>
        <v>5127</v>
      </c>
      <c r="G91" s="39">
        <f t="shared" si="3"/>
        <v>0</v>
      </c>
      <c r="H91" s="31"/>
      <c r="L91" s="195"/>
      <c r="M91" s="195"/>
      <c r="N91" s="195"/>
    </row>
    <row r="92" spans="1:14" x14ac:dyDescent="0.25">
      <c r="A92" s="808" t="s">
        <v>223</v>
      </c>
      <c r="B92" s="188"/>
      <c r="C92" s="269"/>
      <c r="D92" s="270">
        <f t="shared" si="2"/>
        <v>5128</v>
      </c>
      <c r="G92" s="39">
        <f t="shared" si="3"/>
        <v>0</v>
      </c>
      <c r="H92" s="31"/>
      <c r="L92" s="195"/>
      <c r="M92" s="195"/>
      <c r="N92" s="195"/>
    </row>
    <row r="93" spans="1:14" x14ac:dyDescent="0.25">
      <c r="A93" s="808" t="s">
        <v>1220</v>
      </c>
      <c r="B93" s="188" t="s">
        <v>1619</v>
      </c>
      <c r="C93" s="269">
        <v>43062</v>
      </c>
      <c r="D93" s="270">
        <f t="shared" si="2"/>
        <v>5129</v>
      </c>
      <c r="E93" s="261">
        <v>23976</v>
      </c>
      <c r="F93" s="29">
        <v>1</v>
      </c>
      <c r="G93" s="39">
        <f t="shared" si="3"/>
        <v>23976</v>
      </c>
      <c r="H93" s="31">
        <v>43082</v>
      </c>
      <c r="I93" s="62" t="s">
        <v>1172</v>
      </c>
      <c r="L93" s="195"/>
      <c r="M93" s="195"/>
      <c r="N93" s="195"/>
    </row>
    <row r="94" spans="1:14" x14ac:dyDescent="0.25">
      <c r="A94" s="808" t="s">
        <v>1220</v>
      </c>
      <c r="B94" s="188" t="s">
        <v>1620</v>
      </c>
      <c r="C94" s="269">
        <v>43063</v>
      </c>
      <c r="D94" s="270">
        <f t="shared" si="2"/>
        <v>5130</v>
      </c>
      <c r="E94" s="261">
        <v>321</v>
      </c>
      <c r="F94" s="29">
        <v>60</v>
      </c>
      <c r="G94" s="39">
        <f t="shared" si="3"/>
        <v>19260</v>
      </c>
      <c r="H94" s="31">
        <v>43082</v>
      </c>
      <c r="I94" s="62" t="s">
        <v>1172</v>
      </c>
      <c r="L94" s="195"/>
      <c r="M94" s="195"/>
      <c r="N94" s="195"/>
    </row>
    <row r="95" spans="1:14" x14ac:dyDescent="0.25">
      <c r="A95" s="808" t="s">
        <v>1648</v>
      </c>
      <c r="B95" s="188" t="s">
        <v>1649</v>
      </c>
      <c r="C95" s="269">
        <v>43063</v>
      </c>
      <c r="D95" s="270">
        <f t="shared" si="2"/>
        <v>5131</v>
      </c>
      <c r="E95" s="261">
        <v>10</v>
      </c>
      <c r="F95" s="29">
        <v>51</v>
      </c>
      <c r="G95" s="39">
        <f t="shared" si="3"/>
        <v>510</v>
      </c>
      <c r="H95" s="31">
        <v>43063</v>
      </c>
      <c r="I95" s="62" t="s">
        <v>1172</v>
      </c>
      <c r="L95" s="195"/>
      <c r="M95" s="195"/>
      <c r="N95" s="195"/>
    </row>
    <row r="96" spans="1:14" x14ac:dyDescent="0.25">
      <c r="A96" s="808" t="s">
        <v>1171</v>
      </c>
      <c r="B96" s="188" t="s">
        <v>1645</v>
      </c>
      <c r="C96" s="269">
        <v>43063</v>
      </c>
      <c r="D96" s="270">
        <f t="shared" si="2"/>
        <v>5132</v>
      </c>
      <c r="E96" s="261">
        <v>1691.5</v>
      </c>
      <c r="F96" s="29">
        <v>68</v>
      </c>
      <c r="G96" s="39">
        <f>F96*E96+190.9*71</f>
        <v>128575.9</v>
      </c>
      <c r="H96" s="31">
        <v>43064</v>
      </c>
      <c r="I96" s="62" t="s">
        <v>1172</v>
      </c>
      <c r="L96" s="195"/>
      <c r="M96" s="195"/>
      <c r="N96" s="195"/>
    </row>
    <row r="97" spans="1:14" x14ac:dyDescent="0.25">
      <c r="A97" s="808" t="s">
        <v>1220</v>
      </c>
      <c r="B97" s="188" t="s">
        <v>1620</v>
      </c>
      <c r="C97" s="269">
        <v>44524</v>
      </c>
      <c r="D97" s="270">
        <f t="shared" si="2"/>
        <v>5133</v>
      </c>
      <c r="E97" s="261">
        <v>303</v>
      </c>
      <c r="F97" s="29">
        <v>60</v>
      </c>
      <c r="G97" s="39">
        <f t="shared" si="3"/>
        <v>18180</v>
      </c>
      <c r="H97" s="31">
        <v>43082</v>
      </c>
      <c r="I97" s="62" t="s">
        <v>1172</v>
      </c>
      <c r="L97" s="195"/>
      <c r="M97" s="195"/>
      <c r="N97" s="195"/>
    </row>
    <row r="98" spans="1:14" x14ac:dyDescent="0.25">
      <c r="A98" s="808" t="s">
        <v>1173</v>
      </c>
      <c r="B98" s="188" t="s">
        <v>1457</v>
      </c>
      <c r="C98" s="269">
        <v>43063</v>
      </c>
      <c r="D98" s="270">
        <f t="shared" si="2"/>
        <v>5134</v>
      </c>
      <c r="E98" s="261">
        <v>101.4</v>
      </c>
      <c r="F98" s="29">
        <v>30</v>
      </c>
      <c r="G98" s="39">
        <f t="shared" si="3"/>
        <v>3042</v>
      </c>
      <c r="H98" s="31">
        <v>43072</v>
      </c>
      <c r="I98" s="62" t="s">
        <v>1172</v>
      </c>
      <c r="L98" s="195"/>
      <c r="M98" s="195"/>
      <c r="N98" s="195"/>
    </row>
    <row r="99" spans="1:14" x14ac:dyDescent="0.25">
      <c r="A99" s="808" t="s">
        <v>1477</v>
      </c>
      <c r="B99" s="188" t="s">
        <v>206</v>
      </c>
      <c r="C99" s="269">
        <v>43063</v>
      </c>
      <c r="D99" s="270">
        <f t="shared" si="2"/>
        <v>5135</v>
      </c>
      <c r="E99" s="261">
        <v>179.3</v>
      </c>
      <c r="F99" s="29">
        <v>62</v>
      </c>
      <c r="G99" s="39">
        <f t="shared" si="3"/>
        <v>11116.6</v>
      </c>
      <c r="H99" s="31">
        <v>43063</v>
      </c>
      <c r="I99" s="62" t="s">
        <v>1172</v>
      </c>
      <c r="L99" s="195"/>
      <c r="M99" s="195"/>
      <c r="N99" s="195"/>
    </row>
    <row r="100" spans="1:14" x14ac:dyDescent="0.25">
      <c r="A100" s="808" t="s">
        <v>1206</v>
      </c>
      <c r="B100" s="188" t="s">
        <v>1207</v>
      </c>
      <c r="C100" s="269">
        <v>43064</v>
      </c>
      <c r="D100" s="270">
        <f t="shared" si="2"/>
        <v>5136</v>
      </c>
      <c r="E100" s="261">
        <v>419.09</v>
      </c>
      <c r="F100" s="29">
        <v>65</v>
      </c>
      <c r="G100" s="39">
        <f t="shared" si="3"/>
        <v>27240.85</v>
      </c>
      <c r="H100" s="31">
        <v>43064</v>
      </c>
      <c r="I100" s="62" t="s">
        <v>1172</v>
      </c>
      <c r="L100" s="195"/>
      <c r="M100" s="195"/>
      <c r="N100" s="195"/>
    </row>
    <row r="101" spans="1:14" x14ac:dyDescent="0.25">
      <c r="A101" s="808" t="s">
        <v>1655</v>
      </c>
      <c r="B101" s="189" t="s">
        <v>1485</v>
      </c>
      <c r="C101" s="292">
        <v>43064</v>
      </c>
      <c r="D101" s="270">
        <f t="shared" si="2"/>
        <v>5137</v>
      </c>
      <c r="E101" s="261">
        <v>44.8</v>
      </c>
      <c r="F101" s="29">
        <v>30</v>
      </c>
      <c r="G101" s="39">
        <f t="shared" si="3"/>
        <v>1344</v>
      </c>
      <c r="H101" s="31">
        <v>43064</v>
      </c>
      <c r="I101" s="62" t="s">
        <v>1172</v>
      </c>
      <c r="L101" s="195"/>
      <c r="M101" s="195"/>
      <c r="N101" s="195"/>
    </row>
    <row r="102" spans="1:14" x14ac:dyDescent="0.25">
      <c r="A102" s="808" t="s">
        <v>1387</v>
      </c>
      <c r="B102" s="189" t="s">
        <v>206</v>
      </c>
      <c r="C102" s="292">
        <v>43064</v>
      </c>
      <c r="D102" s="270">
        <f t="shared" si="2"/>
        <v>5138</v>
      </c>
      <c r="E102" s="261">
        <v>1955.4</v>
      </c>
      <c r="F102" s="29">
        <v>68</v>
      </c>
      <c r="G102" s="457">
        <f t="shared" si="3"/>
        <v>132967.20000000001</v>
      </c>
      <c r="H102" s="31">
        <v>43068</v>
      </c>
      <c r="I102" s="62" t="s">
        <v>1172</v>
      </c>
      <c r="J102" s="863">
        <v>64800</v>
      </c>
      <c r="K102" s="799"/>
      <c r="L102" s="860"/>
      <c r="M102" s="195"/>
      <c r="N102" s="195"/>
    </row>
    <row r="103" spans="1:14" x14ac:dyDescent="0.25">
      <c r="A103" s="808" t="s">
        <v>1173</v>
      </c>
      <c r="B103" s="189" t="s">
        <v>1533</v>
      </c>
      <c r="C103" s="292">
        <v>43065</v>
      </c>
      <c r="D103" s="270">
        <f t="shared" si="2"/>
        <v>5139</v>
      </c>
      <c r="E103" s="261">
        <v>364.6</v>
      </c>
      <c r="F103" s="29">
        <v>49</v>
      </c>
      <c r="G103" s="39">
        <f>F103*E103+284*30</f>
        <v>26385.4</v>
      </c>
      <c r="H103" s="31">
        <v>43072</v>
      </c>
      <c r="I103" s="62" t="s">
        <v>1172</v>
      </c>
      <c r="L103" s="195"/>
      <c r="M103" s="195"/>
      <c r="N103" s="195"/>
    </row>
    <row r="104" spans="1:14" x14ac:dyDescent="0.25">
      <c r="A104" s="808" t="s">
        <v>1182</v>
      </c>
      <c r="B104" s="189" t="s">
        <v>1199</v>
      </c>
      <c r="C104" s="292">
        <v>43066</v>
      </c>
      <c r="D104" s="270">
        <f t="shared" si="2"/>
        <v>5140</v>
      </c>
      <c r="E104" s="261">
        <v>79825.2</v>
      </c>
      <c r="F104" s="29">
        <v>1</v>
      </c>
      <c r="G104" s="39">
        <f t="shared" si="3"/>
        <v>79825.2</v>
      </c>
      <c r="H104" s="31">
        <v>43068</v>
      </c>
      <c r="I104" s="62" t="s">
        <v>1172</v>
      </c>
      <c r="L104" s="195"/>
      <c r="M104" s="195"/>
      <c r="N104" s="195"/>
    </row>
    <row r="105" spans="1:14" x14ac:dyDescent="0.25">
      <c r="A105" s="808" t="s">
        <v>1220</v>
      </c>
      <c r="B105" s="189" t="s">
        <v>1684</v>
      </c>
      <c r="C105" s="292">
        <v>43066</v>
      </c>
      <c r="D105" s="270">
        <f t="shared" si="2"/>
        <v>5141</v>
      </c>
      <c r="E105" s="261">
        <f>210.2+619.2</f>
        <v>829.40000000000009</v>
      </c>
      <c r="F105" s="29">
        <v>60</v>
      </c>
      <c r="G105" s="39">
        <f t="shared" si="3"/>
        <v>49764.000000000007</v>
      </c>
      <c r="H105" s="31">
        <v>43082</v>
      </c>
      <c r="I105" s="62" t="s">
        <v>1172</v>
      </c>
      <c r="L105" s="195"/>
      <c r="M105" s="195"/>
      <c r="N105" s="195"/>
    </row>
    <row r="106" spans="1:14" x14ac:dyDescent="0.25">
      <c r="A106" s="808" t="s">
        <v>1220</v>
      </c>
      <c r="B106" s="189" t="s">
        <v>1619</v>
      </c>
      <c r="C106" s="292">
        <v>43066</v>
      </c>
      <c r="D106" s="270">
        <f t="shared" si="2"/>
        <v>5142</v>
      </c>
      <c r="E106" s="261">
        <v>16426</v>
      </c>
      <c r="F106" s="29">
        <v>1</v>
      </c>
      <c r="G106" s="39">
        <f t="shared" si="3"/>
        <v>16426</v>
      </c>
      <c r="H106" s="31">
        <v>43082</v>
      </c>
      <c r="I106" s="62" t="s">
        <v>1172</v>
      </c>
      <c r="L106" s="195"/>
      <c r="M106" s="195"/>
      <c r="N106" s="195"/>
    </row>
    <row r="107" spans="1:14" x14ac:dyDescent="0.25">
      <c r="A107" s="808" t="s">
        <v>1632</v>
      </c>
      <c r="B107" s="188" t="s">
        <v>1258</v>
      </c>
      <c r="C107" s="269">
        <v>43066</v>
      </c>
      <c r="D107" s="270">
        <f t="shared" si="2"/>
        <v>5143</v>
      </c>
      <c r="E107" s="261">
        <v>1050</v>
      </c>
      <c r="F107" s="29">
        <v>17.5</v>
      </c>
      <c r="G107" s="39">
        <f t="shared" si="3"/>
        <v>18375</v>
      </c>
      <c r="H107" s="31">
        <v>43072</v>
      </c>
      <c r="I107" s="62" t="s">
        <v>1172</v>
      </c>
      <c r="L107" s="195"/>
      <c r="M107" s="195"/>
      <c r="N107" s="195"/>
    </row>
    <row r="108" spans="1:14" x14ac:dyDescent="0.25">
      <c r="A108" s="808" t="s">
        <v>1197</v>
      </c>
      <c r="B108" s="188" t="s">
        <v>1660</v>
      </c>
      <c r="C108" s="269">
        <v>43066</v>
      </c>
      <c r="D108" s="270">
        <f t="shared" si="2"/>
        <v>5144</v>
      </c>
      <c r="E108" s="261">
        <v>528.9</v>
      </c>
      <c r="F108" s="29">
        <v>47</v>
      </c>
      <c r="G108" s="39">
        <f>F108*E108+391.8*26+334.9*52</f>
        <v>52459.899999999994</v>
      </c>
      <c r="H108" s="31">
        <v>43071</v>
      </c>
      <c r="I108" s="62" t="s">
        <v>1172</v>
      </c>
      <c r="L108" s="195"/>
      <c r="M108" s="195"/>
      <c r="N108" s="195"/>
    </row>
    <row r="109" spans="1:14" x14ac:dyDescent="0.25">
      <c r="A109" s="808" t="s">
        <v>1658</v>
      </c>
      <c r="B109" s="188" t="s">
        <v>1659</v>
      </c>
      <c r="C109" s="269">
        <v>43066</v>
      </c>
      <c r="D109" s="270">
        <f t="shared" si="2"/>
        <v>5145</v>
      </c>
      <c r="E109" s="261">
        <v>26</v>
      </c>
      <c r="F109" s="29">
        <v>52</v>
      </c>
      <c r="G109" s="39">
        <f t="shared" si="3"/>
        <v>1352</v>
      </c>
      <c r="H109" s="31">
        <v>43067</v>
      </c>
      <c r="I109" s="62" t="s">
        <v>1172</v>
      </c>
      <c r="L109" s="195"/>
      <c r="M109" s="195"/>
      <c r="N109" s="195"/>
    </row>
    <row r="110" spans="1:14" x14ac:dyDescent="0.25">
      <c r="A110" s="808" t="s">
        <v>1387</v>
      </c>
      <c r="B110" s="188" t="s">
        <v>1656</v>
      </c>
      <c r="C110" s="269">
        <v>43066</v>
      </c>
      <c r="D110" s="270">
        <f t="shared" si="2"/>
        <v>5146</v>
      </c>
      <c r="E110" s="261">
        <v>1371.7</v>
      </c>
      <c r="F110" s="29">
        <v>68</v>
      </c>
      <c r="G110" s="39">
        <f t="shared" si="3"/>
        <v>93275.6</v>
      </c>
      <c r="H110" s="31">
        <v>43068</v>
      </c>
      <c r="I110" s="62" t="s">
        <v>1172</v>
      </c>
      <c r="L110" s="195"/>
      <c r="M110" s="195"/>
      <c r="N110" s="195"/>
    </row>
    <row r="111" spans="1:14" x14ac:dyDescent="0.25">
      <c r="A111" s="808" t="s">
        <v>1221</v>
      </c>
      <c r="B111" s="188" t="s">
        <v>241</v>
      </c>
      <c r="C111" s="269">
        <v>43067</v>
      </c>
      <c r="D111" s="270">
        <f t="shared" si="2"/>
        <v>5147</v>
      </c>
      <c r="E111" s="261">
        <v>270</v>
      </c>
      <c r="F111" s="29">
        <v>38</v>
      </c>
      <c r="G111" s="39">
        <f t="shared" si="3"/>
        <v>10260</v>
      </c>
      <c r="H111" s="31">
        <v>43067</v>
      </c>
      <c r="I111" s="62" t="s">
        <v>1172</v>
      </c>
      <c r="L111" s="195"/>
      <c r="M111" s="195"/>
      <c r="N111" s="195"/>
    </row>
    <row r="112" spans="1:14" ht="24.75" x14ac:dyDescent="0.25">
      <c r="A112" s="808" t="s">
        <v>1171</v>
      </c>
      <c r="B112" s="188" t="s">
        <v>206</v>
      </c>
      <c r="C112" s="269">
        <v>43067</v>
      </c>
      <c r="D112" s="270">
        <f t="shared" si="2"/>
        <v>5148</v>
      </c>
      <c r="E112" s="261">
        <v>2034.5</v>
      </c>
      <c r="F112" s="29">
        <v>68</v>
      </c>
      <c r="G112" s="39">
        <f t="shared" si="3"/>
        <v>138346</v>
      </c>
      <c r="H112" s="866" t="s">
        <v>1664</v>
      </c>
      <c r="I112" s="62" t="s">
        <v>1172</v>
      </c>
      <c r="J112" s="716"/>
      <c r="K112" s="865"/>
      <c r="L112" s="195"/>
      <c r="M112" s="195"/>
      <c r="N112" s="195"/>
    </row>
    <row r="113" spans="1:14" x14ac:dyDescent="0.25">
      <c r="A113" s="808" t="s">
        <v>1197</v>
      </c>
      <c r="B113" s="188" t="s">
        <v>1660</v>
      </c>
      <c r="C113" s="269">
        <v>43067</v>
      </c>
      <c r="D113" s="270">
        <f t="shared" si="2"/>
        <v>5149</v>
      </c>
      <c r="E113" s="261">
        <v>136.69999999999999</v>
      </c>
      <c r="F113" s="29">
        <v>48</v>
      </c>
      <c r="G113" s="39">
        <f>F113*E113+30.2*24+112.78*52</f>
        <v>13150.96</v>
      </c>
      <c r="H113" s="31">
        <v>43071</v>
      </c>
      <c r="I113" s="62" t="s">
        <v>1172</v>
      </c>
      <c r="L113" s="195"/>
      <c r="M113" s="195"/>
      <c r="N113" s="195"/>
    </row>
    <row r="114" spans="1:14" x14ac:dyDescent="0.25">
      <c r="A114" s="808" t="s">
        <v>1387</v>
      </c>
      <c r="B114" s="188" t="s">
        <v>1656</v>
      </c>
      <c r="C114" s="269">
        <v>43067</v>
      </c>
      <c r="D114" s="270">
        <f t="shared" si="2"/>
        <v>5150</v>
      </c>
      <c r="E114" s="261">
        <v>1547.2</v>
      </c>
      <c r="F114" s="29">
        <v>68</v>
      </c>
      <c r="G114" s="39">
        <f t="shared" si="3"/>
        <v>105209.60000000001</v>
      </c>
      <c r="H114" s="31">
        <v>43071</v>
      </c>
      <c r="I114" s="62" t="s">
        <v>1172</v>
      </c>
      <c r="L114" s="195"/>
      <c r="M114" s="195"/>
      <c r="N114" s="195"/>
    </row>
    <row r="115" spans="1:14" x14ac:dyDescent="0.25">
      <c r="A115" s="808" t="s">
        <v>1180</v>
      </c>
      <c r="B115" s="188" t="s">
        <v>241</v>
      </c>
      <c r="C115" s="269">
        <v>43068</v>
      </c>
      <c r="D115" s="270">
        <f t="shared" si="2"/>
        <v>5151</v>
      </c>
      <c r="E115" s="261">
        <v>332.8</v>
      </c>
      <c r="F115" s="29">
        <v>43.5</v>
      </c>
      <c r="G115" s="39">
        <f t="shared" si="3"/>
        <v>14476.800000000001</v>
      </c>
      <c r="H115" s="859">
        <v>43068</v>
      </c>
      <c r="I115" s="799" t="s">
        <v>1172</v>
      </c>
      <c r="J115" s="860"/>
      <c r="L115" s="195"/>
      <c r="M115" s="195"/>
      <c r="N115" s="195"/>
    </row>
    <row r="116" spans="1:14" x14ac:dyDescent="0.25">
      <c r="A116" s="808" t="s">
        <v>1173</v>
      </c>
      <c r="B116" s="188" t="s">
        <v>1210</v>
      </c>
      <c r="C116" s="269">
        <v>43068</v>
      </c>
      <c r="D116" s="270">
        <f t="shared" si="2"/>
        <v>5152</v>
      </c>
      <c r="E116" s="261">
        <v>113.4</v>
      </c>
      <c r="F116" s="29">
        <v>49</v>
      </c>
      <c r="G116" s="39">
        <f t="shared" si="3"/>
        <v>5556.6</v>
      </c>
      <c r="H116" s="31">
        <v>43072</v>
      </c>
      <c r="I116" s="62" t="s">
        <v>1172</v>
      </c>
      <c r="L116" s="195"/>
      <c r="M116" s="195"/>
      <c r="N116" s="195"/>
    </row>
    <row r="117" spans="1:14" x14ac:dyDescent="0.25">
      <c r="A117" s="808" t="s">
        <v>1171</v>
      </c>
      <c r="B117" s="188" t="s">
        <v>1645</v>
      </c>
      <c r="C117" s="269">
        <v>43068</v>
      </c>
      <c r="D117" s="270">
        <f t="shared" si="2"/>
        <v>5153</v>
      </c>
      <c r="E117" s="261">
        <v>1058.3</v>
      </c>
      <c r="F117" s="29">
        <v>68</v>
      </c>
      <c r="G117" s="39">
        <f>F117*E117+109.8*71</f>
        <v>79760.2</v>
      </c>
      <c r="H117" s="31">
        <v>43073</v>
      </c>
      <c r="I117" s="62" t="s">
        <v>1172</v>
      </c>
      <c r="L117" s="195"/>
      <c r="M117" s="195"/>
      <c r="N117" s="195"/>
    </row>
    <row r="118" spans="1:14" x14ac:dyDescent="0.25">
      <c r="A118" s="808" t="s">
        <v>1173</v>
      </c>
      <c r="B118" s="689" t="s">
        <v>1210</v>
      </c>
      <c r="C118" s="678">
        <v>43069</v>
      </c>
      <c r="D118" s="270">
        <f t="shared" si="2"/>
        <v>5154</v>
      </c>
      <c r="E118" s="261">
        <v>47.2</v>
      </c>
      <c r="F118" s="29">
        <v>49</v>
      </c>
      <c r="G118" s="39">
        <f t="shared" si="3"/>
        <v>2312.8000000000002</v>
      </c>
      <c r="H118" s="31">
        <v>43072</v>
      </c>
      <c r="I118" s="62" t="s">
        <v>1172</v>
      </c>
      <c r="L118" s="195"/>
      <c r="M118" s="195"/>
      <c r="N118" s="195"/>
    </row>
    <row r="119" spans="1:14" x14ac:dyDescent="0.25">
      <c r="A119" s="808" t="s">
        <v>1197</v>
      </c>
      <c r="B119" s="188" t="s">
        <v>1661</v>
      </c>
      <c r="C119" s="269">
        <v>43069</v>
      </c>
      <c r="D119" s="270">
        <f t="shared" si="2"/>
        <v>5155</v>
      </c>
      <c r="E119" s="261">
        <v>638.70000000000005</v>
      </c>
      <c r="F119" s="29">
        <v>14</v>
      </c>
      <c r="G119" s="39">
        <f>F119*E119+48.1*24+73.2*52</f>
        <v>13902.6</v>
      </c>
      <c r="H119" s="31">
        <v>43071</v>
      </c>
      <c r="I119" s="62" t="s">
        <v>1172</v>
      </c>
      <c r="L119" s="195"/>
      <c r="M119" s="195"/>
      <c r="N119" s="195"/>
    </row>
    <row r="120" spans="1:14" x14ac:dyDescent="0.25">
      <c r="A120" s="808" t="s">
        <v>1387</v>
      </c>
      <c r="B120" s="689" t="s">
        <v>1656</v>
      </c>
      <c r="C120" s="678">
        <v>43068</v>
      </c>
      <c r="D120" s="270">
        <f t="shared" si="2"/>
        <v>5156</v>
      </c>
      <c r="E120" s="261">
        <v>1832.3</v>
      </c>
      <c r="F120" s="29">
        <v>68</v>
      </c>
      <c r="G120" s="39">
        <f t="shared" si="3"/>
        <v>124596.4</v>
      </c>
      <c r="H120" s="31">
        <v>43071</v>
      </c>
      <c r="I120" s="62" t="s">
        <v>1172</v>
      </c>
      <c r="M120" s="195"/>
      <c r="N120" s="195"/>
    </row>
    <row r="121" spans="1:14" ht="30" x14ac:dyDescent="0.25">
      <c r="A121" s="808" t="s">
        <v>1171</v>
      </c>
      <c r="B121" s="188" t="s">
        <v>206</v>
      </c>
      <c r="C121" s="269">
        <v>43069</v>
      </c>
      <c r="D121" s="270">
        <f t="shared" si="2"/>
        <v>5157</v>
      </c>
      <c r="E121" s="261">
        <v>1345.2</v>
      </c>
      <c r="F121" s="29">
        <v>68</v>
      </c>
      <c r="G121" s="39">
        <f t="shared" si="3"/>
        <v>91473.600000000006</v>
      </c>
      <c r="H121" s="718" t="s">
        <v>1668</v>
      </c>
      <c r="I121" s="62" t="s">
        <v>1172</v>
      </c>
      <c r="J121" s="867"/>
      <c r="L121" s="195"/>
      <c r="M121" s="195"/>
      <c r="N121" s="195"/>
    </row>
    <row r="122" spans="1:14" x14ac:dyDescent="0.25">
      <c r="A122" s="808"/>
      <c r="B122" s="188"/>
      <c r="C122" s="269"/>
      <c r="D122" s="270"/>
      <c r="G122" s="39"/>
      <c r="H122" s="31"/>
      <c r="L122" s="195"/>
      <c r="M122" s="195"/>
      <c r="N122" s="195"/>
    </row>
    <row r="123" spans="1:14" x14ac:dyDescent="0.25">
      <c r="A123" s="808"/>
      <c r="B123" s="188"/>
      <c r="C123" s="269"/>
      <c r="D123" s="270"/>
      <c r="G123" s="39"/>
      <c r="H123" s="31"/>
      <c r="L123" s="195"/>
      <c r="M123" s="195"/>
      <c r="N123" s="195"/>
    </row>
    <row r="124" spans="1:14" x14ac:dyDescent="0.25">
      <c r="A124" s="808"/>
      <c r="B124" s="188"/>
      <c r="C124" s="269"/>
      <c r="D124" s="270"/>
      <c r="G124" s="39"/>
      <c r="H124" s="31"/>
      <c r="L124" s="195"/>
      <c r="M124" s="195"/>
      <c r="N124" s="195"/>
    </row>
    <row r="125" spans="1:14" ht="15.75" thickBot="1" x14ac:dyDescent="0.3">
      <c r="A125" s="808"/>
      <c r="B125" s="689"/>
      <c r="C125" s="678"/>
      <c r="D125" s="270"/>
      <c r="G125" s="39"/>
      <c r="H125" s="31"/>
      <c r="L125" s="195"/>
      <c r="M125" s="195"/>
      <c r="N125" s="195"/>
    </row>
    <row r="126" spans="1:14" ht="19.5" thickBot="1" x14ac:dyDescent="0.35">
      <c r="A126" s="862"/>
      <c r="B126" s="188"/>
      <c r="C126" s="31"/>
      <c r="D126" s="314"/>
      <c r="E126" s="891" t="s">
        <v>30</v>
      </c>
      <c r="F126" s="892"/>
      <c r="G126" s="214">
        <f>SUM(G20:G125)</f>
        <v>3545543.5200000005</v>
      </c>
      <c r="H126" s="315"/>
    </row>
    <row r="127" spans="1:14" x14ac:dyDescent="0.25">
      <c r="A127" s="862"/>
      <c r="B127" s="188"/>
      <c r="C127" s="31"/>
      <c r="D127" s="314"/>
      <c r="E127" s="311"/>
      <c r="F127" s="316"/>
      <c r="G127" s="39"/>
      <c r="H127" s="315"/>
    </row>
    <row r="128" spans="1:14" x14ac:dyDescent="0.25">
      <c r="A128" s="862"/>
      <c r="B128" s="188"/>
      <c r="C128" s="31"/>
      <c r="D128" s="314"/>
      <c r="E128" s="311"/>
      <c r="F128" s="316"/>
      <c r="G128" s="39"/>
      <c r="H128" s="315"/>
    </row>
    <row r="129" spans="1:11" x14ac:dyDescent="0.25">
      <c r="A129" s="862"/>
      <c r="B129" s="188"/>
      <c r="C129" s="31"/>
      <c r="D129" s="314"/>
      <c r="E129" s="311"/>
      <c r="F129" s="316"/>
      <c r="G129" s="39"/>
      <c r="H129" s="315"/>
    </row>
    <row r="130" spans="1:11" ht="18.75" x14ac:dyDescent="0.25">
      <c r="A130" s="862"/>
      <c r="B130" s="188"/>
      <c r="C130" s="31"/>
      <c r="D130" s="317"/>
      <c r="E130" s="318"/>
      <c r="F130" s="319"/>
      <c r="G130" s="320"/>
      <c r="H130" s="315"/>
    </row>
    <row r="131" spans="1:11" ht="18.75" x14ac:dyDescent="0.25">
      <c r="A131" s="862"/>
      <c r="B131" s="188"/>
      <c r="C131" s="31"/>
      <c r="D131" s="317"/>
      <c r="E131" s="318"/>
      <c r="F131" s="319"/>
      <c r="G131" s="320"/>
      <c r="H131" s="315"/>
    </row>
    <row r="132" spans="1:11" x14ac:dyDescent="0.25">
      <c r="A132" s="862"/>
      <c r="B132" s="188"/>
      <c r="C132" s="31"/>
      <c r="D132" s="317"/>
      <c r="E132" s="321"/>
      <c r="F132" s="322"/>
      <c r="G132" s="323"/>
      <c r="H132" s="315"/>
      <c r="K132"/>
    </row>
    <row r="133" spans="1:11" x14ac:dyDescent="0.25">
      <c r="A133" s="862"/>
      <c r="B133" s="188"/>
      <c r="C133" s="31"/>
      <c r="D133" s="317"/>
      <c r="E133" s="321"/>
      <c r="F133" s="322"/>
      <c r="G133" s="323"/>
      <c r="H133" s="315"/>
      <c r="K133"/>
    </row>
    <row r="134" spans="1:11" x14ac:dyDescent="0.25">
      <c r="A134" s="862"/>
      <c r="B134" s="188"/>
      <c r="C134" s="31"/>
      <c r="D134" s="317"/>
      <c r="E134" s="321"/>
      <c r="F134" s="322"/>
      <c r="G134" s="323"/>
      <c r="H134" s="315"/>
      <c r="K134"/>
    </row>
    <row r="135" spans="1:11" x14ac:dyDescent="0.25">
      <c r="A135" s="862"/>
      <c r="B135" s="188"/>
      <c r="C135" s="31"/>
      <c r="D135" s="317"/>
      <c r="E135" s="321"/>
      <c r="F135" s="322"/>
      <c r="G135" s="323"/>
      <c r="H135" s="315"/>
      <c r="K135"/>
    </row>
    <row r="136" spans="1:11" x14ac:dyDescent="0.25">
      <c r="A136" s="862"/>
      <c r="B136" s="188"/>
      <c r="C136" s="31"/>
      <c r="D136" s="317"/>
      <c r="E136" s="321"/>
      <c r="F136" s="322"/>
      <c r="G136" s="323"/>
      <c r="H136" s="315"/>
      <c r="K136"/>
    </row>
    <row r="137" spans="1:11" x14ac:dyDescent="0.25">
      <c r="A137" s="862"/>
      <c r="B137" s="188"/>
      <c r="C137" s="31"/>
      <c r="D137" s="317"/>
      <c r="E137" s="321"/>
      <c r="F137" s="322"/>
      <c r="G137" s="323"/>
      <c r="H137" s="315"/>
      <c r="K137"/>
    </row>
    <row r="138" spans="1:11" x14ac:dyDescent="0.25">
      <c r="A138" s="862"/>
      <c r="B138" s="188"/>
      <c r="C138" s="31"/>
      <c r="D138" s="317"/>
      <c r="E138" s="321"/>
      <c r="F138" s="322"/>
      <c r="G138" s="323"/>
      <c r="H138" s="315"/>
      <c r="K138"/>
    </row>
    <row r="139" spans="1:11" x14ac:dyDescent="0.25">
      <c r="A139" s="862"/>
      <c r="B139" s="324"/>
      <c r="C139" s="31"/>
      <c r="D139" s="260"/>
      <c r="E139" s="325"/>
      <c r="F139" s="326"/>
      <c r="G139" s="39"/>
      <c r="H139" s="315"/>
      <c r="K139"/>
    </row>
    <row r="140" spans="1:11" x14ac:dyDescent="0.25">
      <c r="A140" s="862"/>
      <c r="B140" s="324"/>
      <c r="C140" s="31"/>
      <c r="D140" s="260"/>
      <c r="E140" s="325"/>
      <c r="F140" s="326"/>
      <c r="G140" s="39"/>
      <c r="H140" s="315"/>
      <c r="K140"/>
    </row>
    <row r="141" spans="1:11" x14ac:dyDescent="0.25">
      <c r="A141" s="862"/>
      <c r="B141" s="324"/>
      <c r="C141" s="31"/>
      <c r="D141" s="260"/>
      <c r="E141" s="325"/>
      <c r="F141" s="326"/>
      <c r="G141" s="39"/>
      <c r="H141" s="315"/>
      <c r="K141"/>
    </row>
    <row r="142" spans="1:11" x14ac:dyDescent="0.25">
      <c r="A142" s="862"/>
      <c r="B142" s="324"/>
      <c r="C142" s="31"/>
      <c r="D142" s="260"/>
      <c r="E142" s="325"/>
      <c r="F142" s="326"/>
      <c r="G142" s="39"/>
      <c r="H142" s="315"/>
      <c r="K142"/>
    </row>
    <row r="143" spans="1:11" x14ac:dyDescent="0.25">
      <c r="A143" s="862"/>
      <c r="B143" s="324"/>
      <c r="C143" s="31"/>
      <c r="D143" s="260"/>
      <c r="E143" s="325"/>
      <c r="F143" s="326"/>
      <c r="G143" s="39"/>
      <c r="H143" s="315"/>
      <c r="K143"/>
    </row>
    <row r="144" spans="1:11" x14ac:dyDescent="0.25">
      <c r="A144" s="862"/>
      <c r="B144" s="324"/>
      <c r="C144" s="31"/>
      <c r="D144" s="260"/>
      <c r="E144" s="325"/>
      <c r="F144" s="326"/>
      <c r="G144" s="39"/>
      <c r="H144" s="315"/>
      <c r="K144"/>
    </row>
    <row r="145" spans="1:11" x14ac:dyDescent="0.25">
      <c r="A145" s="862"/>
      <c r="B145" s="324"/>
      <c r="C145" s="31"/>
      <c r="D145" s="260"/>
      <c r="E145" s="325"/>
      <c r="F145" s="326"/>
      <c r="G145" s="39"/>
      <c r="H145" s="315"/>
      <c r="K145"/>
    </row>
    <row r="146" spans="1:11" x14ac:dyDescent="0.25">
      <c r="A146" s="862"/>
      <c r="B146" s="324"/>
      <c r="C146" s="31"/>
      <c r="D146" s="260"/>
      <c r="E146" s="325"/>
      <c r="F146" s="326"/>
      <c r="G146" s="39"/>
      <c r="H146" s="315"/>
      <c r="K146"/>
    </row>
    <row r="147" spans="1:11" x14ac:dyDescent="0.25">
      <c r="A147" s="862"/>
      <c r="B147" s="324"/>
      <c r="C147" s="31"/>
      <c r="D147" s="260"/>
      <c r="E147" s="325"/>
      <c r="F147" s="326"/>
      <c r="G147" s="39"/>
      <c r="H147" s="315"/>
      <c r="K147"/>
    </row>
    <row r="148" spans="1:11" x14ac:dyDescent="0.25">
      <c r="A148" s="862"/>
      <c r="B148" s="324"/>
      <c r="C148" s="31"/>
      <c r="D148" s="260"/>
      <c r="E148" s="325"/>
      <c r="F148" s="326"/>
      <c r="G148" s="39"/>
      <c r="H148" s="315"/>
      <c r="K148"/>
    </row>
    <row r="149" spans="1:11" x14ac:dyDescent="0.25">
      <c r="A149" s="862"/>
      <c r="B149" s="324"/>
      <c r="C149" s="31"/>
      <c r="D149" s="260"/>
      <c r="E149" s="327"/>
      <c r="F149" s="328"/>
      <c r="G149" s="39"/>
      <c r="H149" s="315"/>
      <c r="K149"/>
    </row>
    <row r="150" spans="1:11" x14ac:dyDescent="0.25">
      <c r="A150" s="687"/>
      <c r="B150" s="324"/>
      <c r="C150" s="329"/>
      <c r="D150" s="260"/>
      <c r="E150" s="327"/>
      <c r="F150" s="328"/>
      <c r="G150" s="39"/>
      <c r="H150" s="315"/>
      <c r="K150"/>
    </row>
    <row r="151" spans="1:11" x14ac:dyDescent="0.25">
      <c r="B151" s="324"/>
      <c r="C151" s="329"/>
      <c r="D151" s="260"/>
      <c r="E151" s="327"/>
      <c r="F151" s="328"/>
      <c r="G151" s="39"/>
      <c r="H151" s="315"/>
      <c r="K151"/>
    </row>
    <row r="152" spans="1:11" x14ac:dyDescent="0.25">
      <c r="B152" s="324"/>
      <c r="C152" s="329"/>
      <c r="D152" s="260"/>
      <c r="E152" s="327"/>
      <c r="F152" s="328"/>
      <c r="G152" s="39"/>
      <c r="H152" s="315"/>
      <c r="K152"/>
    </row>
    <row r="153" spans="1:11" x14ac:dyDescent="0.25">
      <c r="B153" s="324"/>
      <c r="C153" s="329"/>
      <c r="D153" s="260"/>
      <c r="E153" s="327"/>
      <c r="F153" s="328"/>
      <c r="G153" s="39"/>
      <c r="H153" s="315"/>
      <c r="K153"/>
    </row>
    <row r="154" spans="1:11" x14ac:dyDescent="0.25">
      <c r="B154" s="324"/>
      <c r="C154" s="329"/>
      <c r="D154" s="260"/>
      <c r="E154" s="327"/>
      <c r="F154" s="328"/>
      <c r="G154" s="39"/>
      <c r="H154" s="315"/>
      <c r="K154"/>
    </row>
    <row r="155" spans="1:11" x14ac:dyDescent="0.25">
      <c r="A155" s="808"/>
      <c r="B155" s="324"/>
      <c r="C155" s="329"/>
      <c r="D155" s="260"/>
      <c r="E155" s="327"/>
      <c r="F155" s="328"/>
      <c r="G155" s="27"/>
      <c r="H155" s="315"/>
      <c r="K155"/>
    </row>
    <row r="156" spans="1:11" x14ac:dyDescent="0.25">
      <c r="B156" s="324"/>
      <c r="C156" s="329"/>
      <c r="D156" s="260"/>
      <c r="E156" s="327"/>
      <c r="F156" s="328"/>
      <c r="G156" s="330"/>
      <c r="H156" s="315"/>
      <c r="K156"/>
    </row>
    <row r="157" spans="1:11" x14ac:dyDescent="0.25">
      <c r="B157" s="188"/>
      <c r="C157" s="329"/>
      <c r="D157" s="331"/>
      <c r="E157" s="311"/>
      <c r="F157" s="316"/>
      <c r="G157" s="330"/>
      <c r="H157" s="315"/>
      <c r="K157"/>
    </row>
    <row r="158" spans="1:11" x14ac:dyDescent="0.25">
      <c r="B158" s="188"/>
      <c r="C158" s="329"/>
      <c r="D158" s="331"/>
      <c r="E158" s="311"/>
      <c r="F158" s="316"/>
      <c r="G158" s="330"/>
      <c r="H158" s="315"/>
      <c r="K158"/>
    </row>
    <row r="159" spans="1:11" x14ac:dyDescent="0.25">
      <c r="B159" s="188"/>
      <c r="C159" s="329"/>
      <c r="D159" s="331"/>
      <c r="E159" s="311"/>
      <c r="F159" s="316"/>
      <c r="G159" s="330"/>
      <c r="H159" s="315"/>
      <c r="K159"/>
    </row>
    <row r="160" spans="1:11" x14ac:dyDescent="0.25">
      <c r="B160" s="188"/>
      <c r="C160" s="329"/>
      <c r="D160" s="331"/>
      <c r="E160" s="311"/>
      <c r="F160" s="316"/>
      <c r="G160" s="330"/>
      <c r="H160" s="315"/>
      <c r="K160"/>
    </row>
    <row r="161" spans="2:11" x14ac:dyDescent="0.25">
      <c r="B161" s="188"/>
      <c r="C161" s="329"/>
      <c r="D161" s="331"/>
      <c r="E161" s="311"/>
      <c r="F161" s="316"/>
      <c r="G161" s="330"/>
      <c r="H161" s="315"/>
      <c r="K161"/>
    </row>
    <row r="162" spans="2:11" x14ac:dyDescent="0.25">
      <c r="B162" s="188"/>
      <c r="C162" s="329"/>
      <c r="D162" s="331"/>
      <c r="E162" s="311"/>
      <c r="F162" s="316"/>
      <c r="G162" s="330"/>
      <c r="H162" s="315"/>
      <c r="K162"/>
    </row>
    <row r="163" spans="2:11" x14ac:dyDescent="0.25">
      <c r="B163" s="188"/>
      <c r="C163" s="329"/>
      <c r="D163" s="331"/>
      <c r="E163" s="311"/>
      <c r="F163" s="316"/>
      <c r="G163" s="330"/>
      <c r="H163" s="315"/>
      <c r="K163"/>
    </row>
  </sheetData>
  <mergeCells count="2">
    <mergeCell ref="A1:G1"/>
    <mergeCell ref="E126:F12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GZ114"/>
  <sheetViews>
    <sheetView topLeftCell="J1" workbookViewId="0">
      <pane xSplit="4" ySplit="3" topLeftCell="W23" activePane="bottomRight" state="frozen"/>
      <selection activeCell="J1" sqref="J1"/>
      <selection pane="topRight" activeCell="N1" sqref="N1"/>
      <selection pane="bottomLeft" activeCell="J4" sqref="J4"/>
      <selection pane="bottomRight" activeCell="GX58" sqref="GX5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183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207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1024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/>
      <c r="GV1" s="655" t="s">
        <v>1163</v>
      </c>
      <c r="GW1" s="13"/>
      <c r="GX1" s="13"/>
      <c r="GY1" s="14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644"/>
      <c r="GU2" s="347"/>
      <c r="GV2" s="654"/>
      <c r="GW2" s="31"/>
      <c r="GX2" s="31"/>
      <c r="GY2" s="32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39" t="s">
        <v>16</v>
      </c>
      <c r="L3" s="540" t="s">
        <v>17</v>
      </c>
      <c r="M3" s="541" t="s">
        <v>18</v>
      </c>
      <c r="N3" s="542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54"/>
      <c r="GZ3" s="55"/>
    </row>
    <row r="4" spans="1:208" ht="15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104</v>
      </c>
      <c r="K4" s="449" t="s">
        <v>155</v>
      </c>
      <c r="L4" s="538">
        <v>12290</v>
      </c>
      <c r="M4" s="102">
        <v>43070</v>
      </c>
      <c r="N4" s="103" t="s">
        <v>720</v>
      </c>
      <c r="O4" s="351">
        <v>16295</v>
      </c>
      <c r="P4" s="60">
        <f t="shared" ref="P4:P74" si="0">O4-L4</f>
        <v>4005</v>
      </c>
      <c r="Q4" s="333">
        <v>26.5</v>
      </c>
      <c r="R4" s="567"/>
      <c r="S4" s="567"/>
      <c r="T4" s="39">
        <f>Q4*O4</f>
        <v>431817.5</v>
      </c>
      <c r="U4" s="61" t="s">
        <v>72</v>
      </c>
      <c r="V4" s="62">
        <v>43090</v>
      </c>
      <c r="W4" s="63">
        <v>9802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508">
        <v>43090</v>
      </c>
      <c r="GU4" s="29"/>
      <c r="GV4" s="638">
        <v>17584</v>
      </c>
      <c r="GW4" s="31" t="s">
        <v>1052</v>
      </c>
      <c r="GX4" s="31"/>
      <c r="GY4" s="387" t="s">
        <v>1167</v>
      </c>
      <c r="GZ4" s="33">
        <v>2088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44</v>
      </c>
      <c r="K5" s="407" t="s">
        <v>37</v>
      </c>
      <c r="L5" s="77">
        <v>18170</v>
      </c>
      <c r="M5" s="71">
        <v>43070</v>
      </c>
      <c r="N5" s="56" t="s">
        <v>1088</v>
      </c>
      <c r="O5" s="27">
        <v>22280</v>
      </c>
      <c r="P5" s="60">
        <f t="shared" si="0"/>
        <v>4110</v>
      </c>
      <c r="Q5" s="29">
        <v>26.5</v>
      </c>
      <c r="R5" s="57"/>
      <c r="S5" s="57"/>
      <c r="T5" s="39">
        <f>Q5*O5</f>
        <v>590420</v>
      </c>
      <c r="U5" s="336" t="s">
        <v>72</v>
      </c>
      <c r="V5" s="166">
        <v>43089</v>
      </c>
      <c r="W5" s="86">
        <v>15080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43089</v>
      </c>
      <c r="GU5" s="64"/>
      <c r="GV5" s="637">
        <v>22176</v>
      </c>
      <c r="GW5" s="66" t="s">
        <v>1053</v>
      </c>
      <c r="GX5" s="66"/>
      <c r="GY5" s="389" t="s">
        <v>1167</v>
      </c>
      <c r="GZ5" s="67">
        <v>3480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1026</v>
      </c>
      <c r="K6" s="407" t="s">
        <v>105</v>
      </c>
      <c r="L6" s="77">
        <v>23384.400000000001</v>
      </c>
      <c r="M6" s="71">
        <v>43072</v>
      </c>
      <c r="N6" s="56" t="s">
        <v>1089</v>
      </c>
      <c r="O6" s="27">
        <v>29795</v>
      </c>
      <c r="P6" s="60">
        <f t="shared" si="0"/>
        <v>6410.5999999999985</v>
      </c>
      <c r="Q6" s="29">
        <v>27</v>
      </c>
      <c r="R6" s="57"/>
      <c r="S6" s="57"/>
      <c r="T6" s="39">
        <f t="shared" ref="T6:T76" si="1">Q6*O6</f>
        <v>804465</v>
      </c>
      <c r="U6" s="336" t="s">
        <v>72</v>
      </c>
      <c r="V6" s="166">
        <v>43090</v>
      </c>
      <c r="W6" s="86">
        <v>18699.2</v>
      </c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>
        <v>43089</v>
      </c>
      <c r="GU6" s="64"/>
      <c r="GV6" s="642">
        <v>27776</v>
      </c>
      <c r="GW6" s="66" t="s">
        <v>1056</v>
      </c>
      <c r="GX6" s="66" t="s">
        <v>1057</v>
      </c>
      <c r="GY6" s="389" t="s">
        <v>1167</v>
      </c>
      <c r="GZ6" s="67">
        <v>3944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1027</v>
      </c>
      <c r="K7" s="407" t="s">
        <v>37</v>
      </c>
      <c r="L7" s="70">
        <v>19110</v>
      </c>
      <c r="M7" s="71">
        <v>43072</v>
      </c>
      <c r="N7" s="56" t="s">
        <v>1092</v>
      </c>
      <c r="O7" s="72">
        <v>23385</v>
      </c>
      <c r="P7" s="60">
        <f t="shared" si="0"/>
        <v>4275</v>
      </c>
      <c r="Q7" s="64">
        <v>27</v>
      </c>
      <c r="R7" s="57"/>
      <c r="S7" s="57"/>
      <c r="T7" s="39">
        <f t="shared" si="1"/>
        <v>631395</v>
      </c>
      <c r="U7" s="82" t="s">
        <v>72</v>
      </c>
      <c r="V7" s="339">
        <v>43091</v>
      </c>
      <c r="W7" s="340">
        <v>15080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43091</v>
      </c>
      <c r="GU7" s="73"/>
      <c r="GV7" s="637"/>
      <c r="GW7" s="74"/>
      <c r="GX7" s="74"/>
      <c r="GY7" s="391" t="s">
        <v>1167</v>
      </c>
      <c r="GZ7" s="429">
        <v>3712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1091</v>
      </c>
      <c r="K8" s="407" t="s">
        <v>46</v>
      </c>
      <c r="L8" s="77">
        <v>11660</v>
      </c>
      <c r="M8" s="71">
        <v>43073</v>
      </c>
      <c r="N8" s="56" t="s">
        <v>1090</v>
      </c>
      <c r="O8" s="78">
        <v>12060</v>
      </c>
      <c r="P8" s="60">
        <f t="shared" si="0"/>
        <v>400</v>
      </c>
      <c r="Q8" s="79">
        <v>27</v>
      </c>
      <c r="R8" s="80"/>
      <c r="S8" s="81"/>
      <c r="T8" s="39">
        <f t="shared" si="1"/>
        <v>325620</v>
      </c>
      <c r="U8" s="82" t="s">
        <v>72</v>
      </c>
      <c r="V8" s="339">
        <v>43091</v>
      </c>
      <c r="W8" s="340">
        <v>7540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515">
        <v>43091</v>
      </c>
      <c r="GU8" s="73"/>
      <c r="GV8" s="639">
        <v>17584</v>
      </c>
      <c r="GW8" s="74" t="s">
        <v>1059</v>
      </c>
      <c r="GX8" s="74"/>
      <c r="GY8" s="391" t="s">
        <v>1167</v>
      </c>
      <c r="GZ8" s="67">
        <v>2088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905</v>
      </c>
      <c r="K9" s="385" t="s">
        <v>149</v>
      </c>
      <c r="L9" s="77">
        <v>18480</v>
      </c>
      <c r="M9" s="71">
        <v>43073</v>
      </c>
      <c r="N9" s="56" t="s">
        <v>1103</v>
      </c>
      <c r="O9" s="78">
        <v>25835</v>
      </c>
      <c r="P9" s="60">
        <f t="shared" si="0"/>
        <v>7355</v>
      </c>
      <c r="Q9" s="79">
        <v>27</v>
      </c>
      <c r="R9" s="64"/>
      <c r="S9" s="89"/>
      <c r="T9" s="39">
        <f t="shared" si="1"/>
        <v>697545</v>
      </c>
      <c r="U9" s="90" t="s">
        <v>72</v>
      </c>
      <c r="V9" s="83">
        <v>43095</v>
      </c>
      <c r="W9" s="91">
        <v>17342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645">
        <v>43095</v>
      </c>
      <c r="GU9" s="98"/>
      <c r="GV9" s="637">
        <v>22176</v>
      </c>
      <c r="GW9" s="74" t="s">
        <v>1058</v>
      </c>
      <c r="GX9" s="74"/>
      <c r="GY9" s="391" t="s">
        <v>1167</v>
      </c>
      <c r="GZ9" s="67">
        <v>3712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1028</v>
      </c>
      <c r="K10" s="560" t="s">
        <v>59</v>
      </c>
      <c r="L10" s="77">
        <v>19320</v>
      </c>
      <c r="M10" s="71">
        <v>43074</v>
      </c>
      <c r="N10" s="56" t="s">
        <v>1104</v>
      </c>
      <c r="O10" s="78">
        <v>26990</v>
      </c>
      <c r="P10" s="60">
        <f t="shared" si="0"/>
        <v>7670</v>
      </c>
      <c r="Q10" s="79">
        <v>27</v>
      </c>
      <c r="R10" s="64"/>
      <c r="S10" s="89"/>
      <c r="T10" s="39">
        <f t="shared" si="1"/>
        <v>728730</v>
      </c>
      <c r="U10" s="90" t="s">
        <v>72</v>
      </c>
      <c r="V10" s="83">
        <v>43095</v>
      </c>
      <c r="W10" s="91">
        <v>17342</v>
      </c>
      <c r="X10" s="17"/>
      <c r="Y10" s="20"/>
      <c r="Z10" s="92"/>
      <c r="AA10" s="93"/>
      <c r="AB10" s="92"/>
      <c r="AC10" s="94"/>
      <c r="AD10" s="95"/>
      <c r="AE10" s="17"/>
      <c r="AF10" s="17"/>
      <c r="AG10" s="17"/>
      <c r="AH10" s="20"/>
      <c r="AI10" s="92"/>
      <c r="AJ10" s="93"/>
      <c r="AK10" s="92"/>
      <c r="AL10" s="94"/>
      <c r="AM10" s="95"/>
      <c r="AN10" s="17"/>
      <c r="AO10" s="17"/>
      <c r="AP10" s="17"/>
      <c r="AQ10" s="20"/>
      <c r="AR10" s="92"/>
      <c r="AS10" s="93"/>
      <c r="AT10" s="92"/>
      <c r="AU10" s="94"/>
      <c r="AV10" s="95"/>
      <c r="AW10" s="17"/>
      <c r="AX10" s="17"/>
      <c r="AY10" s="17"/>
      <c r="AZ10" s="20"/>
      <c r="BA10" s="92"/>
      <c r="BB10" s="93"/>
      <c r="BC10" s="92"/>
      <c r="BD10" s="94"/>
      <c r="BE10" s="95"/>
      <c r="BF10" s="17"/>
      <c r="BG10" s="17"/>
      <c r="BH10" s="17"/>
      <c r="BI10" s="20"/>
      <c r="BJ10" s="92"/>
      <c r="BK10" s="93"/>
      <c r="BL10" s="92"/>
      <c r="BM10" s="94"/>
      <c r="BN10" s="95"/>
      <c r="BO10" s="17"/>
      <c r="BP10" s="17"/>
      <c r="BQ10" s="17"/>
      <c r="BR10" s="20"/>
      <c r="BS10" s="92"/>
      <c r="BT10" s="93"/>
      <c r="BU10" s="92"/>
      <c r="BV10" s="94"/>
      <c r="BW10" s="95"/>
      <c r="BX10" s="17"/>
      <c r="BY10" s="17"/>
      <c r="BZ10" s="17"/>
      <c r="CA10" s="20"/>
      <c r="CB10" s="92"/>
      <c r="CC10" s="93"/>
      <c r="CD10" s="92"/>
      <c r="CE10" s="94"/>
      <c r="CF10" s="95"/>
      <c r="CG10" s="17"/>
      <c r="CH10" s="17"/>
      <c r="CI10" s="17"/>
      <c r="CJ10" s="20"/>
      <c r="CK10" s="92"/>
      <c r="CL10" s="93"/>
      <c r="CM10" s="92"/>
      <c r="CN10" s="94"/>
      <c r="CO10" s="95"/>
      <c r="CP10" s="17"/>
      <c r="CQ10" s="17"/>
      <c r="CR10" s="17"/>
      <c r="CS10" s="20"/>
      <c r="CT10" s="92"/>
      <c r="CU10" s="93"/>
      <c r="CV10" s="96"/>
      <c r="CW10" s="94"/>
      <c r="CX10" s="95"/>
      <c r="CY10" s="17"/>
      <c r="CZ10" s="17"/>
      <c r="DA10" s="17"/>
      <c r="DB10" s="20"/>
      <c r="DC10" s="92"/>
      <c r="DD10" s="93"/>
      <c r="DE10" s="92"/>
      <c r="DF10" s="94"/>
      <c r="DG10" s="95"/>
      <c r="DH10" s="17"/>
      <c r="DI10" s="17"/>
      <c r="DJ10" s="17"/>
      <c r="DK10" s="20"/>
      <c r="DL10" s="92"/>
      <c r="DM10" s="93"/>
      <c r="DN10" s="92"/>
      <c r="DO10" s="94"/>
      <c r="DP10" s="95"/>
      <c r="DQ10" s="17"/>
      <c r="DR10" s="17"/>
      <c r="DS10" s="17"/>
      <c r="DT10" s="20"/>
      <c r="DU10" s="92"/>
      <c r="DV10" s="93"/>
      <c r="DW10" s="92"/>
      <c r="DX10" s="94"/>
      <c r="DY10" s="95"/>
      <c r="DZ10" s="17"/>
      <c r="EA10" s="17"/>
      <c r="EB10" s="17"/>
      <c r="EC10" s="20"/>
      <c r="ED10" s="92"/>
      <c r="EE10" s="93"/>
      <c r="EF10" s="92"/>
      <c r="EG10" s="94"/>
      <c r="EH10" s="95"/>
      <c r="EI10" s="17"/>
      <c r="EJ10" s="17"/>
      <c r="EK10" s="17"/>
      <c r="EL10" s="20"/>
      <c r="EM10" s="92"/>
      <c r="EN10" s="93"/>
      <c r="EO10" s="92"/>
      <c r="EP10" s="94"/>
      <c r="EQ10" s="95"/>
      <c r="ER10" s="17"/>
      <c r="ES10" s="17"/>
      <c r="ET10" s="17"/>
      <c r="EU10" s="20"/>
      <c r="EV10" s="92"/>
      <c r="EW10" s="93"/>
      <c r="EX10" s="92"/>
      <c r="EY10" s="94"/>
      <c r="EZ10" s="95"/>
      <c r="FA10" s="17"/>
      <c r="FB10" s="17"/>
      <c r="FC10" s="17"/>
      <c r="FD10" s="20"/>
      <c r="FE10" s="92"/>
      <c r="FF10" s="93"/>
      <c r="FG10" s="92"/>
      <c r="FH10" s="94"/>
      <c r="FI10" s="95"/>
      <c r="FJ10" s="17"/>
      <c r="FK10" s="17"/>
      <c r="FL10" s="17"/>
      <c r="FM10" s="20"/>
      <c r="FN10" s="92"/>
      <c r="FO10" s="93"/>
      <c r="FP10" s="92"/>
      <c r="FQ10" s="94"/>
      <c r="FR10" s="95"/>
      <c r="FS10" s="17"/>
      <c r="FT10" s="17"/>
      <c r="FU10" s="17"/>
      <c r="FV10" s="20"/>
      <c r="FW10" s="92"/>
      <c r="FX10" s="93"/>
      <c r="FY10" s="92"/>
      <c r="FZ10" s="94"/>
      <c r="GA10" s="95"/>
      <c r="GB10" s="17"/>
      <c r="GC10" s="17"/>
      <c r="GD10" s="17"/>
      <c r="GE10" s="20"/>
      <c r="GF10" s="92"/>
      <c r="GG10" s="93"/>
      <c r="GH10" s="92"/>
      <c r="GI10" s="94"/>
      <c r="GJ10" s="95"/>
      <c r="GK10" s="17"/>
      <c r="GL10" s="17"/>
      <c r="GM10" s="17"/>
      <c r="GN10" s="20"/>
      <c r="GO10" s="92"/>
      <c r="GP10" s="93"/>
      <c r="GQ10" s="92"/>
      <c r="GR10" s="94"/>
      <c r="GS10" s="95"/>
      <c r="GT10" s="645">
        <v>43095</v>
      </c>
      <c r="GU10" s="98"/>
      <c r="GV10" s="637"/>
      <c r="GW10" s="74"/>
      <c r="GX10" s="74"/>
      <c r="GY10" s="391" t="s">
        <v>1167</v>
      </c>
      <c r="GZ10" s="67">
        <v>3712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1029</v>
      </c>
      <c r="K11" s="385" t="s">
        <v>46</v>
      </c>
      <c r="L11" s="70">
        <v>11640</v>
      </c>
      <c r="M11" s="71">
        <v>43074</v>
      </c>
      <c r="N11" s="56" t="s">
        <v>1105</v>
      </c>
      <c r="O11" s="72">
        <v>11970</v>
      </c>
      <c r="P11" s="60">
        <f t="shared" si="0"/>
        <v>330</v>
      </c>
      <c r="Q11" s="64">
        <v>27</v>
      </c>
      <c r="R11" s="64"/>
      <c r="S11" s="99"/>
      <c r="T11" s="39">
        <f t="shared" si="1"/>
        <v>323190</v>
      </c>
      <c r="U11" s="90" t="s">
        <v>72</v>
      </c>
      <c r="V11" s="83">
        <v>43095</v>
      </c>
      <c r="W11" s="91">
        <v>7540</v>
      </c>
      <c r="X11" s="17"/>
      <c r="Y11" s="20"/>
      <c r="Z11" s="92"/>
      <c r="AA11" s="93"/>
      <c r="AB11" s="92"/>
      <c r="AC11" s="94"/>
      <c r="AD11" s="95"/>
      <c r="AE11" s="17"/>
      <c r="AF11" s="17"/>
      <c r="AG11" s="17"/>
      <c r="AH11" s="20"/>
      <c r="AI11" s="92"/>
      <c r="AJ11" s="93"/>
      <c r="AK11" s="92"/>
      <c r="AL11" s="94"/>
      <c r="AM11" s="95"/>
      <c r="AN11" s="17"/>
      <c r="AO11" s="17"/>
      <c r="AP11" s="17"/>
      <c r="AQ11" s="20"/>
      <c r="AR11" s="92"/>
      <c r="AS11" s="93"/>
      <c r="AT11" s="92"/>
      <c r="AU11" s="94"/>
      <c r="AV11" s="95"/>
      <c r="AW11" s="17"/>
      <c r="AX11" s="17"/>
      <c r="AY11" s="17"/>
      <c r="AZ11" s="20"/>
      <c r="BA11" s="92"/>
      <c r="BB11" s="93"/>
      <c r="BC11" s="92"/>
      <c r="BD11" s="94"/>
      <c r="BE11" s="95"/>
      <c r="BF11" s="17"/>
      <c r="BG11" s="17"/>
      <c r="BH11" s="17"/>
      <c r="BI11" s="20"/>
      <c r="BJ11" s="92"/>
      <c r="BK11" s="93"/>
      <c r="BL11" s="92"/>
      <c r="BM11" s="94"/>
      <c r="BN11" s="95"/>
      <c r="BO11" s="17"/>
      <c r="BP11" s="17"/>
      <c r="BQ11" s="17"/>
      <c r="BR11" s="20"/>
      <c r="BS11" s="92"/>
      <c r="BT11" s="93"/>
      <c r="BU11" s="92"/>
      <c r="BV11" s="94"/>
      <c r="BW11" s="95"/>
      <c r="BX11" s="17"/>
      <c r="BY11" s="17"/>
      <c r="BZ11" s="17"/>
      <c r="CA11" s="20"/>
      <c r="CB11" s="92"/>
      <c r="CC11" s="93"/>
      <c r="CD11" s="92"/>
      <c r="CE11" s="94"/>
      <c r="CF11" s="95"/>
      <c r="CG11" s="17"/>
      <c r="CH11" s="17"/>
      <c r="CI11" s="17"/>
      <c r="CJ11" s="20"/>
      <c r="CK11" s="92"/>
      <c r="CL11" s="93"/>
      <c r="CM11" s="92"/>
      <c r="CN11" s="94"/>
      <c r="CO11" s="95"/>
      <c r="CP11" s="17"/>
      <c r="CQ11" s="17"/>
      <c r="CR11" s="17"/>
      <c r="CS11" s="20"/>
      <c r="CT11" s="92"/>
      <c r="CU11" s="93"/>
      <c r="CV11" s="96"/>
      <c r="CW11" s="94"/>
      <c r="CX11" s="95"/>
      <c r="CY11" s="17"/>
      <c r="CZ11" s="17"/>
      <c r="DA11" s="17"/>
      <c r="DB11" s="20"/>
      <c r="DC11" s="92"/>
      <c r="DD11" s="93"/>
      <c r="DE11" s="92"/>
      <c r="DF11" s="94"/>
      <c r="DG11" s="95"/>
      <c r="DH11" s="17"/>
      <c r="DI11" s="17"/>
      <c r="DJ11" s="17"/>
      <c r="DK11" s="20"/>
      <c r="DL11" s="92"/>
      <c r="DM11" s="93"/>
      <c r="DN11" s="92"/>
      <c r="DO11" s="94"/>
      <c r="DP11" s="95"/>
      <c r="DQ11" s="17"/>
      <c r="DR11" s="17"/>
      <c r="DS11" s="17"/>
      <c r="DT11" s="20"/>
      <c r="DU11" s="92"/>
      <c r="DV11" s="93"/>
      <c r="DW11" s="92"/>
      <c r="DX11" s="94"/>
      <c r="DY11" s="95"/>
      <c r="DZ11" s="17"/>
      <c r="EA11" s="17"/>
      <c r="EB11" s="17"/>
      <c r="EC11" s="20"/>
      <c r="ED11" s="92"/>
      <c r="EE11" s="93"/>
      <c r="EF11" s="92"/>
      <c r="EG11" s="94"/>
      <c r="EH11" s="95"/>
      <c r="EI11" s="17"/>
      <c r="EJ11" s="17"/>
      <c r="EK11" s="17"/>
      <c r="EL11" s="20"/>
      <c r="EM11" s="92"/>
      <c r="EN11" s="93"/>
      <c r="EO11" s="92"/>
      <c r="EP11" s="94"/>
      <c r="EQ11" s="95"/>
      <c r="ER11" s="17"/>
      <c r="ES11" s="17"/>
      <c r="ET11" s="17"/>
      <c r="EU11" s="20"/>
      <c r="EV11" s="92"/>
      <c r="EW11" s="93"/>
      <c r="EX11" s="92"/>
      <c r="EY11" s="94"/>
      <c r="EZ11" s="95"/>
      <c r="FA11" s="17"/>
      <c r="FB11" s="17"/>
      <c r="FC11" s="17"/>
      <c r="FD11" s="20"/>
      <c r="FE11" s="92"/>
      <c r="FF11" s="93"/>
      <c r="FG11" s="92"/>
      <c r="FH11" s="94"/>
      <c r="FI11" s="95"/>
      <c r="FJ11" s="17"/>
      <c r="FK11" s="17"/>
      <c r="FL11" s="17"/>
      <c r="FM11" s="20"/>
      <c r="FN11" s="92"/>
      <c r="FO11" s="93"/>
      <c r="FP11" s="92"/>
      <c r="FQ11" s="94"/>
      <c r="FR11" s="95"/>
      <c r="FS11" s="17"/>
      <c r="FT11" s="17"/>
      <c r="FU11" s="17"/>
      <c r="FV11" s="20"/>
      <c r="FW11" s="92"/>
      <c r="FX11" s="93"/>
      <c r="FY11" s="92"/>
      <c r="FZ11" s="94"/>
      <c r="GA11" s="95"/>
      <c r="GB11" s="17"/>
      <c r="GC11" s="17"/>
      <c r="GD11" s="17"/>
      <c r="GE11" s="20"/>
      <c r="GF11" s="92"/>
      <c r="GG11" s="93"/>
      <c r="GH11" s="92"/>
      <c r="GI11" s="94"/>
      <c r="GJ11" s="95"/>
      <c r="GK11" s="17"/>
      <c r="GL11" s="17"/>
      <c r="GM11" s="17"/>
      <c r="GN11" s="20"/>
      <c r="GO11" s="92"/>
      <c r="GP11" s="93"/>
      <c r="GQ11" s="92"/>
      <c r="GR11" s="94"/>
      <c r="GS11" s="95"/>
      <c r="GT11" s="645">
        <v>43095</v>
      </c>
      <c r="GU11" s="98"/>
      <c r="GV11" s="637">
        <v>17584</v>
      </c>
      <c r="GW11" s="74" t="s">
        <v>1060</v>
      </c>
      <c r="GX11" s="74"/>
      <c r="GY11" s="391" t="s">
        <v>1167</v>
      </c>
      <c r="GZ11" s="67">
        <v>2088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1030</v>
      </c>
      <c r="K12" s="558" t="s">
        <v>46</v>
      </c>
      <c r="L12" s="101">
        <v>11570</v>
      </c>
      <c r="M12" s="102">
        <v>43075</v>
      </c>
      <c r="N12" s="103" t="s">
        <v>1107</v>
      </c>
      <c r="O12" s="104">
        <v>11085</v>
      </c>
      <c r="P12" s="60">
        <f t="shared" si="0"/>
        <v>-485</v>
      </c>
      <c r="Q12" s="29">
        <v>27</v>
      </c>
      <c r="R12" s="105"/>
      <c r="S12" s="106"/>
      <c r="T12" s="39">
        <f t="shared" si="1"/>
        <v>299295</v>
      </c>
      <c r="U12" s="107" t="s">
        <v>72</v>
      </c>
      <c r="V12" s="108">
        <v>43095</v>
      </c>
      <c r="W12" s="109">
        <v>7540</v>
      </c>
      <c r="X12" s="17"/>
      <c r="Y12" s="20"/>
      <c r="Z12" s="92"/>
      <c r="AA12" s="93"/>
      <c r="AB12" s="92"/>
      <c r="AC12" s="94"/>
      <c r="AD12" s="95"/>
      <c r="AE12" s="17"/>
      <c r="AF12" s="17"/>
      <c r="AG12" s="17"/>
      <c r="AH12" s="20"/>
      <c r="AI12" s="92"/>
      <c r="AJ12" s="93"/>
      <c r="AK12" s="92"/>
      <c r="AL12" s="94"/>
      <c r="AM12" s="95"/>
      <c r="AN12" s="17"/>
      <c r="AO12" s="17"/>
      <c r="AP12" s="17"/>
      <c r="AQ12" s="20"/>
      <c r="AR12" s="92"/>
      <c r="AS12" s="93"/>
      <c r="AT12" s="92"/>
      <c r="AU12" s="94"/>
      <c r="AV12" s="95"/>
      <c r="AW12" s="17"/>
      <c r="AX12" s="17"/>
      <c r="AY12" s="17"/>
      <c r="AZ12" s="20"/>
      <c r="BA12" s="92"/>
      <c r="BB12" s="93"/>
      <c r="BC12" s="92"/>
      <c r="BD12" s="94"/>
      <c r="BE12" s="95"/>
      <c r="BF12" s="17"/>
      <c r="BG12" s="17"/>
      <c r="BH12" s="17"/>
      <c r="BI12" s="20"/>
      <c r="BJ12" s="92"/>
      <c r="BK12" s="93"/>
      <c r="BL12" s="92"/>
      <c r="BM12" s="94"/>
      <c r="BN12" s="95"/>
      <c r="BO12" s="17"/>
      <c r="BP12" s="17"/>
      <c r="BQ12" s="17"/>
      <c r="BR12" s="20"/>
      <c r="BS12" s="92"/>
      <c r="BT12" s="93"/>
      <c r="BU12" s="92"/>
      <c r="BV12" s="94"/>
      <c r="BW12" s="95"/>
      <c r="BX12" s="17"/>
      <c r="BY12" s="17"/>
      <c r="BZ12" s="17"/>
      <c r="CA12" s="20"/>
      <c r="CB12" s="92"/>
      <c r="CC12" s="93"/>
      <c r="CD12" s="92"/>
      <c r="CE12" s="94"/>
      <c r="CF12" s="95"/>
      <c r="CG12" s="17"/>
      <c r="CH12" s="17"/>
      <c r="CI12" s="17"/>
      <c r="CJ12" s="20"/>
      <c r="CK12" s="92"/>
      <c r="CL12" s="93"/>
      <c r="CM12" s="92"/>
      <c r="CN12" s="94"/>
      <c r="CO12" s="95"/>
      <c r="CP12" s="17"/>
      <c r="CQ12" s="17"/>
      <c r="CR12" s="17"/>
      <c r="CS12" s="20"/>
      <c r="CT12" s="92"/>
      <c r="CU12" s="93"/>
      <c r="CV12" s="96"/>
      <c r="CW12" s="94"/>
      <c r="CX12" s="95"/>
      <c r="CY12" s="17"/>
      <c r="CZ12" s="17"/>
      <c r="DA12" s="17"/>
      <c r="DB12" s="20"/>
      <c r="DC12" s="92"/>
      <c r="DD12" s="93"/>
      <c r="DE12" s="92"/>
      <c r="DF12" s="94"/>
      <c r="DG12" s="95"/>
      <c r="DH12" s="17"/>
      <c r="DI12" s="17"/>
      <c r="DJ12" s="17"/>
      <c r="DK12" s="20"/>
      <c r="DL12" s="92"/>
      <c r="DM12" s="93"/>
      <c r="DN12" s="92"/>
      <c r="DO12" s="94"/>
      <c r="DP12" s="95"/>
      <c r="DQ12" s="17"/>
      <c r="DR12" s="17"/>
      <c r="DS12" s="17"/>
      <c r="DT12" s="20"/>
      <c r="DU12" s="92"/>
      <c r="DV12" s="93"/>
      <c r="DW12" s="92"/>
      <c r="DX12" s="94"/>
      <c r="DY12" s="95"/>
      <c r="DZ12" s="17"/>
      <c r="EA12" s="17"/>
      <c r="EB12" s="17"/>
      <c r="EC12" s="20"/>
      <c r="ED12" s="92"/>
      <c r="EE12" s="93"/>
      <c r="EF12" s="92"/>
      <c r="EG12" s="94"/>
      <c r="EH12" s="95"/>
      <c r="EI12" s="17"/>
      <c r="EJ12" s="17"/>
      <c r="EK12" s="17"/>
      <c r="EL12" s="20"/>
      <c r="EM12" s="92"/>
      <c r="EN12" s="93"/>
      <c r="EO12" s="92"/>
      <c r="EP12" s="94"/>
      <c r="EQ12" s="95"/>
      <c r="ER12" s="17"/>
      <c r="ES12" s="17"/>
      <c r="ET12" s="17"/>
      <c r="EU12" s="20"/>
      <c r="EV12" s="92"/>
      <c r="EW12" s="93"/>
      <c r="EX12" s="92"/>
      <c r="EY12" s="94"/>
      <c r="EZ12" s="95"/>
      <c r="FA12" s="17"/>
      <c r="FB12" s="17"/>
      <c r="FC12" s="17"/>
      <c r="FD12" s="20"/>
      <c r="FE12" s="92"/>
      <c r="FF12" s="93"/>
      <c r="FG12" s="92"/>
      <c r="FH12" s="94"/>
      <c r="FI12" s="95"/>
      <c r="FJ12" s="17"/>
      <c r="FK12" s="17"/>
      <c r="FL12" s="17"/>
      <c r="FM12" s="20"/>
      <c r="FN12" s="92"/>
      <c r="FO12" s="93"/>
      <c r="FP12" s="92"/>
      <c r="FQ12" s="94"/>
      <c r="FR12" s="95"/>
      <c r="FS12" s="17"/>
      <c r="FT12" s="17"/>
      <c r="FU12" s="17"/>
      <c r="FV12" s="20"/>
      <c r="FW12" s="92"/>
      <c r="FX12" s="93"/>
      <c r="FY12" s="92"/>
      <c r="FZ12" s="94"/>
      <c r="GA12" s="95"/>
      <c r="GB12" s="17"/>
      <c r="GC12" s="17"/>
      <c r="GD12" s="17"/>
      <c r="GE12" s="20"/>
      <c r="GF12" s="92"/>
      <c r="GG12" s="93"/>
      <c r="GH12" s="92"/>
      <c r="GI12" s="94"/>
      <c r="GJ12" s="95"/>
      <c r="GK12" s="17"/>
      <c r="GL12" s="17"/>
      <c r="GM12" s="17"/>
      <c r="GN12" s="20"/>
      <c r="GO12" s="92"/>
      <c r="GP12" s="93"/>
      <c r="GQ12" s="92"/>
      <c r="GR12" s="94"/>
      <c r="GS12" s="95"/>
      <c r="GT12" s="645">
        <v>43095</v>
      </c>
      <c r="GU12" s="98"/>
      <c r="GV12" s="637">
        <v>17584</v>
      </c>
      <c r="GW12" s="74" t="s">
        <v>1062</v>
      </c>
      <c r="GX12" s="74"/>
      <c r="GY12" s="391" t="s">
        <v>1167</v>
      </c>
      <c r="GZ12" s="67">
        <v>2088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68" t="s">
        <v>1031</v>
      </c>
      <c r="K13" s="449" t="s">
        <v>59</v>
      </c>
      <c r="L13" s="101">
        <v>17930</v>
      </c>
      <c r="M13" s="102">
        <v>43075</v>
      </c>
      <c r="N13" s="103" t="s">
        <v>1106</v>
      </c>
      <c r="O13" s="104">
        <v>26745</v>
      </c>
      <c r="P13" s="60">
        <f t="shared" si="0"/>
        <v>8815</v>
      </c>
      <c r="Q13" s="29">
        <v>27</v>
      </c>
      <c r="R13" s="105"/>
      <c r="S13" s="106"/>
      <c r="T13" s="39">
        <f t="shared" si="1"/>
        <v>722115</v>
      </c>
      <c r="U13" s="107" t="s">
        <v>72</v>
      </c>
      <c r="V13" s="108">
        <v>43095</v>
      </c>
      <c r="W13" s="109">
        <v>17342</v>
      </c>
      <c r="X13" s="17"/>
      <c r="Y13" s="20"/>
      <c r="Z13" s="92"/>
      <c r="AA13" s="93"/>
      <c r="AB13" s="92"/>
      <c r="AC13" s="94"/>
      <c r="AD13" s="95"/>
      <c r="AE13" s="17"/>
      <c r="AF13" s="17"/>
      <c r="AG13" s="17"/>
      <c r="AH13" s="20"/>
      <c r="AI13" s="92"/>
      <c r="AJ13" s="93"/>
      <c r="AK13" s="92"/>
      <c r="AL13" s="94"/>
      <c r="AM13" s="95"/>
      <c r="AN13" s="17"/>
      <c r="AO13" s="17"/>
      <c r="AP13" s="17"/>
      <c r="AQ13" s="20"/>
      <c r="AR13" s="92"/>
      <c r="AS13" s="93"/>
      <c r="AT13" s="92"/>
      <c r="AU13" s="94"/>
      <c r="AV13" s="95"/>
      <c r="AW13" s="17"/>
      <c r="AX13" s="17"/>
      <c r="AY13" s="17"/>
      <c r="AZ13" s="20"/>
      <c r="BA13" s="92"/>
      <c r="BB13" s="93"/>
      <c r="BC13" s="92"/>
      <c r="BD13" s="94"/>
      <c r="BE13" s="95"/>
      <c r="BF13" s="17"/>
      <c r="BG13" s="17"/>
      <c r="BH13" s="17"/>
      <c r="BI13" s="20"/>
      <c r="BJ13" s="92"/>
      <c r="BK13" s="93"/>
      <c r="BL13" s="92"/>
      <c r="BM13" s="94"/>
      <c r="BN13" s="95"/>
      <c r="BO13" s="17"/>
      <c r="BP13" s="17"/>
      <c r="BQ13" s="17"/>
      <c r="BR13" s="20"/>
      <c r="BS13" s="92"/>
      <c r="BT13" s="93"/>
      <c r="BU13" s="92"/>
      <c r="BV13" s="94"/>
      <c r="BW13" s="95"/>
      <c r="BX13" s="17"/>
      <c r="BY13" s="17"/>
      <c r="BZ13" s="17"/>
      <c r="CA13" s="20"/>
      <c r="CB13" s="92"/>
      <c r="CC13" s="93"/>
      <c r="CD13" s="92"/>
      <c r="CE13" s="94"/>
      <c r="CF13" s="95"/>
      <c r="CG13" s="17"/>
      <c r="CH13" s="17"/>
      <c r="CI13" s="17"/>
      <c r="CJ13" s="20"/>
      <c r="CK13" s="92"/>
      <c r="CL13" s="93"/>
      <c r="CM13" s="92"/>
      <c r="CN13" s="94"/>
      <c r="CO13" s="95"/>
      <c r="CP13" s="17"/>
      <c r="CQ13" s="17"/>
      <c r="CR13" s="17"/>
      <c r="CS13" s="20"/>
      <c r="CT13" s="92"/>
      <c r="CU13" s="93"/>
      <c r="CV13" s="96"/>
      <c r="CW13" s="94"/>
      <c r="CX13" s="95"/>
      <c r="CY13" s="17"/>
      <c r="CZ13" s="17"/>
      <c r="DA13" s="17"/>
      <c r="DB13" s="20"/>
      <c r="DC13" s="92"/>
      <c r="DD13" s="93"/>
      <c r="DE13" s="92"/>
      <c r="DF13" s="94"/>
      <c r="DG13" s="95"/>
      <c r="DH13" s="17"/>
      <c r="DI13" s="17"/>
      <c r="DJ13" s="17"/>
      <c r="DK13" s="20"/>
      <c r="DL13" s="92"/>
      <c r="DM13" s="93"/>
      <c r="DN13" s="92"/>
      <c r="DO13" s="94"/>
      <c r="DP13" s="95"/>
      <c r="DQ13" s="17"/>
      <c r="DR13" s="17"/>
      <c r="DS13" s="17"/>
      <c r="DT13" s="20"/>
      <c r="DU13" s="92"/>
      <c r="DV13" s="93"/>
      <c r="DW13" s="92"/>
      <c r="DX13" s="94"/>
      <c r="DY13" s="95"/>
      <c r="DZ13" s="17"/>
      <c r="EA13" s="17"/>
      <c r="EB13" s="17"/>
      <c r="EC13" s="20"/>
      <c r="ED13" s="92"/>
      <c r="EE13" s="93"/>
      <c r="EF13" s="92"/>
      <c r="EG13" s="94"/>
      <c r="EH13" s="95"/>
      <c r="EI13" s="17"/>
      <c r="EJ13" s="17"/>
      <c r="EK13" s="17"/>
      <c r="EL13" s="20"/>
      <c r="EM13" s="92"/>
      <c r="EN13" s="93"/>
      <c r="EO13" s="92"/>
      <c r="EP13" s="94"/>
      <c r="EQ13" s="95"/>
      <c r="ER13" s="17"/>
      <c r="ES13" s="17"/>
      <c r="ET13" s="17"/>
      <c r="EU13" s="20"/>
      <c r="EV13" s="92"/>
      <c r="EW13" s="93"/>
      <c r="EX13" s="92"/>
      <c r="EY13" s="94"/>
      <c r="EZ13" s="95"/>
      <c r="FA13" s="17"/>
      <c r="FB13" s="17"/>
      <c r="FC13" s="17"/>
      <c r="FD13" s="20"/>
      <c r="FE13" s="92"/>
      <c r="FF13" s="93"/>
      <c r="FG13" s="92"/>
      <c r="FH13" s="94"/>
      <c r="FI13" s="95"/>
      <c r="FJ13" s="17"/>
      <c r="FK13" s="17"/>
      <c r="FL13" s="17"/>
      <c r="FM13" s="20"/>
      <c r="FN13" s="92"/>
      <c r="FO13" s="93"/>
      <c r="FP13" s="92"/>
      <c r="FQ13" s="94"/>
      <c r="FR13" s="95"/>
      <c r="FS13" s="17"/>
      <c r="FT13" s="17"/>
      <c r="FU13" s="17"/>
      <c r="FV13" s="20"/>
      <c r="FW13" s="92"/>
      <c r="FX13" s="93"/>
      <c r="FY13" s="92"/>
      <c r="FZ13" s="94"/>
      <c r="GA13" s="95"/>
      <c r="GB13" s="17"/>
      <c r="GC13" s="17"/>
      <c r="GD13" s="17"/>
      <c r="GE13" s="20"/>
      <c r="GF13" s="92"/>
      <c r="GG13" s="93"/>
      <c r="GH13" s="92"/>
      <c r="GI13" s="94"/>
      <c r="GJ13" s="95"/>
      <c r="GK13" s="17"/>
      <c r="GL13" s="17"/>
      <c r="GM13" s="17"/>
      <c r="GN13" s="20"/>
      <c r="GO13" s="92"/>
      <c r="GP13" s="93"/>
      <c r="GQ13" s="92"/>
      <c r="GR13" s="94"/>
      <c r="GS13" s="95"/>
      <c r="GT13" s="645">
        <v>43095</v>
      </c>
      <c r="GU13" s="98"/>
      <c r="GV13" s="637">
        <v>22176</v>
      </c>
      <c r="GW13" s="74" t="s">
        <v>1061</v>
      </c>
      <c r="GX13" s="74"/>
      <c r="GY13" s="391" t="s">
        <v>1167</v>
      </c>
      <c r="GZ13" s="67">
        <v>3712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45</v>
      </c>
      <c r="K14" s="449" t="s">
        <v>35</v>
      </c>
      <c r="L14" s="101">
        <v>12780</v>
      </c>
      <c r="M14" s="102">
        <v>43076</v>
      </c>
      <c r="N14" s="103" t="s">
        <v>1119</v>
      </c>
      <c r="O14" s="104">
        <v>17075</v>
      </c>
      <c r="P14" s="60">
        <f t="shared" si="0"/>
        <v>4295</v>
      </c>
      <c r="Q14" s="29">
        <v>27.5</v>
      </c>
      <c r="R14" s="105"/>
      <c r="S14" s="106"/>
      <c r="T14" s="39">
        <f t="shared" si="1"/>
        <v>469562.5</v>
      </c>
      <c r="U14" s="107" t="s">
        <v>72</v>
      </c>
      <c r="V14" s="108">
        <v>43097</v>
      </c>
      <c r="W14" s="109">
        <v>9802</v>
      </c>
      <c r="X14" s="17"/>
      <c r="Y14" s="20"/>
      <c r="Z14" s="92"/>
      <c r="AA14" s="93"/>
      <c r="AB14" s="92"/>
      <c r="AC14" s="94"/>
      <c r="AD14" s="95"/>
      <c r="AE14" s="17"/>
      <c r="AF14" s="17"/>
      <c r="AG14" s="17"/>
      <c r="AH14" s="20"/>
      <c r="AI14" s="92"/>
      <c r="AJ14" s="93"/>
      <c r="AK14" s="92"/>
      <c r="AL14" s="94"/>
      <c r="AM14" s="95"/>
      <c r="AN14" s="17"/>
      <c r="AO14" s="17"/>
      <c r="AP14" s="17"/>
      <c r="AQ14" s="20"/>
      <c r="AR14" s="92"/>
      <c r="AS14" s="93"/>
      <c r="AT14" s="92"/>
      <c r="AU14" s="94"/>
      <c r="AV14" s="95"/>
      <c r="AW14" s="17"/>
      <c r="AX14" s="17"/>
      <c r="AY14" s="17"/>
      <c r="AZ14" s="20"/>
      <c r="BA14" s="92"/>
      <c r="BB14" s="93"/>
      <c r="BC14" s="92"/>
      <c r="BD14" s="94"/>
      <c r="BE14" s="95"/>
      <c r="BF14" s="17"/>
      <c r="BG14" s="17"/>
      <c r="BH14" s="17"/>
      <c r="BI14" s="20"/>
      <c r="BJ14" s="92"/>
      <c r="BK14" s="93"/>
      <c r="BL14" s="92"/>
      <c r="BM14" s="94"/>
      <c r="BN14" s="95"/>
      <c r="BO14" s="17"/>
      <c r="BP14" s="17"/>
      <c r="BQ14" s="17"/>
      <c r="BR14" s="20"/>
      <c r="BS14" s="92"/>
      <c r="BT14" s="93"/>
      <c r="BU14" s="92"/>
      <c r="BV14" s="94"/>
      <c r="BW14" s="95"/>
      <c r="BX14" s="17"/>
      <c r="BY14" s="17"/>
      <c r="BZ14" s="17"/>
      <c r="CA14" s="20"/>
      <c r="CB14" s="92"/>
      <c r="CC14" s="93"/>
      <c r="CD14" s="92"/>
      <c r="CE14" s="94"/>
      <c r="CF14" s="95"/>
      <c r="CG14" s="17"/>
      <c r="CH14" s="17"/>
      <c r="CI14" s="17"/>
      <c r="CJ14" s="20"/>
      <c r="CK14" s="92"/>
      <c r="CL14" s="93"/>
      <c r="CM14" s="92"/>
      <c r="CN14" s="94"/>
      <c r="CO14" s="95"/>
      <c r="CP14" s="17"/>
      <c r="CQ14" s="17"/>
      <c r="CR14" s="17"/>
      <c r="CS14" s="20"/>
      <c r="CT14" s="92"/>
      <c r="CU14" s="93"/>
      <c r="CV14" s="96"/>
      <c r="CW14" s="94"/>
      <c r="CX14" s="95"/>
      <c r="CY14" s="17"/>
      <c r="CZ14" s="17"/>
      <c r="DA14" s="17"/>
      <c r="DB14" s="20"/>
      <c r="DC14" s="92"/>
      <c r="DD14" s="93"/>
      <c r="DE14" s="92"/>
      <c r="DF14" s="94"/>
      <c r="DG14" s="95"/>
      <c r="DH14" s="17"/>
      <c r="DI14" s="17"/>
      <c r="DJ14" s="17"/>
      <c r="DK14" s="20"/>
      <c r="DL14" s="92"/>
      <c r="DM14" s="93"/>
      <c r="DN14" s="92"/>
      <c r="DO14" s="94"/>
      <c r="DP14" s="95"/>
      <c r="DQ14" s="17"/>
      <c r="DR14" s="17"/>
      <c r="DS14" s="17"/>
      <c r="DT14" s="20"/>
      <c r="DU14" s="92"/>
      <c r="DV14" s="93"/>
      <c r="DW14" s="92"/>
      <c r="DX14" s="94"/>
      <c r="DY14" s="95"/>
      <c r="DZ14" s="17"/>
      <c r="EA14" s="17"/>
      <c r="EB14" s="17"/>
      <c r="EC14" s="20"/>
      <c r="ED14" s="92"/>
      <c r="EE14" s="93"/>
      <c r="EF14" s="92"/>
      <c r="EG14" s="94"/>
      <c r="EH14" s="95"/>
      <c r="EI14" s="17"/>
      <c r="EJ14" s="17"/>
      <c r="EK14" s="17"/>
      <c r="EL14" s="20"/>
      <c r="EM14" s="92"/>
      <c r="EN14" s="93"/>
      <c r="EO14" s="92"/>
      <c r="EP14" s="94"/>
      <c r="EQ14" s="95"/>
      <c r="ER14" s="17"/>
      <c r="ES14" s="17"/>
      <c r="ET14" s="17"/>
      <c r="EU14" s="20"/>
      <c r="EV14" s="92"/>
      <c r="EW14" s="93"/>
      <c r="EX14" s="92"/>
      <c r="EY14" s="94"/>
      <c r="EZ14" s="95"/>
      <c r="FA14" s="17"/>
      <c r="FB14" s="17"/>
      <c r="FC14" s="17"/>
      <c r="FD14" s="20"/>
      <c r="FE14" s="92"/>
      <c r="FF14" s="93"/>
      <c r="FG14" s="92"/>
      <c r="FH14" s="94"/>
      <c r="FI14" s="95"/>
      <c r="FJ14" s="17"/>
      <c r="FK14" s="17"/>
      <c r="FL14" s="17"/>
      <c r="FM14" s="20"/>
      <c r="FN14" s="92"/>
      <c r="FO14" s="93"/>
      <c r="FP14" s="92"/>
      <c r="FQ14" s="94"/>
      <c r="FR14" s="95"/>
      <c r="FS14" s="17"/>
      <c r="FT14" s="17"/>
      <c r="FU14" s="17"/>
      <c r="FV14" s="20"/>
      <c r="FW14" s="92"/>
      <c r="FX14" s="93"/>
      <c r="FY14" s="92"/>
      <c r="FZ14" s="94"/>
      <c r="GA14" s="95"/>
      <c r="GB14" s="17"/>
      <c r="GC14" s="17"/>
      <c r="GD14" s="17"/>
      <c r="GE14" s="20"/>
      <c r="GF14" s="92"/>
      <c r="GG14" s="93"/>
      <c r="GH14" s="92"/>
      <c r="GI14" s="94"/>
      <c r="GJ14" s="95"/>
      <c r="GK14" s="17"/>
      <c r="GL14" s="17"/>
      <c r="GM14" s="17"/>
      <c r="GN14" s="20"/>
      <c r="GO14" s="92"/>
      <c r="GP14" s="93"/>
      <c r="GQ14" s="92"/>
      <c r="GR14" s="94"/>
      <c r="GS14" s="95"/>
      <c r="GT14" s="645">
        <v>43097</v>
      </c>
      <c r="GU14" s="98"/>
      <c r="GV14" s="637">
        <v>17584</v>
      </c>
      <c r="GW14" s="74" t="s">
        <v>1063</v>
      </c>
      <c r="GX14" s="74"/>
      <c r="GY14" s="391" t="s">
        <v>1167</v>
      </c>
      <c r="GZ14" s="67">
        <v>2088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68" t="s">
        <v>1032</v>
      </c>
      <c r="K15" s="407" t="s">
        <v>41</v>
      </c>
      <c r="L15" s="110">
        <v>21970</v>
      </c>
      <c r="M15" s="71">
        <v>43076</v>
      </c>
      <c r="N15" s="56" t="s">
        <v>1108</v>
      </c>
      <c r="O15" s="72">
        <v>27555</v>
      </c>
      <c r="P15" s="60">
        <f t="shared" si="0"/>
        <v>5585</v>
      </c>
      <c r="Q15" s="64">
        <v>27.5</v>
      </c>
      <c r="R15" s="64"/>
      <c r="S15" s="111"/>
      <c r="T15" s="39">
        <f t="shared" si="1"/>
        <v>757762.5</v>
      </c>
      <c r="U15" s="90" t="s">
        <v>72</v>
      </c>
      <c r="V15" s="112">
        <v>43095</v>
      </c>
      <c r="W15" s="109">
        <v>18850</v>
      </c>
      <c r="X15" s="17"/>
      <c r="Y15" s="20"/>
      <c r="Z15" s="92"/>
      <c r="AA15" s="93"/>
      <c r="AB15" s="92"/>
      <c r="AC15" s="94"/>
      <c r="AD15" s="95"/>
      <c r="AE15" s="17"/>
      <c r="AF15" s="17"/>
      <c r="AG15" s="17"/>
      <c r="AH15" s="20"/>
      <c r="AI15" s="92"/>
      <c r="AJ15" s="93"/>
      <c r="AK15" s="92"/>
      <c r="AL15" s="94"/>
      <c r="AM15" s="95"/>
      <c r="AN15" s="17"/>
      <c r="AO15" s="17"/>
      <c r="AP15" s="17"/>
      <c r="AQ15" s="20"/>
      <c r="AR15" s="92"/>
      <c r="AS15" s="93"/>
      <c r="AT15" s="92"/>
      <c r="AU15" s="94"/>
      <c r="AV15" s="95"/>
      <c r="AW15" s="17"/>
      <c r="AX15" s="17"/>
      <c r="AY15" s="17"/>
      <c r="AZ15" s="20"/>
      <c r="BA15" s="92"/>
      <c r="BB15" s="93"/>
      <c r="BC15" s="92"/>
      <c r="BD15" s="94"/>
      <c r="BE15" s="95"/>
      <c r="BF15" s="17"/>
      <c r="BG15" s="17"/>
      <c r="BH15" s="17"/>
      <c r="BI15" s="20"/>
      <c r="BJ15" s="92"/>
      <c r="BK15" s="93"/>
      <c r="BL15" s="92"/>
      <c r="BM15" s="94"/>
      <c r="BN15" s="95"/>
      <c r="BO15" s="17"/>
      <c r="BP15" s="17"/>
      <c r="BQ15" s="17"/>
      <c r="BR15" s="20"/>
      <c r="BS15" s="92"/>
      <c r="BT15" s="93"/>
      <c r="BU15" s="92"/>
      <c r="BV15" s="94"/>
      <c r="BW15" s="95"/>
      <c r="BX15" s="17"/>
      <c r="BY15" s="17"/>
      <c r="BZ15" s="17"/>
      <c r="CA15" s="20"/>
      <c r="CB15" s="92"/>
      <c r="CC15" s="93"/>
      <c r="CD15" s="92"/>
      <c r="CE15" s="94"/>
      <c r="CF15" s="95"/>
      <c r="CG15" s="17"/>
      <c r="CH15" s="17"/>
      <c r="CI15" s="17"/>
      <c r="CJ15" s="20"/>
      <c r="CK15" s="92"/>
      <c r="CL15" s="93"/>
      <c r="CM15" s="92"/>
      <c r="CN15" s="94"/>
      <c r="CO15" s="95"/>
      <c r="CP15" s="17"/>
      <c r="CQ15" s="17"/>
      <c r="CR15" s="17"/>
      <c r="CS15" s="20"/>
      <c r="CT15" s="92"/>
      <c r="CU15" s="93"/>
      <c r="CV15" s="96"/>
      <c r="CW15" s="94"/>
      <c r="CX15" s="95"/>
      <c r="CY15" s="17"/>
      <c r="CZ15" s="17"/>
      <c r="DA15" s="17"/>
      <c r="DB15" s="20"/>
      <c r="DC15" s="92"/>
      <c r="DD15" s="93"/>
      <c r="DE15" s="92"/>
      <c r="DF15" s="94"/>
      <c r="DG15" s="95"/>
      <c r="DH15" s="17"/>
      <c r="DI15" s="17"/>
      <c r="DJ15" s="17"/>
      <c r="DK15" s="20"/>
      <c r="DL15" s="92"/>
      <c r="DM15" s="93"/>
      <c r="DN15" s="92"/>
      <c r="DO15" s="94"/>
      <c r="DP15" s="95"/>
      <c r="DQ15" s="17"/>
      <c r="DR15" s="17"/>
      <c r="DS15" s="17"/>
      <c r="DT15" s="20"/>
      <c r="DU15" s="92"/>
      <c r="DV15" s="93"/>
      <c r="DW15" s="92"/>
      <c r="DX15" s="94"/>
      <c r="DY15" s="95"/>
      <c r="DZ15" s="17"/>
      <c r="EA15" s="17"/>
      <c r="EB15" s="17"/>
      <c r="EC15" s="20"/>
      <c r="ED15" s="92"/>
      <c r="EE15" s="93"/>
      <c r="EF15" s="92"/>
      <c r="EG15" s="94"/>
      <c r="EH15" s="95"/>
      <c r="EI15" s="17"/>
      <c r="EJ15" s="17"/>
      <c r="EK15" s="17"/>
      <c r="EL15" s="20"/>
      <c r="EM15" s="92"/>
      <c r="EN15" s="93"/>
      <c r="EO15" s="92"/>
      <c r="EP15" s="94"/>
      <c r="EQ15" s="95"/>
      <c r="ER15" s="17"/>
      <c r="ES15" s="17"/>
      <c r="ET15" s="17"/>
      <c r="EU15" s="20"/>
      <c r="EV15" s="92"/>
      <c r="EW15" s="93"/>
      <c r="EX15" s="92"/>
      <c r="EY15" s="94"/>
      <c r="EZ15" s="95"/>
      <c r="FA15" s="17"/>
      <c r="FB15" s="17"/>
      <c r="FC15" s="17"/>
      <c r="FD15" s="20"/>
      <c r="FE15" s="92"/>
      <c r="FF15" s="93"/>
      <c r="FG15" s="92"/>
      <c r="FH15" s="94"/>
      <c r="FI15" s="95"/>
      <c r="FJ15" s="17"/>
      <c r="FK15" s="17"/>
      <c r="FL15" s="17"/>
      <c r="FM15" s="20"/>
      <c r="FN15" s="92"/>
      <c r="FO15" s="93"/>
      <c r="FP15" s="92"/>
      <c r="FQ15" s="94"/>
      <c r="FR15" s="95"/>
      <c r="FS15" s="17"/>
      <c r="FT15" s="17"/>
      <c r="FU15" s="17"/>
      <c r="FV15" s="20"/>
      <c r="FW15" s="92"/>
      <c r="FX15" s="93"/>
      <c r="FY15" s="92"/>
      <c r="FZ15" s="94"/>
      <c r="GA15" s="95"/>
      <c r="GB15" s="17"/>
      <c r="GC15" s="17"/>
      <c r="GD15" s="17"/>
      <c r="GE15" s="20"/>
      <c r="GF15" s="92"/>
      <c r="GG15" s="93"/>
      <c r="GH15" s="92"/>
      <c r="GI15" s="94"/>
      <c r="GJ15" s="95"/>
      <c r="GK15" s="17"/>
      <c r="GL15" s="17"/>
      <c r="GM15" s="17"/>
      <c r="GN15" s="20"/>
      <c r="GO15" s="92"/>
      <c r="GP15" s="93"/>
      <c r="GQ15" s="92"/>
      <c r="GR15" s="94"/>
      <c r="GS15" s="95"/>
      <c r="GT15" s="645">
        <v>43095</v>
      </c>
      <c r="GU15" s="98"/>
      <c r="GV15" s="637"/>
      <c r="GW15" s="74"/>
      <c r="GX15" s="74"/>
      <c r="GY15" s="389" t="s">
        <v>1167</v>
      </c>
      <c r="GZ15" s="67">
        <v>3712</v>
      </c>
    </row>
    <row r="16" spans="1:208" x14ac:dyDescent="0.25">
      <c r="C16" s="87"/>
      <c r="D16" s="35"/>
      <c r="E16" s="36"/>
      <c r="F16" s="37"/>
      <c r="G16" s="38"/>
      <c r="H16" s="39"/>
      <c r="I16" s="40"/>
      <c r="J16" s="68" t="s">
        <v>1033</v>
      </c>
      <c r="K16" s="407" t="s">
        <v>1118</v>
      </c>
      <c r="L16" s="110">
        <v>23180</v>
      </c>
      <c r="M16" s="71">
        <v>43077</v>
      </c>
      <c r="N16" s="56" t="s">
        <v>1117</v>
      </c>
      <c r="O16" s="72">
        <v>28380</v>
      </c>
      <c r="P16" s="60">
        <f t="shared" si="0"/>
        <v>5200</v>
      </c>
      <c r="Q16" s="64">
        <v>27.5</v>
      </c>
      <c r="R16" s="905"/>
      <c r="S16" s="906"/>
      <c r="T16" s="39">
        <f t="shared" si="1"/>
        <v>780450</v>
      </c>
      <c r="U16" s="90" t="s">
        <v>72</v>
      </c>
      <c r="V16" s="112">
        <v>43096</v>
      </c>
      <c r="W16" s="109">
        <v>18623.8</v>
      </c>
      <c r="X16" s="17"/>
      <c r="Y16" s="20"/>
      <c r="Z16" s="92"/>
      <c r="AA16" s="93"/>
      <c r="AB16" s="92"/>
      <c r="AC16" s="94"/>
      <c r="AD16" s="95"/>
      <c r="AE16" s="17"/>
      <c r="AF16" s="17"/>
      <c r="AG16" s="17"/>
      <c r="AH16" s="20"/>
      <c r="AI16" s="92"/>
      <c r="AJ16" s="93"/>
      <c r="AK16" s="92"/>
      <c r="AL16" s="94"/>
      <c r="AM16" s="95"/>
      <c r="AN16" s="17"/>
      <c r="AO16" s="17"/>
      <c r="AP16" s="17"/>
      <c r="AQ16" s="20"/>
      <c r="AR16" s="92"/>
      <c r="AS16" s="93"/>
      <c r="AT16" s="92"/>
      <c r="AU16" s="94"/>
      <c r="AV16" s="95"/>
      <c r="AW16" s="17"/>
      <c r="AX16" s="17"/>
      <c r="AY16" s="17"/>
      <c r="AZ16" s="20"/>
      <c r="BA16" s="92"/>
      <c r="BB16" s="93"/>
      <c r="BC16" s="92"/>
      <c r="BD16" s="94"/>
      <c r="BE16" s="95"/>
      <c r="BF16" s="17"/>
      <c r="BG16" s="17"/>
      <c r="BH16" s="17"/>
      <c r="BI16" s="20"/>
      <c r="BJ16" s="92"/>
      <c r="BK16" s="93"/>
      <c r="BL16" s="92"/>
      <c r="BM16" s="94"/>
      <c r="BN16" s="95"/>
      <c r="BO16" s="17"/>
      <c r="BP16" s="17"/>
      <c r="BQ16" s="17"/>
      <c r="BR16" s="20"/>
      <c r="BS16" s="92"/>
      <c r="BT16" s="93"/>
      <c r="BU16" s="92"/>
      <c r="BV16" s="94"/>
      <c r="BW16" s="95"/>
      <c r="BX16" s="17"/>
      <c r="BY16" s="17"/>
      <c r="BZ16" s="17"/>
      <c r="CA16" s="20"/>
      <c r="CB16" s="92"/>
      <c r="CC16" s="93"/>
      <c r="CD16" s="92"/>
      <c r="CE16" s="94"/>
      <c r="CF16" s="95"/>
      <c r="CG16" s="17"/>
      <c r="CH16" s="17"/>
      <c r="CI16" s="17"/>
      <c r="CJ16" s="20"/>
      <c r="CK16" s="92"/>
      <c r="CL16" s="93"/>
      <c r="CM16" s="92"/>
      <c r="CN16" s="94"/>
      <c r="CO16" s="95"/>
      <c r="CP16" s="17"/>
      <c r="CQ16" s="17"/>
      <c r="CR16" s="17"/>
      <c r="CS16" s="20"/>
      <c r="CT16" s="92"/>
      <c r="CU16" s="93"/>
      <c r="CV16" s="96"/>
      <c r="CW16" s="94"/>
      <c r="CX16" s="95"/>
      <c r="CY16" s="17"/>
      <c r="CZ16" s="17"/>
      <c r="DA16" s="17"/>
      <c r="DB16" s="20"/>
      <c r="DC16" s="92"/>
      <c r="DD16" s="93"/>
      <c r="DE16" s="92"/>
      <c r="DF16" s="94"/>
      <c r="DG16" s="95"/>
      <c r="DH16" s="17"/>
      <c r="DI16" s="17"/>
      <c r="DJ16" s="17"/>
      <c r="DK16" s="20"/>
      <c r="DL16" s="92"/>
      <c r="DM16" s="93"/>
      <c r="DN16" s="92"/>
      <c r="DO16" s="94"/>
      <c r="DP16" s="95"/>
      <c r="DQ16" s="17"/>
      <c r="DR16" s="17"/>
      <c r="DS16" s="17"/>
      <c r="DT16" s="20"/>
      <c r="DU16" s="92"/>
      <c r="DV16" s="93"/>
      <c r="DW16" s="92"/>
      <c r="DX16" s="94"/>
      <c r="DY16" s="95"/>
      <c r="DZ16" s="17"/>
      <c r="EA16" s="17"/>
      <c r="EB16" s="17"/>
      <c r="EC16" s="20"/>
      <c r="ED16" s="92"/>
      <c r="EE16" s="93"/>
      <c r="EF16" s="92"/>
      <c r="EG16" s="94"/>
      <c r="EH16" s="95"/>
      <c r="EI16" s="17"/>
      <c r="EJ16" s="17"/>
      <c r="EK16" s="17"/>
      <c r="EL16" s="20"/>
      <c r="EM16" s="92"/>
      <c r="EN16" s="93"/>
      <c r="EO16" s="92"/>
      <c r="EP16" s="94"/>
      <c r="EQ16" s="95"/>
      <c r="ER16" s="17"/>
      <c r="ES16" s="17"/>
      <c r="ET16" s="17"/>
      <c r="EU16" s="20"/>
      <c r="EV16" s="92"/>
      <c r="EW16" s="93"/>
      <c r="EX16" s="92"/>
      <c r="EY16" s="94"/>
      <c r="EZ16" s="95"/>
      <c r="FA16" s="17"/>
      <c r="FB16" s="17"/>
      <c r="FC16" s="17"/>
      <c r="FD16" s="20"/>
      <c r="FE16" s="92"/>
      <c r="FF16" s="93"/>
      <c r="FG16" s="92"/>
      <c r="FH16" s="94"/>
      <c r="FI16" s="95"/>
      <c r="FJ16" s="17"/>
      <c r="FK16" s="17"/>
      <c r="FL16" s="17"/>
      <c r="FM16" s="20"/>
      <c r="FN16" s="92"/>
      <c r="FO16" s="93"/>
      <c r="FP16" s="92"/>
      <c r="FQ16" s="94"/>
      <c r="FR16" s="95"/>
      <c r="FS16" s="17"/>
      <c r="FT16" s="17"/>
      <c r="FU16" s="17"/>
      <c r="FV16" s="20"/>
      <c r="FW16" s="92"/>
      <c r="FX16" s="93"/>
      <c r="FY16" s="92"/>
      <c r="FZ16" s="94"/>
      <c r="GA16" s="95"/>
      <c r="GB16" s="17"/>
      <c r="GC16" s="17"/>
      <c r="GD16" s="17"/>
      <c r="GE16" s="20"/>
      <c r="GF16" s="92"/>
      <c r="GG16" s="93"/>
      <c r="GH16" s="92"/>
      <c r="GI16" s="94"/>
      <c r="GJ16" s="95"/>
      <c r="GK16" s="17"/>
      <c r="GL16" s="17"/>
      <c r="GM16" s="17"/>
      <c r="GN16" s="20"/>
      <c r="GO16" s="92"/>
      <c r="GP16" s="93"/>
      <c r="GQ16" s="92"/>
      <c r="GR16" s="94"/>
      <c r="GS16" s="95"/>
      <c r="GT16" s="645">
        <v>43096</v>
      </c>
      <c r="GU16" s="114"/>
      <c r="GV16" s="637"/>
      <c r="GW16" s="74"/>
      <c r="GX16" s="74"/>
      <c r="GY16" s="391" t="s">
        <v>1167</v>
      </c>
      <c r="GZ16" s="67">
        <v>3712</v>
      </c>
    </row>
    <row r="17" spans="1:208" x14ac:dyDescent="0.25">
      <c r="C17" s="87"/>
      <c r="D17" s="35"/>
      <c r="E17" s="36"/>
      <c r="F17" s="37"/>
      <c r="G17" s="38"/>
      <c r="H17" s="39"/>
      <c r="I17" s="40"/>
      <c r="J17" s="68" t="s">
        <v>1034</v>
      </c>
      <c r="K17" s="407" t="s">
        <v>35</v>
      </c>
      <c r="L17" s="110">
        <v>11450</v>
      </c>
      <c r="M17" s="71">
        <v>43077</v>
      </c>
      <c r="N17" s="56" t="s">
        <v>1120</v>
      </c>
      <c r="O17" s="72">
        <v>15040</v>
      </c>
      <c r="P17" s="113">
        <f t="shared" si="0"/>
        <v>3590</v>
      </c>
      <c r="Q17" s="64">
        <v>27.5</v>
      </c>
      <c r="R17" s="64"/>
      <c r="S17" s="64"/>
      <c r="T17" s="39">
        <f t="shared" si="1"/>
        <v>413600</v>
      </c>
      <c r="U17" s="90" t="s">
        <v>72</v>
      </c>
      <c r="V17" s="112">
        <v>43097</v>
      </c>
      <c r="W17" s="109">
        <v>9802</v>
      </c>
      <c r="X17" s="17"/>
      <c r="Y17" s="20"/>
      <c r="Z17" s="92"/>
      <c r="AA17" s="93"/>
      <c r="AB17" s="92"/>
      <c r="AC17" s="94"/>
      <c r="AD17" s="95"/>
      <c r="AE17" s="17"/>
      <c r="AF17" s="17"/>
      <c r="AG17" s="17"/>
      <c r="AH17" s="20"/>
      <c r="AI17" s="92"/>
      <c r="AJ17" s="93"/>
      <c r="AK17" s="92"/>
      <c r="AL17" s="94"/>
      <c r="AM17" s="95"/>
      <c r="AN17" s="17"/>
      <c r="AO17" s="17"/>
      <c r="AP17" s="17"/>
      <c r="AQ17" s="20"/>
      <c r="AR17" s="92"/>
      <c r="AS17" s="93"/>
      <c r="AT17" s="92"/>
      <c r="AU17" s="94"/>
      <c r="AV17" s="95"/>
      <c r="AW17" s="17"/>
      <c r="AX17" s="17"/>
      <c r="AY17" s="17"/>
      <c r="AZ17" s="20"/>
      <c r="BA17" s="92"/>
      <c r="BB17" s="93"/>
      <c r="BC17" s="92"/>
      <c r="BD17" s="94"/>
      <c r="BE17" s="95"/>
      <c r="BF17" s="17"/>
      <c r="BG17" s="17"/>
      <c r="BH17" s="17"/>
      <c r="BI17" s="20"/>
      <c r="BJ17" s="92"/>
      <c r="BK17" s="93"/>
      <c r="BL17" s="92"/>
      <c r="BM17" s="94"/>
      <c r="BN17" s="95"/>
      <c r="BO17" s="17"/>
      <c r="BP17" s="17"/>
      <c r="BQ17" s="17"/>
      <c r="BR17" s="20"/>
      <c r="BS17" s="92"/>
      <c r="BT17" s="93"/>
      <c r="BU17" s="92"/>
      <c r="BV17" s="94"/>
      <c r="BW17" s="95"/>
      <c r="BX17" s="17"/>
      <c r="BY17" s="17"/>
      <c r="BZ17" s="17"/>
      <c r="CA17" s="20"/>
      <c r="CB17" s="92"/>
      <c r="CC17" s="93"/>
      <c r="CD17" s="92"/>
      <c r="CE17" s="94"/>
      <c r="CF17" s="95"/>
      <c r="CG17" s="17"/>
      <c r="CH17" s="17"/>
      <c r="CI17" s="17"/>
      <c r="CJ17" s="20"/>
      <c r="CK17" s="92"/>
      <c r="CL17" s="93"/>
      <c r="CM17" s="92"/>
      <c r="CN17" s="94"/>
      <c r="CO17" s="95"/>
      <c r="CP17" s="17"/>
      <c r="CQ17" s="17"/>
      <c r="CR17" s="17"/>
      <c r="CS17" s="20"/>
      <c r="CT17" s="92"/>
      <c r="CU17" s="93"/>
      <c r="CV17" s="96"/>
      <c r="CW17" s="94"/>
      <c r="CX17" s="95"/>
      <c r="CY17" s="17"/>
      <c r="CZ17" s="17"/>
      <c r="DA17" s="17"/>
      <c r="DB17" s="20"/>
      <c r="DC17" s="92"/>
      <c r="DD17" s="93"/>
      <c r="DE17" s="92"/>
      <c r="DF17" s="94"/>
      <c r="DG17" s="95"/>
      <c r="DH17" s="17"/>
      <c r="DI17" s="17"/>
      <c r="DJ17" s="17"/>
      <c r="DK17" s="20"/>
      <c r="DL17" s="92"/>
      <c r="DM17" s="93"/>
      <c r="DN17" s="92"/>
      <c r="DO17" s="94"/>
      <c r="DP17" s="95"/>
      <c r="DQ17" s="17"/>
      <c r="DR17" s="17"/>
      <c r="DS17" s="17"/>
      <c r="DT17" s="20"/>
      <c r="DU17" s="92"/>
      <c r="DV17" s="93"/>
      <c r="DW17" s="92"/>
      <c r="DX17" s="94"/>
      <c r="DY17" s="95"/>
      <c r="DZ17" s="17"/>
      <c r="EA17" s="17"/>
      <c r="EB17" s="17"/>
      <c r="EC17" s="20"/>
      <c r="ED17" s="92"/>
      <c r="EE17" s="93"/>
      <c r="EF17" s="92"/>
      <c r="EG17" s="94"/>
      <c r="EH17" s="95"/>
      <c r="EI17" s="17"/>
      <c r="EJ17" s="17"/>
      <c r="EK17" s="17"/>
      <c r="EL17" s="20"/>
      <c r="EM17" s="92"/>
      <c r="EN17" s="93"/>
      <c r="EO17" s="92"/>
      <c r="EP17" s="94"/>
      <c r="EQ17" s="95"/>
      <c r="ER17" s="17"/>
      <c r="ES17" s="17"/>
      <c r="ET17" s="17"/>
      <c r="EU17" s="20"/>
      <c r="EV17" s="92"/>
      <c r="EW17" s="93"/>
      <c r="EX17" s="92"/>
      <c r="EY17" s="94"/>
      <c r="EZ17" s="95"/>
      <c r="FA17" s="17"/>
      <c r="FB17" s="17"/>
      <c r="FC17" s="17"/>
      <c r="FD17" s="20"/>
      <c r="FE17" s="92"/>
      <c r="FF17" s="93"/>
      <c r="FG17" s="92"/>
      <c r="FH17" s="94"/>
      <c r="FI17" s="95"/>
      <c r="FJ17" s="17"/>
      <c r="FK17" s="17"/>
      <c r="FL17" s="17"/>
      <c r="FM17" s="20"/>
      <c r="FN17" s="92"/>
      <c r="FO17" s="93"/>
      <c r="FP17" s="92"/>
      <c r="FQ17" s="94"/>
      <c r="FR17" s="95"/>
      <c r="FS17" s="17"/>
      <c r="FT17" s="17"/>
      <c r="FU17" s="17"/>
      <c r="FV17" s="20"/>
      <c r="FW17" s="92"/>
      <c r="FX17" s="93"/>
      <c r="FY17" s="92"/>
      <c r="FZ17" s="94"/>
      <c r="GA17" s="95"/>
      <c r="GB17" s="17"/>
      <c r="GC17" s="17"/>
      <c r="GD17" s="17"/>
      <c r="GE17" s="20"/>
      <c r="GF17" s="92"/>
      <c r="GG17" s="93"/>
      <c r="GH17" s="92"/>
      <c r="GI17" s="94"/>
      <c r="GJ17" s="95"/>
      <c r="GK17" s="17"/>
      <c r="GL17" s="17"/>
      <c r="GM17" s="17"/>
      <c r="GN17" s="20"/>
      <c r="GO17" s="92"/>
      <c r="GP17" s="93"/>
      <c r="GQ17" s="92"/>
      <c r="GR17" s="94"/>
      <c r="GS17" s="95"/>
      <c r="GT17" s="645">
        <v>43097</v>
      </c>
      <c r="GU17" s="98"/>
      <c r="GV17" s="637">
        <v>17584</v>
      </c>
      <c r="GW17" s="74" t="s">
        <v>1064</v>
      </c>
      <c r="GX17" s="74"/>
      <c r="GY17" s="391" t="s">
        <v>1167</v>
      </c>
      <c r="GZ17" s="67">
        <v>2088</v>
      </c>
    </row>
    <row r="18" spans="1:208" x14ac:dyDescent="0.25">
      <c r="C18" s="87"/>
      <c r="D18" s="35"/>
      <c r="E18" s="36"/>
      <c r="F18" s="37"/>
      <c r="G18" s="38"/>
      <c r="H18" s="39"/>
      <c r="I18" s="40"/>
      <c r="J18" s="455" t="s">
        <v>495</v>
      </c>
      <c r="K18" s="407" t="s">
        <v>41</v>
      </c>
      <c r="L18" s="110">
        <v>20750</v>
      </c>
      <c r="M18" s="71">
        <v>43079</v>
      </c>
      <c r="N18" s="56" t="s">
        <v>1123</v>
      </c>
      <c r="O18" s="72">
        <v>25825</v>
      </c>
      <c r="P18" s="113">
        <f t="shared" si="0"/>
        <v>5075</v>
      </c>
      <c r="Q18" s="64">
        <v>27.5</v>
      </c>
      <c r="R18" s="64"/>
      <c r="S18" s="64"/>
      <c r="T18" s="39">
        <f t="shared" si="1"/>
        <v>710187.5</v>
      </c>
      <c r="U18" s="90" t="s">
        <v>72</v>
      </c>
      <c r="V18" s="112">
        <v>43098</v>
      </c>
      <c r="W18" s="109">
        <v>18850</v>
      </c>
      <c r="X18" s="17"/>
      <c r="Y18" s="20"/>
      <c r="Z18" s="92"/>
      <c r="AA18" s="93"/>
      <c r="AB18" s="92"/>
      <c r="AC18" s="94"/>
      <c r="AD18" s="95"/>
      <c r="AE18" s="17"/>
      <c r="AF18" s="17"/>
      <c r="AG18" s="17"/>
      <c r="AH18" s="20"/>
      <c r="AI18" s="92"/>
      <c r="AJ18" s="93"/>
      <c r="AK18" s="92"/>
      <c r="AL18" s="94"/>
      <c r="AM18" s="95"/>
      <c r="AN18" s="17"/>
      <c r="AO18" s="17"/>
      <c r="AP18" s="17"/>
      <c r="AQ18" s="20"/>
      <c r="AR18" s="92"/>
      <c r="AS18" s="93"/>
      <c r="AT18" s="92"/>
      <c r="AU18" s="94"/>
      <c r="AV18" s="95"/>
      <c r="AW18" s="17"/>
      <c r="AX18" s="17"/>
      <c r="AY18" s="17"/>
      <c r="AZ18" s="20"/>
      <c r="BA18" s="92"/>
      <c r="BB18" s="93"/>
      <c r="BC18" s="92"/>
      <c r="BD18" s="94"/>
      <c r="BE18" s="95"/>
      <c r="BF18" s="17"/>
      <c r="BG18" s="17"/>
      <c r="BH18" s="17"/>
      <c r="BI18" s="20"/>
      <c r="BJ18" s="92"/>
      <c r="BK18" s="93"/>
      <c r="BL18" s="92"/>
      <c r="BM18" s="94"/>
      <c r="BN18" s="95"/>
      <c r="BO18" s="17"/>
      <c r="BP18" s="17"/>
      <c r="BQ18" s="17"/>
      <c r="BR18" s="20"/>
      <c r="BS18" s="92"/>
      <c r="BT18" s="93"/>
      <c r="BU18" s="92"/>
      <c r="BV18" s="94"/>
      <c r="BW18" s="95"/>
      <c r="BX18" s="17"/>
      <c r="BY18" s="17"/>
      <c r="BZ18" s="17"/>
      <c r="CA18" s="20"/>
      <c r="CB18" s="92"/>
      <c r="CC18" s="93"/>
      <c r="CD18" s="92"/>
      <c r="CE18" s="94"/>
      <c r="CF18" s="95"/>
      <c r="CG18" s="17"/>
      <c r="CH18" s="17"/>
      <c r="CI18" s="17"/>
      <c r="CJ18" s="20"/>
      <c r="CK18" s="92"/>
      <c r="CL18" s="93"/>
      <c r="CM18" s="92"/>
      <c r="CN18" s="94"/>
      <c r="CO18" s="95"/>
      <c r="CP18" s="17"/>
      <c r="CQ18" s="17"/>
      <c r="CR18" s="17"/>
      <c r="CS18" s="20"/>
      <c r="CT18" s="92"/>
      <c r="CU18" s="93"/>
      <c r="CV18" s="96"/>
      <c r="CW18" s="94"/>
      <c r="CX18" s="95"/>
      <c r="CY18" s="17"/>
      <c r="CZ18" s="17"/>
      <c r="DA18" s="17"/>
      <c r="DB18" s="20"/>
      <c r="DC18" s="92"/>
      <c r="DD18" s="93"/>
      <c r="DE18" s="92"/>
      <c r="DF18" s="94"/>
      <c r="DG18" s="95"/>
      <c r="DH18" s="17"/>
      <c r="DI18" s="17"/>
      <c r="DJ18" s="17"/>
      <c r="DK18" s="20"/>
      <c r="DL18" s="92"/>
      <c r="DM18" s="93"/>
      <c r="DN18" s="92"/>
      <c r="DO18" s="94"/>
      <c r="DP18" s="95"/>
      <c r="DQ18" s="17"/>
      <c r="DR18" s="17"/>
      <c r="DS18" s="17"/>
      <c r="DT18" s="20"/>
      <c r="DU18" s="92"/>
      <c r="DV18" s="93"/>
      <c r="DW18" s="92"/>
      <c r="DX18" s="94"/>
      <c r="DY18" s="95"/>
      <c r="DZ18" s="17"/>
      <c r="EA18" s="17"/>
      <c r="EB18" s="17"/>
      <c r="EC18" s="20"/>
      <c r="ED18" s="92"/>
      <c r="EE18" s="93"/>
      <c r="EF18" s="92"/>
      <c r="EG18" s="94"/>
      <c r="EH18" s="95"/>
      <c r="EI18" s="17"/>
      <c r="EJ18" s="17"/>
      <c r="EK18" s="17"/>
      <c r="EL18" s="20"/>
      <c r="EM18" s="92"/>
      <c r="EN18" s="93"/>
      <c r="EO18" s="92"/>
      <c r="EP18" s="94"/>
      <c r="EQ18" s="95"/>
      <c r="ER18" s="17"/>
      <c r="ES18" s="17"/>
      <c r="ET18" s="17"/>
      <c r="EU18" s="20"/>
      <c r="EV18" s="92"/>
      <c r="EW18" s="93"/>
      <c r="EX18" s="92"/>
      <c r="EY18" s="94"/>
      <c r="EZ18" s="95"/>
      <c r="FA18" s="17"/>
      <c r="FB18" s="17"/>
      <c r="FC18" s="17"/>
      <c r="FD18" s="20"/>
      <c r="FE18" s="92"/>
      <c r="FF18" s="93"/>
      <c r="FG18" s="92"/>
      <c r="FH18" s="94"/>
      <c r="FI18" s="95"/>
      <c r="FJ18" s="17"/>
      <c r="FK18" s="17"/>
      <c r="FL18" s="17"/>
      <c r="FM18" s="20"/>
      <c r="FN18" s="92"/>
      <c r="FO18" s="93"/>
      <c r="FP18" s="92"/>
      <c r="FQ18" s="94"/>
      <c r="FR18" s="95"/>
      <c r="FS18" s="17"/>
      <c r="FT18" s="17"/>
      <c r="FU18" s="17"/>
      <c r="FV18" s="20"/>
      <c r="FW18" s="92"/>
      <c r="FX18" s="93"/>
      <c r="FY18" s="92"/>
      <c r="FZ18" s="94"/>
      <c r="GA18" s="95"/>
      <c r="GB18" s="17"/>
      <c r="GC18" s="17"/>
      <c r="GD18" s="17"/>
      <c r="GE18" s="20"/>
      <c r="GF18" s="92"/>
      <c r="GG18" s="93"/>
      <c r="GH18" s="92"/>
      <c r="GI18" s="94"/>
      <c r="GJ18" s="95"/>
      <c r="GK18" s="17"/>
      <c r="GL18" s="17"/>
      <c r="GM18" s="17"/>
      <c r="GN18" s="20"/>
      <c r="GO18" s="92"/>
      <c r="GP18" s="93"/>
      <c r="GQ18" s="92"/>
      <c r="GR18" s="94"/>
      <c r="GS18" s="95"/>
      <c r="GT18" s="645">
        <v>43098</v>
      </c>
      <c r="GU18" s="98"/>
      <c r="GV18" s="637">
        <v>22176</v>
      </c>
      <c r="GW18" s="74" t="s">
        <v>1070</v>
      </c>
      <c r="GX18" s="74"/>
      <c r="GY18" s="391" t="s">
        <v>1167</v>
      </c>
      <c r="GZ18" s="67">
        <v>3712</v>
      </c>
    </row>
    <row r="19" spans="1:208" x14ac:dyDescent="0.25">
      <c r="C19" s="87"/>
      <c r="D19" s="35"/>
      <c r="E19" s="36"/>
      <c r="F19" s="37"/>
      <c r="G19" s="38"/>
      <c r="H19" s="39"/>
      <c r="I19" s="40"/>
      <c r="J19" s="455" t="s">
        <v>153</v>
      </c>
      <c r="K19" s="407" t="s">
        <v>35</v>
      </c>
      <c r="L19" s="110">
        <v>13760</v>
      </c>
      <c r="M19" s="71">
        <v>43080</v>
      </c>
      <c r="N19" s="56" t="s">
        <v>1122</v>
      </c>
      <c r="O19" s="72">
        <v>13500</v>
      </c>
      <c r="P19" s="113">
        <f t="shared" si="0"/>
        <v>-260</v>
      </c>
      <c r="Q19" s="64">
        <v>27.5</v>
      </c>
      <c r="R19" s="566"/>
      <c r="S19" s="79"/>
      <c r="T19" s="39">
        <f>Q19*O19</f>
        <v>371250</v>
      </c>
      <c r="U19" s="90" t="s">
        <v>72</v>
      </c>
      <c r="V19" s="112">
        <v>43098</v>
      </c>
      <c r="W19" s="109">
        <v>9802</v>
      </c>
      <c r="X19" s="17"/>
      <c r="Y19" s="20"/>
      <c r="Z19" s="92"/>
      <c r="AA19" s="93"/>
      <c r="AB19" s="92"/>
      <c r="AC19" s="94"/>
      <c r="AD19" s="95"/>
      <c r="AE19" s="17"/>
      <c r="AF19" s="17"/>
      <c r="AG19" s="17"/>
      <c r="AH19" s="20"/>
      <c r="AI19" s="92"/>
      <c r="AJ19" s="93"/>
      <c r="AK19" s="92"/>
      <c r="AL19" s="94"/>
      <c r="AM19" s="95"/>
      <c r="AN19" s="17"/>
      <c r="AO19" s="17"/>
      <c r="AP19" s="17"/>
      <c r="AQ19" s="20"/>
      <c r="AR19" s="92"/>
      <c r="AS19" s="93"/>
      <c r="AT19" s="92"/>
      <c r="AU19" s="94"/>
      <c r="AV19" s="95"/>
      <c r="AW19" s="17"/>
      <c r="AX19" s="17"/>
      <c r="AY19" s="17"/>
      <c r="AZ19" s="20"/>
      <c r="BA19" s="92"/>
      <c r="BB19" s="93"/>
      <c r="BC19" s="92"/>
      <c r="BD19" s="94"/>
      <c r="BE19" s="95"/>
      <c r="BF19" s="17"/>
      <c r="BG19" s="17"/>
      <c r="BH19" s="17"/>
      <c r="BI19" s="20"/>
      <c r="BJ19" s="92"/>
      <c r="BK19" s="93"/>
      <c r="BL19" s="92"/>
      <c r="BM19" s="94"/>
      <c r="BN19" s="95"/>
      <c r="BO19" s="17"/>
      <c r="BP19" s="17"/>
      <c r="BQ19" s="17"/>
      <c r="BR19" s="20"/>
      <c r="BS19" s="92"/>
      <c r="BT19" s="93"/>
      <c r="BU19" s="92"/>
      <c r="BV19" s="94"/>
      <c r="BW19" s="95"/>
      <c r="BX19" s="17"/>
      <c r="BY19" s="17"/>
      <c r="BZ19" s="17"/>
      <c r="CA19" s="20"/>
      <c r="CB19" s="92"/>
      <c r="CC19" s="93"/>
      <c r="CD19" s="92"/>
      <c r="CE19" s="94"/>
      <c r="CF19" s="95"/>
      <c r="CG19" s="17"/>
      <c r="CH19" s="17"/>
      <c r="CI19" s="17"/>
      <c r="CJ19" s="20"/>
      <c r="CK19" s="92"/>
      <c r="CL19" s="93"/>
      <c r="CM19" s="92"/>
      <c r="CN19" s="94"/>
      <c r="CO19" s="95"/>
      <c r="CP19" s="17"/>
      <c r="CQ19" s="17"/>
      <c r="CR19" s="17"/>
      <c r="CS19" s="20"/>
      <c r="CT19" s="92"/>
      <c r="CU19" s="93"/>
      <c r="CV19" s="96"/>
      <c r="CW19" s="94"/>
      <c r="CX19" s="95"/>
      <c r="CY19" s="17"/>
      <c r="CZ19" s="17"/>
      <c r="DA19" s="17"/>
      <c r="DB19" s="20"/>
      <c r="DC19" s="92"/>
      <c r="DD19" s="93"/>
      <c r="DE19" s="92"/>
      <c r="DF19" s="94"/>
      <c r="DG19" s="95"/>
      <c r="DH19" s="17"/>
      <c r="DI19" s="17"/>
      <c r="DJ19" s="17"/>
      <c r="DK19" s="20"/>
      <c r="DL19" s="92"/>
      <c r="DM19" s="93"/>
      <c r="DN19" s="92"/>
      <c r="DO19" s="94"/>
      <c r="DP19" s="95"/>
      <c r="DQ19" s="17"/>
      <c r="DR19" s="17"/>
      <c r="DS19" s="17"/>
      <c r="DT19" s="20"/>
      <c r="DU19" s="92"/>
      <c r="DV19" s="93"/>
      <c r="DW19" s="92"/>
      <c r="DX19" s="94"/>
      <c r="DY19" s="95"/>
      <c r="DZ19" s="17"/>
      <c r="EA19" s="17"/>
      <c r="EB19" s="17"/>
      <c r="EC19" s="20"/>
      <c r="ED19" s="92"/>
      <c r="EE19" s="93"/>
      <c r="EF19" s="92"/>
      <c r="EG19" s="94"/>
      <c r="EH19" s="95"/>
      <c r="EI19" s="17"/>
      <c r="EJ19" s="17"/>
      <c r="EK19" s="17"/>
      <c r="EL19" s="20"/>
      <c r="EM19" s="92"/>
      <c r="EN19" s="93"/>
      <c r="EO19" s="92"/>
      <c r="EP19" s="94"/>
      <c r="EQ19" s="95"/>
      <c r="ER19" s="17"/>
      <c r="ES19" s="17"/>
      <c r="ET19" s="17"/>
      <c r="EU19" s="20"/>
      <c r="EV19" s="92"/>
      <c r="EW19" s="93"/>
      <c r="EX19" s="92"/>
      <c r="EY19" s="94"/>
      <c r="EZ19" s="95"/>
      <c r="FA19" s="17"/>
      <c r="FB19" s="17"/>
      <c r="FC19" s="17"/>
      <c r="FD19" s="20"/>
      <c r="FE19" s="92"/>
      <c r="FF19" s="93"/>
      <c r="FG19" s="92"/>
      <c r="FH19" s="94"/>
      <c r="FI19" s="95"/>
      <c r="FJ19" s="17"/>
      <c r="FK19" s="17"/>
      <c r="FL19" s="17"/>
      <c r="FM19" s="20"/>
      <c r="FN19" s="92"/>
      <c r="FO19" s="93"/>
      <c r="FP19" s="92"/>
      <c r="FQ19" s="94"/>
      <c r="FR19" s="95"/>
      <c r="FS19" s="17"/>
      <c r="FT19" s="17"/>
      <c r="FU19" s="17"/>
      <c r="FV19" s="20"/>
      <c r="FW19" s="92"/>
      <c r="FX19" s="93"/>
      <c r="FY19" s="92"/>
      <c r="FZ19" s="94"/>
      <c r="GA19" s="95"/>
      <c r="GB19" s="17"/>
      <c r="GC19" s="17"/>
      <c r="GD19" s="17"/>
      <c r="GE19" s="20"/>
      <c r="GF19" s="92"/>
      <c r="GG19" s="93"/>
      <c r="GH19" s="92"/>
      <c r="GI19" s="94"/>
      <c r="GJ19" s="95"/>
      <c r="GK19" s="17"/>
      <c r="GL19" s="17"/>
      <c r="GM19" s="17"/>
      <c r="GN19" s="20"/>
      <c r="GO19" s="92"/>
      <c r="GP19" s="93"/>
      <c r="GQ19" s="92"/>
      <c r="GR19" s="94"/>
      <c r="GS19" s="95"/>
      <c r="GT19" s="645">
        <v>43098</v>
      </c>
      <c r="GU19" s="98"/>
      <c r="GV19" s="637">
        <v>17584</v>
      </c>
      <c r="GW19" s="74" t="s">
        <v>1072</v>
      </c>
      <c r="GX19" s="74"/>
      <c r="GY19" s="391" t="s">
        <v>1167</v>
      </c>
      <c r="GZ19" s="67">
        <v>2088</v>
      </c>
    </row>
    <row r="20" spans="1:208" x14ac:dyDescent="0.25">
      <c r="C20" s="87"/>
      <c r="D20" s="35"/>
      <c r="E20" s="36"/>
      <c r="F20" s="37"/>
      <c r="G20" s="38"/>
      <c r="H20" s="39"/>
      <c r="I20" s="40"/>
      <c r="J20" s="455" t="s">
        <v>45</v>
      </c>
      <c r="K20" s="407" t="s">
        <v>85</v>
      </c>
      <c r="L20" s="110">
        <v>21310</v>
      </c>
      <c r="M20" s="71">
        <v>43080</v>
      </c>
      <c r="N20" s="56" t="s">
        <v>1121</v>
      </c>
      <c r="O20" s="72">
        <v>30475</v>
      </c>
      <c r="P20" s="113">
        <f t="shared" si="0"/>
        <v>9165</v>
      </c>
      <c r="Q20" s="64">
        <v>27.5</v>
      </c>
      <c r="R20" s="905"/>
      <c r="S20" s="906"/>
      <c r="T20" s="39">
        <f t="shared" si="1"/>
        <v>838062.5</v>
      </c>
      <c r="U20" s="90" t="s">
        <v>72</v>
      </c>
      <c r="V20" s="112">
        <v>43098</v>
      </c>
      <c r="W20" s="109">
        <v>17266.599999999999</v>
      </c>
      <c r="X20" s="17"/>
      <c r="Y20" s="20"/>
      <c r="Z20" s="92"/>
      <c r="AA20" s="93"/>
      <c r="AB20" s="92"/>
      <c r="AC20" s="94"/>
      <c r="AD20" s="95"/>
      <c r="AE20" s="17"/>
      <c r="AF20" s="17"/>
      <c r="AG20" s="17"/>
      <c r="AH20" s="20"/>
      <c r="AI20" s="92"/>
      <c r="AJ20" s="93"/>
      <c r="AK20" s="92"/>
      <c r="AL20" s="94"/>
      <c r="AM20" s="95"/>
      <c r="AN20" s="17"/>
      <c r="AO20" s="17"/>
      <c r="AP20" s="17"/>
      <c r="AQ20" s="20"/>
      <c r="AR20" s="92"/>
      <c r="AS20" s="93"/>
      <c r="AT20" s="92"/>
      <c r="AU20" s="94"/>
      <c r="AV20" s="95"/>
      <c r="AW20" s="17"/>
      <c r="AX20" s="17"/>
      <c r="AY20" s="17"/>
      <c r="AZ20" s="20"/>
      <c r="BA20" s="92"/>
      <c r="BB20" s="93"/>
      <c r="BC20" s="92"/>
      <c r="BD20" s="94"/>
      <c r="BE20" s="95"/>
      <c r="BF20" s="17"/>
      <c r="BG20" s="17"/>
      <c r="BH20" s="17"/>
      <c r="BI20" s="20"/>
      <c r="BJ20" s="92"/>
      <c r="BK20" s="93"/>
      <c r="BL20" s="92"/>
      <c r="BM20" s="94"/>
      <c r="BN20" s="95"/>
      <c r="BO20" s="17"/>
      <c r="BP20" s="17"/>
      <c r="BQ20" s="17"/>
      <c r="BR20" s="20"/>
      <c r="BS20" s="92"/>
      <c r="BT20" s="93"/>
      <c r="BU20" s="92"/>
      <c r="BV20" s="94"/>
      <c r="BW20" s="95"/>
      <c r="BX20" s="17"/>
      <c r="BY20" s="17"/>
      <c r="BZ20" s="17"/>
      <c r="CA20" s="20"/>
      <c r="CB20" s="92"/>
      <c r="CC20" s="93"/>
      <c r="CD20" s="92"/>
      <c r="CE20" s="94"/>
      <c r="CF20" s="95"/>
      <c r="CG20" s="17"/>
      <c r="CH20" s="17"/>
      <c r="CI20" s="17"/>
      <c r="CJ20" s="20"/>
      <c r="CK20" s="92"/>
      <c r="CL20" s="93"/>
      <c r="CM20" s="92"/>
      <c r="CN20" s="94"/>
      <c r="CO20" s="95"/>
      <c r="CP20" s="17"/>
      <c r="CQ20" s="17"/>
      <c r="CR20" s="17"/>
      <c r="CS20" s="20"/>
      <c r="CT20" s="92"/>
      <c r="CU20" s="93"/>
      <c r="CV20" s="96"/>
      <c r="CW20" s="94"/>
      <c r="CX20" s="95"/>
      <c r="CY20" s="17"/>
      <c r="CZ20" s="17"/>
      <c r="DA20" s="17"/>
      <c r="DB20" s="20"/>
      <c r="DC20" s="92"/>
      <c r="DD20" s="93"/>
      <c r="DE20" s="92"/>
      <c r="DF20" s="94"/>
      <c r="DG20" s="95"/>
      <c r="DH20" s="17"/>
      <c r="DI20" s="17"/>
      <c r="DJ20" s="17"/>
      <c r="DK20" s="20"/>
      <c r="DL20" s="92"/>
      <c r="DM20" s="93"/>
      <c r="DN20" s="92"/>
      <c r="DO20" s="94"/>
      <c r="DP20" s="95"/>
      <c r="DQ20" s="17"/>
      <c r="DR20" s="17"/>
      <c r="DS20" s="17"/>
      <c r="DT20" s="20"/>
      <c r="DU20" s="92"/>
      <c r="DV20" s="93"/>
      <c r="DW20" s="92"/>
      <c r="DX20" s="94"/>
      <c r="DY20" s="95"/>
      <c r="DZ20" s="17"/>
      <c r="EA20" s="17"/>
      <c r="EB20" s="17"/>
      <c r="EC20" s="20"/>
      <c r="ED20" s="92"/>
      <c r="EE20" s="93"/>
      <c r="EF20" s="92"/>
      <c r="EG20" s="94"/>
      <c r="EH20" s="95"/>
      <c r="EI20" s="17"/>
      <c r="EJ20" s="17"/>
      <c r="EK20" s="17"/>
      <c r="EL20" s="20"/>
      <c r="EM20" s="92"/>
      <c r="EN20" s="93"/>
      <c r="EO20" s="92"/>
      <c r="EP20" s="94"/>
      <c r="EQ20" s="95"/>
      <c r="ER20" s="17"/>
      <c r="ES20" s="17"/>
      <c r="ET20" s="17"/>
      <c r="EU20" s="20"/>
      <c r="EV20" s="92"/>
      <c r="EW20" s="93"/>
      <c r="EX20" s="92"/>
      <c r="EY20" s="94"/>
      <c r="EZ20" s="95"/>
      <c r="FA20" s="17"/>
      <c r="FB20" s="17"/>
      <c r="FC20" s="17"/>
      <c r="FD20" s="20"/>
      <c r="FE20" s="92"/>
      <c r="FF20" s="93"/>
      <c r="FG20" s="92"/>
      <c r="FH20" s="94"/>
      <c r="FI20" s="95"/>
      <c r="FJ20" s="17"/>
      <c r="FK20" s="17"/>
      <c r="FL20" s="17"/>
      <c r="FM20" s="20"/>
      <c r="FN20" s="92"/>
      <c r="FO20" s="93"/>
      <c r="FP20" s="92"/>
      <c r="FQ20" s="94"/>
      <c r="FR20" s="95"/>
      <c r="FS20" s="17"/>
      <c r="FT20" s="17"/>
      <c r="FU20" s="17"/>
      <c r="FV20" s="20"/>
      <c r="FW20" s="92"/>
      <c r="FX20" s="93"/>
      <c r="FY20" s="92"/>
      <c r="FZ20" s="94"/>
      <c r="GA20" s="95"/>
      <c r="GB20" s="17"/>
      <c r="GC20" s="17"/>
      <c r="GD20" s="17"/>
      <c r="GE20" s="20"/>
      <c r="GF20" s="92"/>
      <c r="GG20" s="93"/>
      <c r="GH20" s="92"/>
      <c r="GI20" s="94"/>
      <c r="GJ20" s="95"/>
      <c r="GK20" s="17"/>
      <c r="GL20" s="17"/>
      <c r="GM20" s="17"/>
      <c r="GN20" s="20"/>
      <c r="GO20" s="92"/>
      <c r="GP20" s="93"/>
      <c r="GQ20" s="92"/>
      <c r="GR20" s="94"/>
      <c r="GS20" s="95"/>
      <c r="GT20" s="645">
        <v>43098</v>
      </c>
      <c r="GU20" s="98"/>
      <c r="GV20" s="637">
        <v>22176</v>
      </c>
      <c r="GW20" s="74" t="s">
        <v>1071</v>
      </c>
      <c r="GX20" s="74"/>
      <c r="GY20" s="391" t="s">
        <v>1167</v>
      </c>
      <c r="GZ20" s="67">
        <v>3712</v>
      </c>
    </row>
    <row r="21" spans="1:208" x14ac:dyDescent="0.25">
      <c r="C21" s="87"/>
      <c r="D21" s="35"/>
      <c r="E21" s="36"/>
      <c r="F21" s="37"/>
      <c r="G21" s="38"/>
      <c r="H21" s="39"/>
      <c r="I21" s="40"/>
      <c r="J21" s="68" t="s">
        <v>44</v>
      </c>
      <c r="K21" s="407" t="s">
        <v>59</v>
      </c>
      <c r="L21" s="70">
        <v>18330</v>
      </c>
      <c r="M21" s="71">
        <v>43081</v>
      </c>
      <c r="N21" s="56" t="s">
        <v>1124</v>
      </c>
      <c r="O21" s="72">
        <v>25535</v>
      </c>
      <c r="P21" s="113">
        <f t="shared" si="0"/>
        <v>7205</v>
      </c>
      <c r="Q21" s="64">
        <v>28</v>
      </c>
      <c r="R21" s="64"/>
      <c r="S21" s="64"/>
      <c r="T21" s="39">
        <f t="shared" si="1"/>
        <v>714980</v>
      </c>
      <c r="U21" s="115" t="s">
        <v>72</v>
      </c>
      <c r="V21" s="112">
        <v>43098</v>
      </c>
      <c r="W21" s="440">
        <v>17342</v>
      </c>
      <c r="X21" s="17"/>
      <c r="Y21" s="20"/>
      <c r="Z21" s="92"/>
      <c r="AA21" s="93"/>
      <c r="AB21" s="92"/>
      <c r="AC21" s="94"/>
      <c r="AD21" s="95"/>
      <c r="AE21" s="17"/>
      <c r="AF21" s="17"/>
      <c r="AG21" s="17"/>
      <c r="AH21" s="20"/>
      <c r="AI21" s="92"/>
      <c r="AJ21" s="93"/>
      <c r="AK21" s="92"/>
      <c r="AL21" s="94"/>
      <c r="AM21" s="95"/>
      <c r="AN21" s="17"/>
      <c r="AO21" s="17"/>
      <c r="AP21" s="17"/>
      <c r="AQ21" s="20"/>
      <c r="AR21" s="92"/>
      <c r="AS21" s="93"/>
      <c r="AT21" s="92"/>
      <c r="AU21" s="94"/>
      <c r="AV21" s="95"/>
      <c r="AW21" s="17"/>
      <c r="AX21" s="17"/>
      <c r="AY21" s="17"/>
      <c r="AZ21" s="20"/>
      <c r="BA21" s="92"/>
      <c r="BB21" s="93"/>
      <c r="BC21" s="92"/>
      <c r="BD21" s="94"/>
      <c r="BE21" s="95"/>
      <c r="BF21" s="17"/>
      <c r="BG21" s="17"/>
      <c r="BH21" s="17"/>
      <c r="BI21" s="20"/>
      <c r="BJ21" s="92"/>
      <c r="BK21" s="93"/>
      <c r="BL21" s="92"/>
      <c r="BM21" s="94"/>
      <c r="BN21" s="95"/>
      <c r="BO21" s="17"/>
      <c r="BP21" s="17"/>
      <c r="BQ21" s="17"/>
      <c r="BR21" s="20"/>
      <c r="BS21" s="92"/>
      <c r="BT21" s="93"/>
      <c r="BU21" s="92"/>
      <c r="BV21" s="94"/>
      <c r="BW21" s="95"/>
      <c r="BX21" s="17"/>
      <c r="BY21" s="17"/>
      <c r="BZ21" s="17"/>
      <c r="CA21" s="20"/>
      <c r="CB21" s="92"/>
      <c r="CC21" s="93"/>
      <c r="CD21" s="92"/>
      <c r="CE21" s="94"/>
      <c r="CF21" s="95"/>
      <c r="CG21" s="17"/>
      <c r="CH21" s="17"/>
      <c r="CI21" s="17"/>
      <c r="CJ21" s="20"/>
      <c r="CK21" s="92"/>
      <c r="CL21" s="93"/>
      <c r="CM21" s="92"/>
      <c r="CN21" s="94"/>
      <c r="CO21" s="95"/>
      <c r="CP21" s="17"/>
      <c r="CQ21" s="17"/>
      <c r="CR21" s="17"/>
      <c r="CS21" s="20"/>
      <c r="CT21" s="92"/>
      <c r="CU21" s="93"/>
      <c r="CV21" s="96"/>
      <c r="CW21" s="94"/>
      <c r="CX21" s="95"/>
      <c r="CY21" s="17"/>
      <c r="CZ21" s="17"/>
      <c r="DA21" s="17"/>
      <c r="DB21" s="20"/>
      <c r="DC21" s="92"/>
      <c r="DD21" s="93"/>
      <c r="DE21" s="92"/>
      <c r="DF21" s="94"/>
      <c r="DG21" s="95"/>
      <c r="DH21" s="17"/>
      <c r="DI21" s="17"/>
      <c r="DJ21" s="17"/>
      <c r="DK21" s="20"/>
      <c r="DL21" s="92"/>
      <c r="DM21" s="93"/>
      <c r="DN21" s="92"/>
      <c r="DO21" s="94"/>
      <c r="DP21" s="95"/>
      <c r="DQ21" s="17"/>
      <c r="DR21" s="17"/>
      <c r="DS21" s="17"/>
      <c r="DT21" s="20"/>
      <c r="DU21" s="92"/>
      <c r="DV21" s="93"/>
      <c r="DW21" s="92"/>
      <c r="DX21" s="94"/>
      <c r="DY21" s="95"/>
      <c r="DZ21" s="17"/>
      <c r="EA21" s="17"/>
      <c r="EB21" s="17"/>
      <c r="EC21" s="20"/>
      <c r="ED21" s="92"/>
      <c r="EE21" s="93"/>
      <c r="EF21" s="92"/>
      <c r="EG21" s="94"/>
      <c r="EH21" s="95"/>
      <c r="EI21" s="17"/>
      <c r="EJ21" s="17"/>
      <c r="EK21" s="17"/>
      <c r="EL21" s="20"/>
      <c r="EM21" s="92"/>
      <c r="EN21" s="93"/>
      <c r="EO21" s="92"/>
      <c r="EP21" s="94"/>
      <c r="EQ21" s="95"/>
      <c r="ER21" s="17"/>
      <c r="ES21" s="17"/>
      <c r="ET21" s="17"/>
      <c r="EU21" s="20"/>
      <c r="EV21" s="92"/>
      <c r="EW21" s="93"/>
      <c r="EX21" s="92"/>
      <c r="EY21" s="94"/>
      <c r="EZ21" s="95"/>
      <c r="FA21" s="17"/>
      <c r="FB21" s="17"/>
      <c r="FC21" s="17"/>
      <c r="FD21" s="20"/>
      <c r="FE21" s="92"/>
      <c r="FF21" s="93"/>
      <c r="FG21" s="92"/>
      <c r="FH21" s="94"/>
      <c r="FI21" s="95"/>
      <c r="FJ21" s="17"/>
      <c r="FK21" s="17"/>
      <c r="FL21" s="17"/>
      <c r="FM21" s="20"/>
      <c r="FN21" s="92"/>
      <c r="FO21" s="93"/>
      <c r="FP21" s="92"/>
      <c r="FQ21" s="94"/>
      <c r="FR21" s="95"/>
      <c r="FS21" s="17"/>
      <c r="FT21" s="17"/>
      <c r="FU21" s="17"/>
      <c r="FV21" s="20"/>
      <c r="FW21" s="92"/>
      <c r="FX21" s="93"/>
      <c r="FY21" s="92"/>
      <c r="FZ21" s="94"/>
      <c r="GA21" s="95"/>
      <c r="GB21" s="17"/>
      <c r="GC21" s="17"/>
      <c r="GD21" s="17"/>
      <c r="GE21" s="20"/>
      <c r="GF21" s="92"/>
      <c r="GG21" s="93"/>
      <c r="GH21" s="92"/>
      <c r="GI21" s="94"/>
      <c r="GJ21" s="95"/>
      <c r="GK21" s="17"/>
      <c r="GL21" s="17"/>
      <c r="GM21" s="17"/>
      <c r="GN21" s="20"/>
      <c r="GO21" s="92"/>
      <c r="GP21" s="93"/>
      <c r="GQ21" s="92"/>
      <c r="GR21" s="94"/>
      <c r="GS21" s="95"/>
      <c r="GT21" s="645">
        <v>43098</v>
      </c>
      <c r="GU21" s="98"/>
      <c r="GV21" s="637">
        <v>22176</v>
      </c>
      <c r="GW21" s="74" t="s">
        <v>1073</v>
      </c>
      <c r="GX21" s="74"/>
      <c r="GY21" s="391" t="s">
        <v>1167</v>
      </c>
      <c r="GZ21" s="67">
        <v>3712</v>
      </c>
    </row>
    <row r="22" spans="1:208" x14ac:dyDescent="0.25">
      <c r="C22" s="87"/>
      <c r="D22" s="35"/>
      <c r="E22" s="36"/>
      <c r="F22" s="37"/>
      <c r="G22" s="38"/>
      <c r="H22" s="39"/>
      <c r="I22" s="40"/>
      <c r="J22" s="68" t="s">
        <v>564</v>
      </c>
      <c r="K22" s="407" t="s">
        <v>46</v>
      </c>
      <c r="L22" s="70">
        <v>11460</v>
      </c>
      <c r="M22" s="71">
        <v>43081</v>
      </c>
      <c r="N22" s="56" t="s">
        <v>1126</v>
      </c>
      <c r="O22" s="72">
        <v>11140</v>
      </c>
      <c r="P22" s="113">
        <f t="shared" si="0"/>
        <v>-320</v>
      </c>
      <c r="Q22" s="64">
        <v>28</v>
      </c>
      <c r="R22" s="64"/>
      <c r="S22" s="64"/>
      <c r="T22" s="39">
        <f t="shared" si="1"/>
        <v>311920</v>
      </c>
      <c r="U22" s="115" t="s">
        <v>72</v>
      </c>
      <c r="V22" s="112">
        <v>43098</v>
      </c>
      <c r="W22" s="440">
        <v>7540</v>
      </c>
      <c r="X22" s="17"/>
      <c r="Y22" s="20"/>
      <c r="Z22" s="92"/>
      <c r="AA22" s="93"/>
      <c r="AB22" s="92"/>
      <c r="AC22" s="94"/>
      <c r="AD22" s="95"/>
      <c r="AE22" s="17"/>
      <c r="AF22" s="17"/>
      <c r="AG22" s="17"/>
      <c r="AH22" s="20"/>
      <c r="AI22" s="92"/>
      <c r="AJ22" s="93"/>
      <c r="AK22" s="92"/>
      <c r="AL22" s="94"/>
      <c r="AM22" s="95"/>
      <c r="AN22" s="17"/>
      <c r="AO22" s="17"/>
      <c r="AP22" s="17"/>
      <c r="AQ22" s="20"/>
      <c r="AR22" s="92"/>
      <c r="AS22" s="93"/>
      <c r="AT22" s="92"/>
      <c r="AU22" s="94"/>
      <c r="AV22" s="95"/>
      <c r="AW22" s="17"/>
      <c r="AX22" s="17"/>
      <c r="AY22" s="17"/>
      <c r="AZ22" s="20"/>
      <c r="BA22" s="92"/>
      <c r="BB22" s="93"/>
      <c r="BC22" s="92"/>
      <c r="BD22" s="94"/>
      <c r="BE22" s="95"/>
      <c r="BF22" s="17"/>
      <c r="BG22" s="17"/>
      <c r="BH22" s="17"/>
      <c r="BI22" s="20"/>
      <c r="BJ22" s="92"/>
      <c r="BK22" s="93"/>
      <c r="BL22" s="92"/>
      <c r="BM22" s="94"/>
      <c r="BN22" s="95"/>
      <c r="BO22" s="17"/>
      <c r="BP22" s="17"/>
      <c r="BQ22" s="17"/>
      <c r="BR22" s="20"/>
      <c r="BS22" s="92"/>
      <c r="BT22" s="93"/>
      <c r="BU22" s="92"/>
      <c r="BV22" s="94"/>
      <c r="BW22" s="95"/>
      <c r="BX22" s="17"/>
      <c r="BY22" s="17"/>
      <c r="BZ22" s="17"/>
      <c r="CA22" s="20"/>
      <c r="CB22" s="92"/>
      <c r="CC22" s="93"/>
      <c r="CD22" s="92"/>
      <c r="CE22" s="94"/>
      <c r="CF22" s="95"/>
      <c r="CG22" s="17"/>
      <c r="CH22" s="17"/>
      <c r="CI22" s="17"/>
      <c r="CJ22" s="20"/>
      <c r="CK22" s="92"/>
      <c r="CL22" s="93"/>
      <c r="CM22" s="92"/>
      <c r="CN22" s="94"/>
      <c r="CO22" s="95"/>
      <c r="CP22" s="17"/>
      <c r="CQ22" s="17"/>
      <c r="CR22" s="17"/>
      <c r="CS22" s="20"/>
      <c r="CT22" s="92"/>
      <c r="CU22" s="93"/>
      <c r="CV22" s="96"/>
      <c r="CW22" s="94"/>
      <c r="CX22" s="95"/>
      <c r="CY22" s="17"/>
      <c r="CZ22" s="17"/>
      <c r="DA22" s="17"/>
      <c r="DB22" s="20"/>
      <c r="DC22" s="92"/>
      <c r="DD22" s="93"/>
      <c r="DE22" s="92"/>
      <c r="DF22" s="94"/>
      <c r="DG22" s="95"/>
      <c r="DH22" s="17"/>
      <c r="DI22" s="17"/>
      <c r="DJ22" s="17"/>
      <c r="DK22" s="20"/>
      <c r="DL22" s="92"/>
      <c r="DM22" s="93"/>
      <c r="DN22" s="92"/>
      <c r="DO22" s="94"/>
      <c r="DP22" s="95"/>
      <c r="DQ22" s="17"/>
      <c r="DR22" s="17"/>
      <c r="DS22" s="17"/>
      <c r="DT22" s="20"/>
      <c r="DU22" s="92"/>
      <c r="DV22" s="93"/>
      <c r="DW22" s="92"/>
      <c r="DX22" s="94"/>
      <c r="DY22" s="95"/>
      <c r="DZ22" s="17"/>
      <c r="EA22" s="17"/>
      <c r="EB22" s="17"/>
      <c r="EC22" s="20"/>
      <c r="ED22" s="92"/>
      <c r="EE22" s="93"/>
      <c r="EF22" s="92"/>
      <c r="EG22" s="94"/>
      <c r="EH22" s="95"/>
      <c r="EI22" s="17"/>
      <c r="EJ22" s="17"/>
      <c r="EK22" s="17"/>
      <c r="EL22" s="20"/>
      <c r="EM22" s="92"/>
      <c r="EN22" s="93"/>
      <c r="EO22" s="92"/>
      <c r="EP22" s="94"/>
      <c r="EQ22" s="95"/>
      <c r="ER22" s="17"/>
      <c r="ES22" s="17"/>
      <c r="ET22" s="17"/>
      <c r="EU22" s="20"/>
      <c r="EV22" s="92"/>
      <c r="EW22" s="93"/>
      <c r="EX22" s="92"/>
      <c r="EY22" s="94"/>
      <c r="EZ22" s="95"/>
      <c r="FA22" s="17"/>
      <c r="FB22" s="17"/>
      <c r="FC22" s="17"/>
      <c r="FD22" s="20"/>
      <c r="FE22" s="92"/>
      <c r="FF22" s="93"/>
      <c r="FG22" s="92"/>
      <c r="FH22" s="94"/>
      <c r="FI22" s="95"/>
      <c r="FJ22" s="17"/>
      <c r="FK22" s="17"/>
      <c r="FL22" s="17"/>
      <c r="FM22" s="20"/>
      <c r="FN22" s="92"/>
      <c r="FO22" s="93"/>
      <c r="FP22" s="92"/>
      <c r="FQ22" s="94"/>
      <c r="FR22" s="95"/>
      <c r="FS22" s="17"/>
      <c r="FT22" s="17"/>
      <c r="FU22" s="17"/>
      <c r="FV22" s="20"/>
      <c r="FW22" s="92"/>
      <c r="FX22" s="93"/>
      <c r="FY22" s="92"/>
      <c r="FZ22" s="94"/>
      <c r="GA22" s="95"/>
      <c r="GB22" s="17"/>
      <c r="GC22" s="17"/>
      <c r="GD22" s="17"/>
      <c r="GE22" s="20"/>
      <c r="GF22" s="92"/>
      <c r="GG22" s="93"/>
      <c r="GH22" s="92"/>
      <c r="GI22" s="94"/>
      <c r="GJ22" s="95"/>
      <c r="GK22" s="17"/>
      <c r="GL22" s="17"/>
      <c r="GM22" s="17"/>
      <c r="GN22" s="20"/>
      <c r="GO22" s="92"/>
      <c r="GP22" s="93"/>
      <c r="GQ22" s="92"/>
      <c r="GR22" s="94"/>
      <c r="GS22" s="95"/>
      <c r="GT22" s="645">
        <v>43098</v>
      </c>
      <c r="GU22" s="98"/>
      <c r="GV22" s="639">
        <v>17584</v>
      </c>
      <c r="GW22" s="74" t="s">
        <v>1074</v>
      </c>
      <c r="GX22" s="74"/>
      <c r="GY22" s="389" t="s">
        <v>1167</v>
      </c>
      <c r="GZ22" s="67">
        <v>2088</v>
      </c>
    </row>
    <row r="23" spans="1:208" x14ac:dyDescent="0.25">
      <c r="C23" s="87"/>
      <c r="D23" s="35"/>
      <c r="E23" s="36"/>
      <c r="F23" s="37"/>
      <c r="G23" s="38"/>
      <c r="H23" s="39"/>
      <c r="I23" s="40"/>
      <c r="J23" s="76" t="s">
        <v>64</v>
      </c>
      <c r="K23" s="407" t="s">
        <v>154</v>
      </c>
      <c r="L23" s="70"/>
      <c r="M23" s="71">
        <v>43081</v>
      </c>
      <c r="N23" s="56" t="s">
        <v>1125</v>
      </c>
      <c r="O23" s="72">
        <v>3115</v>
      </c>
      <c r="P23" s="113">
        <f t="shared" si="0"/>
        <v>3115</v>
      </c>
      <c r="Q23" s="64">
        <v>28</v>
      </c>
      <c r="R23" s="64"/>
      <c r="S23" s="64"/>
      <c r="T23" s="39">
        <f t="shared" si="1"/>
        <v>87220</v>
      </c>
      <c r="U23" s="115" t="s">
        <v>72</v>
      </c>
      <c r="V23" s="112">
        <v>43098</v>
      </c>
      <c r="W23" s="440">
        <v>2262</v>
      </c>
      <c r="X23" s="17"/>
      <c r="Y23" s="20"/>
      <c r="Z23" s="92"/>
      <c r="AA23" s="93"/>
      <c r="AB23" s="92"/>
      <c r="AC23" s="94"/>
      <c r="AD23" s="95"/>
      <c r="AE23" s="17"/>
      <c r="AF23" s="17"/>
      <c r="AG23" s="17"/>
      <c r="AH23" s="20"/>
      <c r="AI23" s="92"/>
      <c r="AJ23" s="93"/>
      <c r="AK23" s="92"/>
      <c r="AL23" s="94"/>
      <c r="AM23" s="95"/>
      <c r="AN23" s="17"/>
      <c r="AO23" s="17"/>
      <c r="AP23" s="17"/>
      <c r="AQ23" s="20"/>
      <c r="AR23" s="92"/>
      <c r="AS23" s="93"/>
      <c r="AT23" s="92"/>
      <c r="AU23" s="94"/>
      <c r="AV23" s="95"/>
      <c r="AW23" s="17"/>
      <c r="AX23" s="17"/>
      <c r="AY23" s="17"/>
      <c r="AZ23" s="20"/>
      <c r="BA23" s="92"/>
      <c r="BB23" s="93"/>
      <c r="BC23" s="92"/>
      <c r="BD23" s="94"/>
      <c r="BE23" s="95"/>
      <c r="BF23" s="17"/>
      <c r="BG23" s="17"/>
      <c r="BH23" s="17"/>
      <c r="BI23" s="20"/>
      <c r="BJ23" s="92"/>
      <c r="BK23" s="93"/>
      <c r="BL23" s="92"/>
      <c r="BM23" s="94"/>
      <c r="BN23" s="95"/>
      <c r="BO23" s="17"/>
      <c r="BP23" s="17"/>
      <c r="BQ23" s="17"/>
      <c r="BR23" s="20"/>
      <c r="BS23" s="92"/>
      <c r="BT23" s="93"/>
      <c r="BU23" s="92"/>
      <c r="BV23" s="94"/>
      <c r="BW23" s="95"/>
      <c r="BX23" s="17"/>
      <c r="BY23" s="17"/>
      <c r="BZ23" s="17"/>
      <c r="CA23" s="20"/>
      <c r="CB23" s="92"/>
      <c r="CC23" s="93"/>
      <c r="CD23" s="92"/>
      <c r="CE23" s="94"/>
      <c r="CF23" s="95"/>
      <c r="CG23" s="17"/>
      <c r="CH23" s="17"/>
      <c r="CI23" s="17"/>
      <c r="CJ23" s="20"/>
      <c r="CK23" s="92"/>
      <c r="CL23" s="93"/>
      <c r="CM23" s="92"/>
      <c r="CN23" s="94"/>
      <c r="CO23" s="95"/>
      <c r="CP23" s="17"/>
      <c r="CQ23" s="17"/>
      <c r="CR23" s="17"/>
      <c r="CS23" s="20"/>
      <c r="CT23" s="92"/>
      <c r="CU23" s="93"/>
      <c r="CV23" s="96"/>
      <c r="CW23" s="94"/>
      <c r="CX23" s="95"/>
      <c r="CY23" s="17"/>
      <c r="CZ23" s="17"/>
      <c r="DA23" s="17"/>
      <c r="DB23" s="20"/>
      <c r="DC23" s="92"/>
      <c r="DD23" s="93"/>
      <c r="DE23" s="92"/>
      <c r="DF23" s="94"/>
      <c r="DG23" s="95"/>
      <c r="DH23" s="17"/>
      <c r="DI23" s="17"/>
      <c r="DJ23" s="17"/>
      <c r="DK23" s="20"/>
      <c r="DL23" s="92"/>
      <c r="DM23" s="93"/>
      <c r="DN23" s="92"/>
      <c r="DO23" s="94"/>
      <c r="DP23" s="95"/>
      <c r="DQ23" s="17"/>
      <c r="DR23" s="17"/>
      <c r="DS23" s="17"/>
      <c r="DT23" s="20"/>
      <c r="DU23" s="92"/>
      <c r="DV23" s="93"/>
      <c r="DW23" s="92"/>
      <c r="DX23" s="94"/>
      <c r="DY23" s="95"/>
      <c r="DZ23" s="17"/>
      <c r="EA23" s="17"/>
      <c r="EB23" s="17"/>
      <c r="EC23" s="20"/>
      <c r="ED23" s="92"/>
      <c r="EE23" s="93"/>
      <c r="EF23" s="92"/>
      <c r="EG23" s="94"/>
      <c r="EH23" s="95"/>
      <c r="EI23" s="17"/>
      <c r="EJ23" s="17"/>
      <c r="EK23" s="17"/>
      <c r="EL23" s="20"/>
      <c r="EM23" s="92"/>
      <c r="EN23" s="93"/>
      <c r="EO23" s="92"/>
      <c r="EP23" s="94"/>
      <c r="EQ23" s="95"/>
      <c r="ER23" s="17"/>
      <c r="ES23" s="17"/>
      <c r="ET23" s="17"/>
      <c r="EU23" s="20"/>
      <c r="EV23" s="92"/>
      <c r="EW23" s="93"/>
      <c r="EX23" s="92"/>
      <c r="EY23" s="94"/>
      <c r="EZ23" s="95"/>
      <c r="FA23" s="17"/>
      <c r="FB23" s="17"/>
      <c r="FC23" s="17"/>
      <c r="FD23" s="20"/>
      <c r="FE23" s="92"/>
      <c r="FF23" s="93"/>
      <c r="FG23" s="92"/>
      <c r="FH23" s="94"/>
      <c r="FI23" s="95"/>
      <c r="FJ23" s="17"/>
      <c r="FK23" s="17"/>
      <c r="FL23" s="17"/>
      <c r="FM23" s="20"/>
      <c r="FN23" s="92"/>
      <c r="FO23" s="93"/>
      <c r="FP23" s="92"/>
      <c r="FQ23" s="94"/>
      <c r="FR23" s="95"/>
      <c r="FS23" s="17"/>
      <c r="FT23" s="17"/>
      <c r="FU23" s="17"/>
      <c r="FV23" s="20"/>
      <c r="FW23" s="92"/>
      <c r="FX23" s="93"/>
      <c r="FY23" s="92"/>
      <c r="FZ23" s="94"/>
      <c r="GA23" s="95"/>
      <c r="GB23" s="17"/>
      <c r="GC23" s="17"/>
      <c r="GD23" s="17"/>
      <c r="GE23" s="20"/>
      <c r="GF23" s="92"/>
      <c r="GG23" s="93"/>
      <c r="GH23" s="92"/>
      <c r="GI23" s="94"/>
      <c r="GJ23" s="95"/>
      <c r="GK23" s="17"/>
      <c r="GL23" s="17"/>
      <c r="GM23" s="17"/>
      <c r="GN23" s="20"/>
      <c r="GO23" s="92"/>
      <c r="GP23" s="93"/>
      <c r="GQ23" s="92"/>
      <c r="GR23" s="94"/>
      <c r="GS23" s="95"/>
      <c r="GT23" s="645">
        <v>43098</v>
      </c>
      <c r="GU23" s="98"/>
      <c r="GV23" s="639">
        <v>0</v>
      </c>
      <c r="GW23" s="74" t="s">
        <v>1075</v>
      </c>
      <c r="GX23" s="74"/>
      <c r="GY23" s="389" t="s">
        <v>1167</v>
      </c>
      <c r="GZ23" s="67">
        <v>0</v>
      </c>
    </row>
    <row r="24" spans="1:208" x14ac:dyDescent="0.25">
      <c r="C24" s="87"/>
      <c r="D24" s="35"/>
      <c r="E24" s="36"/>
      <c r="F24" s="37"/>
      <c r="G24" s="38"/>
      <c r="H24" s="39"/>
      <c r="I24" s="40"/>
      <c r="J24" s="76" t="s">
        <v>1035</v>
      </c>
      <c r="K24" s="407" t="s">
        <v>35</v>
      </c>
      <c r="L24" s="70">
        <v>10260</v>
      </c>
      <c r="M24" s="71">
        <v>43082</v>
      </c>
      <c r="N24" s="56" t="s">
        <v>1127</v>
      </c>
      <c r="O24" s="72">
        <v>13660</v>
      </c>
      <c r="P24" s="113">
        <f t="shared" si="0"/>
        <v>3400</v>
      </c>
      <c r="Q24" s="64">
        <v>28.5</v>
      </c>
      <c r="R24" s="64"/>
      <c r="S24" s="64"/>
      <c r="T24" s="39" t="s">
        <v>15</v>
      </c>
      <c r="U24" s="115" t="s">
        <v>72</v>
      </c>
      <c r="V24" s="112">
        <v>43098</v>
      </c>
      <c r="W24" s="440">
        <v>9802</v>
      </c>
      <c r="X24" s="17"/>
      <c r="Y24" s="20"/>
      <c r="Z24" s="92"/>
      <c r="AA24" s="93"/>
      <c r="AB24" s="92"/>
      <c r="AC24" s="94"/>
      <c r="AD24" s="95"/>
      <c r="AE24" s="17"/>
      <c r="AF24" s="17"/>
      <c r="AG24" s="17"/>
      <c r="AH24" s="20"/>
      <c r="AI24" s="92"/>
      <c r="AJ24" s="93"/>
      <c r="AK24" s="92"/>
      <c r="AL24" s="94"/>
      <c r="AM24" s="95"/>
      <c r="AN24" s="17"/>
      <c r="AO24" s="17"/>
      <c r="AP24" s="17"/>
      <c r="AQ24" s="20"/>
      <c r="AR24" s="92"/>
      <c r="AS24" s="93"/>
      <c r="AT24" s="92"/>
      <c r="AU24" s="94"/>
      <c r="AV24" s="95"/>
      <c r="AW24" s="17"/>
      <c r="AX24" s="17"/>
      <c r="AY24" s="17"/>
      <c r="AZ24" s="20"/>
      <c r="BA24" s="92"/>
      <c r="BB24" s="93"/>
      <c r="BC24" s="92"/>
      <c r="BD24" s="94"/>
      <c r="BE24" s="95"/>
      <c r="BF24" s="17"/>
      <c r="BG24" s="17"/>
      <c r="BH24" s="17"/>
      <c r="BI24" s="20"/>
      <c r="BJ24" s="92"/>
      <c r="BK24" s="93"/>
      <c r="BL24" s="92"/>
      <c r="BM24" s="94"/>
      <c r="BN24" s="95"/>
      <c r="BO24" s="17"/>
      <c r="BP24" s="17"/>
      <c r="BQ24" s="17"/>
      <c r="BR24" s="20"/>
      <c r="BS24" s="92"/>
      <c r="BT24" s="93"/>
      <c r="BU24" s="92"/>
      <c r="BV24" s="94"/>
      <c r="BW24" s="95"/>
      <c r="BX24" s="17"/>
      <c r="BY24" s="17"/>
      <c r="BZ24" s="17"/>
      <c r="CA24" s="20"/>
      <c r="CB24" s="92"/>
      <c r="CC24" s="93"/>
      <c r="CD24" s="92"/>
      <c r="CE24" s="94"/>
      <c r="CF24" s="95"/>
      <c r="CG24" s="17"/>
      <c r="CH24" s="17"/>
      <c r="CI24" s="17"/>
      <c r="CJ24" s="20"/>
      <c r="CK24" s="92"/>
      <c r="CL24" s="93"/>
      <c r="CM24" s="92"/>
      <c r="CN24" s="94"/>
      <c r="CO24" s="95"/>
      <c r="CP24" s="17"/>
      <c r="CQ24" s="17"/>
      <c r="CR24" s="17"/>
      <c r="CS24" s="20"/>
      <c r="CT24" s="92"/>
      <c r="CU24" s="93"/>
      <c r="CV24" s="96"/>
      <c r="CW24" s="94"/>
      <c r="CX24" s="95"/>
      <c r="CY24" s="17"/>
      <c r="CZ24" s="17"/>
      <c r="DA24" s="17"/>
      <c r="DB24" s="20"/>
      <c r="DC24" s="92"/>
      <c r="DD24" s="93"/>
      <c r="DE24" s="92"/>
      <c r="DF24" s="94"/>
      <c r="DG24" s="95"/>
      <c r="DH24" s="17"/>
      <c r="DI24" s="17"/>
      <c r="DJ24" s="17"/>
      <c r="DK24" s="20"/>
      <c r="DL24" s="92"/>
      <c r="DM24" s="93"/>
      <c r="DN24" s="92"/>
      <c r="DO24" s="94"/>
      <c r="DP24" s="95"/>
      <c r="DQ24" s="17"/>
      <c r="DR24" s="17"/>
      <c r="DS24" s="17"/>
      <c r="DT24" s="20"/>
      <c r="DU24" s="92"/>
      <c r="DV24" s="93"/>
      <c r="DW24" s="92"/>
      <c r="DX24" s="94"/>
      <c r="DY24" s="95"/>
      <c r="DZ24" s="17"/>
      <c r="EA24" s="17"/>
      <c r="EB24" s="17"/>
      <c r="EC24" s="20"/>
      <c r="ED24" s="92"/>
      <c r="EE24" s="93"/>
      <c r="EF24" s="92"/>
      <c r="EG24" s="94"/>
      <c r="EH24" s="95"/>
      <c r="EI24" s="17"/>
      <c r="EJ24" s="17"/>
      <c r="EK24" s="17"/>
      <c r="EL24" s="20"/>
      <c r="EM24" s="92"/>
      <c r="EN24" s="93"/>
      <c r="EO24" s="92"/>
      <c r="EP24" s="94"/>
      <c r="EQ24" s="95"/>
      <c r="ER24" s="17"/>
      <c r="ES24" s="17"/>
      <c r="ET24" s="17"/>
      <c r="EU24" s="20"/>
      <c r="EV24" s="92"/>
      <c r="EW24" s="93"/>
      <c r="EX24" s="92"/>
      <c r="EY24" s="94"/>
      <c r="EZ24" s="95"/>
      <c r="FA24" s="17"/>
      <c r="FB24" s="17"/>
      <c r="FC24" s="17"/>
      <c r="FD24" s="20"/>
      <c r="FE24" s="92"/>
      <c r="FF24" s="93"/>
      <c r="FG24" s="92"/>
      <c r="FH24" s="94"/>
      <c r="FI24" s="95"/>
      <c r="FJ24" s="17"/>
      <c r="FK24" s="17"/>
      <c r="FL24" s="17"/>
      <c r="FM24" s="20"/>
      <c r="FN24" s="92"/>
      <c r="FO24" s="93"/>
      <c r="FP24" s="92"/>
      <c r="FQ24" s="94"/>
      <c r="FR24" s="95"/>
      <c r="FS24" s="17"/>
      <c r="FT24" s="17"/>
      <c r="FU24" s="17"/>
      <c r="FV24" s="20"/>
      <c r="FW24" s="92"/>
      <c r="FX24" s="93"/>
      <c r="FY24" s="92"/>
      <c r="FZ24" s="94"/>
      <c r="GA24" s="95"/>
      <c r="GB24" s="17"/>
      <c r="GC24" s="17"/>
      <c r="GD24" s="17"/>
      <c r="GE24" s="20"/>
      <c r="GF24" s="92"/>
      <c r="GG24" s="93"/>
      <c r="GH24" s="92"/>
      <c r="GI24" s="94"/>
      <c r="GJ24" s="95"/>
      <c r="GK24" s="17"/>
      <c r="GL24" s="17"/>
      <c r="GM24" s="17"/>
      <c r="GN24" s="20"/>
      <c r="GO24" s="92"/>
      <c r="GP24" s="93"/>
      <c r="GQ24" s="92"/>
      <c r="GR24" s="94"/>
      <c r="GS24" s="95"/>
      <c r="GT24" s="645">
        <v>43098</v>
      </c>
      <c r="GU24" s="98"/>
      <c r="GV24" s="637">
        <v>17584</v>
      </c>
      <c r="GW24" s="74" t="s">
        <v>1076</v>
      </c>
      <c r="GX24" s="74"/>
      <c r="GY24" s="389" t="s">
        <v>1167</v>
      </c>
      <c r="GZ24" s="67">
        <v>2088</v>
      </c>
    </row>
    <row r="25" spans="1:208" x14ac:dyDescent="0.25">
      <c r="C25" s="87"/>
      <c r="D25" s="35"/>
      <c r="E25" s="36"/>
      <c r="F25" s="37"/>
      <c r="G25" s="38"/>
      <c r="H25" s="39"/>
      <c r="I25" s="40"/>
      <c r="J25" s="76" t="s">
        <v>153</v>
      </c>
      <c r="K25" s="450" t="s">
        <v>59</v>
      </c>
      <c r="L25" s="70">
        <v>18920</v>
      </c>
      <c r="M25" s="71">
        <v>43082</v>
      </c>
      <c r="N25" s="380" t="s">
        <v>1128</v>
      </c>
      <c r="O25" s="72">
        <v>23460</v>
      </c>
      <c r="P25" s="113">
        <f t="shared" si="0"/>
        <v>4540</v>
      </c>
      <c r="Q25" s="64">
        <v>28.5</v>
      </c>
      <c r="R25" s="64"/>
      <c r="S25" s="64"/>
      <c r="T25" s="39">
        <f t="shared" si="1"/>
        <v>668610</v>
      </c>
      <c r="U25" s="363" t="s">
        <v>72</v>
      </c>
      <c r="V25" s="353">
        <v>43102</v>
      </c>
      <c r="W25" s="364">
        <v>17342</v>
      </c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61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430">
        <v>43102</v>
      </c>
      <c r="GU25" s="411"/>
      <c r="GV25" s="637">
        <v>22176</v>
      </c>
      <c r="GW25" s="74" t="s">
        <v>1077</v>
      </c>
      <c r="GX25" s="74"/>
      <c r="GY25" s="389" t="s">
        <v>1167</v>
      </c>
      <c r="GZ25" s="67">
        <v>3712</v>
      </c>
    </row>
    <row r="26" spans="1:208" x14ac:dyDescent="0.25">
      <c r="C26" s="87"/>
      <c r="D26" s="35"/>
      <c r="E26" s="36"/>
      <c r="F26" s="37"/>
      <c r="G26" s="38"/>
      <c r="H26" s="39"/>
      <c r="I26" s="40"/>
      <c r="J26" s="76" t="s">
        <v>1036</v>
      </c>
      <c r="K26" s="407" t="s">
        <v>148</v>
      </c>
      <c r="L26" s="70">
        <v>22470</v>
      </c>
      <c r="M26" s="71">
        <v>43083</v>
      </c>
      <c r="N26" s="380" t="s">
        <v>1129</v>
      </c>
      <c r="O26" s="72">
        <v>28540</v>
      </c>
      <c r="P26" s="113">
        <f t="shared" si="0"/>
        <v>6070</v>
      </c>
      <c r="Q26" s="64">
        <v>28.5</v>
      </c>
      <c r="R26" s="64"/>
      <c r="S26" s="64"/>
      <c r="T26" s="39">
        <f t="shared" si="1"/>
        <v>813390</v>
      </c>
      <c r="U26" s="363" t="s">
        <v>72</v>
      </c>
      <c r="V26" s="353">
        <v>43102</v>
      </c>
      <c r="W26" s="364">
        <v>18925.400000000001</v>
      </c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61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650">
        <v>43102</v>
      </c>
      <c r="GU26" s="411"/>
      <c r="GV26" s="637">
        <v>22176</v>
      </c>
      <c r="GW26" s="74" t="s">
        <v>1078</v>
      </c>
      <c r="GX26" s="74"/>
      <c r="GY26" s="389" t="s">
        <v>1167</v>
      </c>
      <c r="GZ26" s="67">
        <v>3712</v>
      </c>
    </row>
    <row r="27" spans="1:208" x14ac:dyDescent="0.25">
      <c r="C27" s="87"/>
      <c r="D27" s="35"/>
      <c r="E27" s="36"/>
      <c r="F27" s="37"/>
      <c r="G27" s="38"/>
      <c r="H27" s="39"/>
      <c r="I27" s="40"/>
      <c r="J27" s="68" t="s">
        <v>1037</v>
      </c>
      <c r="K27" s="407" t="s">
        <v>35</v>
      </c>
      <c r="L27" s="70">
        <v>10690</v>
      </c>
      <c r="M27" s="71">
        <v>43083</v>
      </c>
      <c r="N27" s="380" t="s">
        <v>1130</v>
      </c>
      <c r="O27" s="72">
        <v>13995</v>
      </c>
      <c r="P27" s="113">
        <f t="shared" si="0"/>
        <v>3305</v>
      </c>
      <c r="Q27" s="64">
        <v>28.5</v>
      </c>
      <c r="R27" s="64"/>
      <c r="S27" s="64"/>
      <c r="T27" s="39">
        <f t="shared" si="1"/>
        <v>398857.5</v>
      </c>
      <c r="U27" s="363" t="s">
        <v>72</v>
      </c>
      <c r="V27" s="353">
        <v>43102</v>
      </c>
      <c r="W27" s="364">
        <v>9802</v>
      </c>
      <c r="X27" s="355"/>
      <c r="Y27" s="356"/>
      <c r="Z27" s="357"/>
      <c r="AA27" s="358"/>
      <c r="AB27" s="357"/>
      <c r="AC27" s="359"/>
      <c r="AD27" s="360"/>
      <c r="AE27" s="355"/>
      <c r="AF27" s="355"/>
      <c r="AG27" s="355"/>
      <c r="AH27" s="356"/>
      <c r="AI27" s="357"/>
      <c r="AJ27" s="358"/>
      <c r="AK27" s="357"/>
      <c r="AL27" s="359"/>
      <c r="AM27" s="360"/>
      <c r="AN27" s="355"/>
      <c r="AO27" s="355"/>
      <c r="AP27" s="355"/>
      <c r="AQ27" s="356"/>
      <c r="AR27" s="357"/>
      <c r="AS27" s="358"/>
      <c r="AT27" s="357"/>
      <c r="AU27" s="359"/>
      <c r="AV27" s="360"/>
      <c r="AW27" s="355"/>
      <c r="AX27" s="355"/>
      <c r="AY27" s="355"/>
      <c r="AZ27" s="356"/>
      <c r="BA27" s="357"/>
      <c r="BB27" s="358"/>
      <c r="BC27" s="357"/>
      <c r="BD27" s="359"/>
      <c r="BE27" s="360"/>
      <c r="BF27" s="355"/>
      <c r="BG27" s="355"/>
      <c r="BH27" s="355"/>
      <c r="BI27" s="356"/>
      <c r="BJ27" s="357"/>
      <c r="BK27" s="358"/>
      <c r="BL27" s="357"/>
      <c r="BM27" s="359"/>
      <c r="BN27" s="360"/>
      <c r="BO27" s="355"/>
      <c r="BP27" s="355"/>
      <c r="BQ27" s="355"/>
      <c r="BR27" s="356"/>
      <c r="BS27" s="357"/>
      <c r="BT27" s="358"/>
      <c r="BU27" s="357"/>
      <c r="BV27" s="359"/>
      <c r="BW27" s="360"/>
      <c r="BX27" s="355"/>
      <c r="BY27" s="355"/>
      <c r="BZ27" s="355"/>
      <c r="CA27" s="356"/>
      <c r="CB27" s="357"/>
      <c r="CC27" s="358"/>
      <c r="CD27" s="357"/>
      <c r="CE27" s="359"/>
      <c r="CF27" s="360"/>
      <c r="CG27" s="355"/>
      <c r="CH27" s="355"/>
      <c r="CI27" s="355"/>
      <c r="CJ27" s="356"/>
      <c r="CK27" s="357"/>
      <c r="CL27" s="358"/>
      <c r="CM27" s="357"/>
      <c r="CN27" s="359"/>
      <c r="CO27" s="360"/>
      <c r="CP27" s="355"/>
      <c r="CQ27" s="355"/>
      <c r="CR27" s="355"/>
      <c r="CS27" s="356"/>
      <c r="CT27" s="357"/>
      <c r="CU27" s="358"/>
      <c r="CV27" s="361"/>
      <c r="CW27" s="359"/>
      <c r="CX27" s="360"/>
      <c r="CY27" s="355"/>
      <c r="CZ27" s="355"/>
      <c r="DA27" s="355"/>
      <c r="DB27" s="356"/>
      <c r="DC27" s="357"/>
      <c r="DD27" s="358"/>
      <c r="DE27" s="357"/>
      <c r="DF27" s="359"/>
      <c r="DG27" s="360"/>
      <c r="DH27" s="355"/>
      <c r="DI27" s="355"/>
      <c r="DJ27" s="355"/>
      <c r="DK27" s="356"/>
      <c r="DL27" s="357"/>
      <c r="DM27" s="358"/>
      <c r="DN27" s="357"/>
      <c r="DO27" s="359"/>
      <c r="DP27" s="360"/>
      <c r="DQ27" s="355"/>
      <c r="DR27" s="355"/>
      <c r="DS27" s="355"/>
      <c r="DT27" s="356"/>
      <c r="DU27" s="357"/>
      <c r="DV27" s="358"/>
      <c r="DW27" s="357"/>
      <c r="DX27" s="359"/>
      <c r="DY27" s="360"/>
      <c r="DZ27" s="355"/>
      <c r="EA27" s="355"/>
      <c r="EB27" s="355"/>
      <c r="EC27" s="356"/>
      <c r="ED27" s="357"/>
      <c r="EE27" s="358"/>
      <c r="EF27" s="357"/>
      <c r="EG27" s="359"/>
      <c r="EH27" s="360"/>
      <c r="EI27" s="355"/>
      <c r="EJ27" s="355"/>
      <c r="EK27" s="355"/>
      <c r="EL27" s="356"/>
      <c r="EM27" s="357"/>
      <c r="EN27" s="358"/>
      <c r="EO27" s="357"/>
      <c r="EP27" s="359"/>
      <c r="EQ27" s="360"/>
      <c r="ER27" s="355"/>
      <c r="ES27" s="355"/>
      <c r="ET27" s="355"/>
      <c r="EU27" s="356"/>
      <c r="EV27" s="357"/>
      <c r="EW27" s="358"/>
      <c r="EX27" s="357"/>
      <c r="EY27" s="359"/>
      <c r="EZ27" s="360"/>
      <c r="FA27" s="355"/>
      <c r="FB27" s="355"/>
      <c r="FC27" s="355"/>
      <c r="FD27" s="356"/>
      <c r="FE27" s="357"/>
      <c r="FF27" s="358"/>
      <c r="FG27" s="357"/>
      <c r="FH27" s="359"/>
      <c r="FI27" s="360"/>
      <c r="FJ27" s="355"/>
      <c r="FK27" s="355"/>
      <c r="FL27" s="355"/>
      <c r="FM27" s="356"/>
      <c r="FN27" s="357"/>
      <c r="FO27" s="358"/>
      <c r="FP27" s="357"/>
      <c r="FQ27" s="359"/>
      <c r="FR27" s="360"/>
      <c r="FS27" s="355"/>
      <c r="FT27" s="355"/>
      <c r="FU27" s="355"/>
      <c r="FV27" s="356"/>
      <c r="FW27" s="357"/>
      <c r="FX27" s="358"/>
      <c r="FY27" s="357"/>
      <c r="FZ27" s="359"/>
      <c r="GA27" s="360"/>
      <c r="GB27" s="355"/>
      <c r="GC27" s="355"/>
      <c r="GD27" s="355"/>
      <c r="GE27" s="356"/>
      <c r="GF27" s="357"/>
      <c r="GG27" s="358"/>
      <c r="GH27" s="357"/>
      <c r="GI27" s="359"/>
      <c r="GJ27" s="360"/>
      <c r="GK27" s="355"/>
      <c r="GL27" s="355"/>
      <c r="GM27" s="355"/>
      <c r="GN27" s="356"/>
      <c r="GO27" s="357"/>
      <c r="GP27" s="358"/>
      <c r="GQ27" s="357"/>
      <c r="GR27" s="359"/>
      <c r="GS27" s="360"/>
      <c r="GT27" s="430">
        <v>43102</v>
      </c>
      <c r="GU27" s="411"/>
      <c r="GV27" s="637">
        <v>17584</v>
      </c>
      <c r="GW27" s="74" t="s">
        <v>1079</v>
      </c>
      <c r="GX27" s="74"/>
      <c r="GY27" s="389" t="s">
        <v>1167</v>
      </c>
      <c r="GZ27" s="67">
        <v>2088</v>
      </c>
    </row>
    <row r="28" spans="1:208" x14ac:dyDescent="0.25">
      <c r="A28" s="1">
        <v>23</v>
      </c>
      <c r="B28" t="e">
        <f>#REF!</f>
        <v>#REF!</v>
      </c>
      <c r="C28" t="e">
        <f>#REF!</f>
        <v>#REF!</v>
      </c>
      <c r="D28" s="35" t="e">
        <f>#REF!</f>
        <v>#REF!</v>
      </c>
      <c r="E28" s="36" t="e">
        <f>#REF!</f>
        <v>#REF!</v>
      </c>
      <c r="F28" s="37" t="e">
        <f>#REF!</f>
        <v>#REF!</v>
      </c>
      <c r="G28" s="38" t="e">
        <f>#REF!</f>
        <v>#REF!</v>
      </c>
      <c r="H28" s="39" t="e">
        <f>#REF!</f>
        <v>#REF!</v>
      </c>
      <c r="I28" s="40" t="e">
        <f>#REF!</f>
        <v>#REF!</v>
      </c>
      <c r="J28" s="68" t="s">
        <v>1093</v>
      </c>
      <c r="K28" s="407" t="s">
        <v>35</v>
      </c>
      <c r="L28" s="70">
        <v>10690</v>
      </c>
      <c r="M28" s="71">
        <v>43084</v>
      </c>
      <c r="N28" s="380" t="s">
        <v>1132</v>
      </c>
      <c r="O28" s="72">
        <v>14550</v>
      </c>
      <c r="P28" s="113">
        <f t="shared" si="0"/>
        <v>3860</v>
      </c>
      <c r="Q28" s="64">
        <v>28.5</v>
      </c>
      <c r="R28" s="64"/>
      <c r="S28" s="64"/>
      <c r="T28" s="39">
        <f t="shared" si="1"/>
        <v>414675</v>
      </c>
      <c r="U28" s="363" t="s">
        <v>72</v>
      </c>
      <c r="V28" s="366">
        <v>43102</v>
      </c>
      <c r="W28" s="367">
        <v>9802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430">
        <v>43102</v>
      </c>
      <c r="GU28" s="411"/>
      <c r="GV28" s="639">
        <v>17584</v>
      </c>
      <c r="GW28" s="74" t="s">
        <v>1100</v>
      </c>
      <c r="GX28" s="74"/>
      <c r="GY28" s="391" t="s">
        <v>1167</v>
      </c>
      <c r="GZ28" s="67">
        <v>2088</v>
      </c>
    </row>
    <row r="29" spans="1:208" x14ac:dyDescent="0.25">
      <c r="D29" s="35"/>
      <c r="E29" s="36"/>
      <c r="F29" s="37"/>
      <c r="G29" s="38"/>
      <c r="H29" s="39"/>
      <c r="I29" s="40"/>
      <c r="J29" s="68" t="s">
        <v>153</v>
      </c>
      <c r="K29" s="407" t="s">
        <v>41</v>
      </c>
      <c r="L29" s="70">
        <v>20600</v>
      </c>
      <c r="M29" s="71">
        <v>43084</v>
      </c>
      <c r="N29" s="380" t="s">
        <v>1131</v>
      </c>
      <c r="O29" s="72">
        <v>25625</v>
      </c>
      <c r="P29" s="113">
        <f t="shared" si="0"/>
        <v>5025</v>
      </c>
      <c r="Q29" s="117">
        <v>28.5</v>
      </c>
      <c r="R29" s="117"/>
      <c r="S29" s="117"/>
      <c r="T29" s="39">
        <f t="shared" si="1"/>
        <v>730312.5</v>
      </c>
      <c r="U29" s="363" t="s">
        <v>72</v>
      </c>
      <c r="V29" s="353">
        <v>43102</v>
      </c>
      <c r="W29" s="368">
        <v>18850</v>
      </c>
      <c r="X29" s="355"/>
      <c r="Y29" s="356"/>
      <c r="Z29" s="357"/>
      <c r="AA29" s="358"/>
      <c r="AB29" s="357"/>
      <c r="AC29" s="359"/>
      <c r="AD29" s="360"/>
      <c r="AE29" s="355"/>
      <c r="AF29" s="355"/>
      <c r="AG29" s="355"/>
      <c r="AH29" s="356"/>
      <c r="AI29" s="357"/>
      <c r="AJ29" s="358"/>
      <c r="AK29" s="357"/>
      <c r="AL29" s="359"/>
      <c r="AM29" s="360"/>
      <c r="AN29" s="355"/>
      <c r="AO29" s="355"/>
      <c r="AP29" s="355"/>
      <c r="AQ29" s="356"/>
      <c r="AR29" s="357"/>
      <c r="AS29" s="358"/>
      <c r="AT29" s="357"/>
      <c r="AU29" s="359"/>
      <c r="AV29" s="360"/>
      <c r="AW29" s="355"/>
      <c r="AX29" s="355"/>
      <c r="AY29" s="355"/>
      <c r="AZ29" s="356"/>
      <c r="BA29" s="357"/>
      <c r="BB29" s="358"/>
      <c r="BC29" s="357"/>
      <c r="BD29" s="359"/>
      <c r="BE29" s="360"/>
      <c r="BF29" s="355"/>
      <c r="BG29" s="355"/>
      <c r="BH29" s="355"/>
      <c r="BI29" s="356"/>
      <c r="BJ29" s="357"/>
      <c r="BK29" s="358"/>
      <c r="BL29" s="357"/>
      <c r="BM29" s="359"/>
      <c r="BN29" s="360"/>
      <c r="BO29" s="355"/>
      <c r="BP29" s="355"/>
      <c r="BQ29" s="355"/>
      <c r="BR29" s="356"/>
      <c r="BS29" s="357"/>
      <c r="BT29" s="358"/>
      <c r="BU29" s="357"/>
      <c r="BV29" s="359"/>
      <c r="BW29" s="360"/>
      <c r="BX29" s="355"/>
      <c r="BY29" s="355"/>
      <c r="BZ29" s="355"/>
      <c r="CA29" s="356"/>
      <c r="CB29" s="357"/>
      <c r="CC29" s="358"/>
      <c r="CD29" s="357"/>
      <c r="CE29" s="359"/>
      <c r="CF29" s="360"/>
      <c r="CG29" s="355"/>
      <c r="CH29" s="355"/>
      <c r="CI29" s="355"/>
      <c r="CJ29" s="356"/>
      <c r="CK29" s="357"/>
      <c r="CL29" s="358"/>
      <c r="CM29" s="357"/>
      <c r="CN29" s="359"/>
      <c r="CO29" s="360"/>
      <c r="CP29" s="355"/>
      <c r="CQ29" s="355"/>
      <c r="CR29" s="355"/>
      <c r="CS29" s="356"/>
      <c r="CT29" s="357"/>
      <c r="CU29" s="358"/>
      <c r="CV29" s="357"/>
      <c r="CW29" s="359"/>
      <c r="CX29" s="360"/>
      <c r="CY29" s="355"/>
      <c r="CZ29" s="355"/>
      <c r="DA29" s="355"/>
      <c r="DB29" s="356"/>
      <c r="DC29" s="357"/>
      <c r="DD29" s="358"/>
      <c r="DE29" s="357"/>
      <c r="DF29" s="359"/>
      <c r="DG29" s="360"/>
      <c r="DH29" s="355"/>
      <c r="DI29" s="355"/>
      <c r="DJ29" s="355"/>
      <c r="DK29" s="356"/>
      <c r="DL29" s="357"/>
      <c r="DM29" s="358"/>
      <c r="DN29" s="357"/>
      <c r="DO29" s="359"/>
      <c r="DP29" s="360"/>
      <c r="DQ29" s="355"/>
      <c r="DR29" s="355"/>
      <c r="DS29" s="355"/>
      <c r="DT29" s="356"/>
      <c r="DU29" s="357"/>
      <c r="DV29" s="358"/>
      <c r="DW29" s="357"/>
      <c r="DX29" s="359"/>
      <c r="DY29" s="360"/>
      <c r="DZ29" s="355"/>
      <c r="EA29" s="355"/>
      <c r="EB29" s="355"/>
      <c r="EC29" s="356"/>
      <c r="ED29" s="357"/>
      <c r="EE29" s="358"/>
      <c r="EF29" s="357"/>
      <c r="EG29" s="359"/>
      <c r="EH29" s="360"/>
      <c r="EI29" s="355"/>
      <c r="EJ29" s="355"/>
      <c r="EK29" s="355"/>
      <c r="EL29" s="356"/>
      <c r="EM29" s="357"/>
      <c r="EN29" s="358"/>
      <c r="EO29" s="357"/>
      <c r="EP29" s="359"/>
      <c r="EQ29" s="360"/>
      <c r="ER29" s="355"/>
      <c r="ES29" s="355"/>
      <c r="ET29" s="355"/>
      <c r="EU29" s="356"/>
      <c r="EV29" s="357"/>
      <c r="EW29" s="358"/>
      <c r="EX29" s="357"/>
      <c r="EY29" s="359"/>
      <c r="EZ29" s="360"/>
      <c r="FA29" s="355"/>
      <c r="FB29" s="355"/>
      <c r="FC29" s="355"/>
      <c r="FD29" s="356"/>
      <c r="FE29" s="357"/>
      <c r="FF29" s="358"/>
      <c r="FG29" s="357"/>
      <c r="FH29" s="359"/>
      <c r="FI29" s="360"/>
      <c r="FJ29" s="355"/>
      <c r="FK29" s="355"/>
      <c r="FL29" s="355"/>
      <c r="FM29" s="356"/>
      <c r="FN29" s="357"/>
      <c r="FO29" s="358"/>
      <c r="FP29" s="357"/>
      <c r="FQ29" s="359"/>
      <c r="FR29" s="360"/>
      <c r="FS29" s="355"/>
      <c r="FT29" s="355"/>
      <c r="FU29" s="355"/>
      <c r="FV29" s="356"/>
      <c r="FW29" s="357"/>
      <c r="FX29" s="358"/>
      <c r="FY29" s="357"/>
      <c r="FZ29" s="359"/>
      <c r="GA29" s="360"/>
      <c r="GB29" s="355"/>
      <c r="GC29" s="355"/>
      <c r="GD29" s="355"/>
      <c r="GE29" s="356"/>
      <c r="GF29" s="357"/>
      <c r="GG29" s="358"/>
      <c r="GH29" s="357"/>
      <c r="GI29" s="359"/>
      <c r="GJ29" s="360"/>
      <c r="GK29" s="355"/>
      <c r="GL29" s="355"/>
      <c r="GM29" s="355"/>
      <c r="GN29" s="356"/>
      <c r="GO29" s="357"/>
      <c r="GP29" s="358"/>
      <c r="GQ29" s="357"/>
      <c r="GR29" s="359"/>
      <c r="GS29" s="360"/>
      <c r="GT29" s="430">
        <v>43102</v>
      </c>
      <c r="GU29" s="411"/>
      <c r="GV29" s="637">
        <v>22176</v>
      </c>
      <c r="GW29" s="74" t="s">
        <v>1101</v>
      </c>
      <c r="GX29" s="74"/>
      <c r="GY29" s="389" t="s">
        <v>1167</v>
      </c>
      <c r="GZ29" s="67">
        <v>3712</v>
      </c>
    </row>
    <row r="30" spans="1:208" x14ac:dyDescent="0.25">
      <c r="D30" s="35"/>
      <c r="E30" s="36"/>
      <c r="F30" s="37"/>
      <c r="G30" s="38"/>
      <c r="H30" s="39"/>
      <c r="I30" s="40"/>
      <c r="J30" s="68" t="s">
        <v>153</v>
      </c>
      <c r="K30" s="407" t="s">
        <v>35</v>
      </c>
      <c r="L30" s="70">
        <v>11800</v>
      </c>
      <c r="M30" s="71">
        <v>43086</v>
      </c>
      <c r="N30" s="380" t="s">
        <v>1133</v>
      </c>
      <c r="O30" s="72">
        <v>14650</v>
      </c>
      <c r="P30" s="113">
        <f t="shared" si="0"/>
        <v>2850</v>
      </c>
      <c r="Q30" s="117">
        <v>28.5</v>
      </c>
      <c r="R30" s="905"/>
      <c r="S30" s="906"/>
      <c r="T30" s="39">
        <f t="shared" si="1"/>
        <v>417525</v>
      </c>
      <c r="U30" s="363" t="s">
        <v>72</v>
      </c>
      <c r="V30" s="353">
        <v>43103</v>
      </c>
      <c r="W30" s="368">
        <v>9802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430">
        <v>43102</v>
      </c>
      <c r="GU30" s="411"/>
      <c r="GV30" s="637">
        <v>17584</v>
      </c>
      <c r="GW30" s="74" t="s">
        <v>1110</v>
      </c>
      <c r="GX30" s="74"/>
      <c r="GY30" s="670" t="s">
        <v>1170</v>
      </c>
      <c r="GZ30" s="674">
        <v>2320</v>
      </c>
    </row>
    <row r="31" spans="1:208" x14ac:dyDescent="0.25">
      <c r="D31" s="35"/>
      <c r="E31" s="36"/>
      <c r="F31" s="37"/>
      <c r="G31" s="38"/>
      <c r="H31" s="39"/>
      <c r="I31" s="40"/>
      <c r="J31" s="76" t="s">
        <v>153</v>
      </c>
      <c r="K31" s="450" t="s">
        <v>156</v>
      </c>
      <c r="L31" s="70">
        <v>16320</v>
      </c>
      <c r="M31" s="71">
        <v>43087</v>
      </c>
      <c r="N31" s="380" t="s">
        <v>1134</v>
      </c>
      <c r="O31" s="72">
        <v>20495</v>
      </c>
      <c r="P31" s="113">
        <f t="shared" si="0"/>
        <v>4175</v>
      </c>
      <c r="Q31" s="117">
        <v>28.5</v>
      </c>
      <c r="R31" s="635"/>
      <c r="S31" s="636"/>
      <c r="T31" s="39">
        <f t="shared" si="1"/>
        <v>584107.5</v>
      </c>
      <c r="U31" s="363" t="s">
        <v>72</v>
      </c>
      <c r="V31" s="353">
        <v>43103</v>
      </c>
      <c r="W31" s="368">
        <v>15080</v>
      </c>
      <c r="X31" s="355"/>
      <c r="Y31" s="356"/>
      <c r="Z31" s="357"/>
      <c r="AA31" s="358"/>
      <c r="AB31" s="357"/>
      <c r="AC31" s="359"/>
      <c r="AD31" s="360"/>
      <c r="AE31" s="355"/>
      <c r="AF31" s="355"/>
      <c r="AG31" s="355"/>
      <c r="AH31" s="356"/>
      <c r="AI31" s="357"/>
      <c r="AJ31" s="358"/>
      <c r="AK31" s="357"/>
      <c r="AL31" s="359"/>
      <c r="AM31" s="360"/>
      <c r="AN31" s="355"/>
      <c r="AO31" s="355"/>
      <c r="AP31" s="355"/>
      <c r="AQ31" s="356"/>
      <c r="AR31" s="357"/>
      <c r="AS31" s="358"/>
      <c r="AT31" s="357"/>
      <c r="AU31" s="359"/>
      <c r="AV31" s="360"/>
      <c r="AW31" s="355"/>
      <c r="AX31" s="355"/>
      <c r="AY31" s="355"/>
      <c r="AZ31" s="356"/>
      <c r="BA31" s="357"/>
      <c r="BB31" s="358"/>
      <c r="BC31" s="357"/>
      <c r="BD31" s="359"/>
      <c r="BE31" s="360"/>
      <c r="BF31" s="355"/>
      <c r="BG31" s="355"/>
      <c r="BH31" s="355"/>
      <c r="BI31" s="356"/>
      <c r="BJ31" s="357"/>
      <c r="BK31" s="358"/>
      <c r="BL31" s="357"/>
      <c r="BM31" s="359"/>
      <c r="BN31" s="360"/>
      <c r="BO31" s="355"/>
      <c r="BP31" s="355"/>
      <c r="BQ31" s="355"/>
      <c r="BR31" s="356"/>
      <c r="BS31" s="357"/>
      <c r="BT31" s="358"/>
      <c r="BU31" s="357"/>
      <c r="BV31" s="359"/>
      <c r="BW31" s="360"/>
      <c r="BX31" s="355"/>
      <c r="BY31" s="355"/>
      <c r="BZ31" s="355"/>
      <c r="CA31" s="356"/>
      <c r="CB31" s="357"/>
      <c r="CC31" s="358"/>
      <c r="CD31" s="357"/>
      <c r="CE31" s="359"/>
      <c r="CF31" s="360"/>
      <c r="CG31" s="355"/>
      <c r="CH31" s="355"/>
      <c r="CI31" s="355"/>
      <c r="CJ31" s="356"/>
      <c r="CK31" s="357"/>
      <c r="CL31" s="358"/>
      <c r="CM31" s="357"/>
      <c r="CN31" s="359"/>
      <c r="CO31" s="360"/>
      <c r="CP31" s="355"/>
      <c r="CQ31" s="355"/>
      <c r="CR31" s="355"/>
      <c r="CS31" s="356"/>
      <c r="CT31" s="357"/>
      <c r="CU31" s="358"/>
      <c r="CV31" s="357"/>
      <c r="CW31" s="359"/>
      <c r="CX31" s="360"/>
      <c r="CY31" s="355"/>
      <c r="CZ31" s="355"/>
      <c r="DA31" s="355"/>
      <c r="DB31" s="356"/>
      <c r="DC31" s="357"/>
      <c r="DD31" s="358"/>
      <c r="DE31" s="357"/>
      <c r="DF31" s="359"/>
      <c r="DG31" s="360"/>
      <c r="DH31" s="355"/>
      <c r="DI31" s="355"/>
      <c r="DJ31" s="355"/>
      <c r="DK31" s="356"/>
      <c r="DL31" s="357"/>
      <c r="DM31" s="358"/>
      <c r="DN31" s="357"/>
      <c r="DO31" s="359"/>
      <c r="DP31" s="360"/>
      <c r="DQ31" s="355"/>
      <c r="DR31" s="355"/>
      <c r="DS31" s="355"/>
      <c r="DT31" s="356"/>
      <c r="DU31" s="357"/>
      <c r="DV31" s="358"/>
      <c r="DW31" s="357"/>
      <c r="DX31" s="359"/>
      <c r="DY31" s="360"/>
      <c r="DZ31" s="355"/>
      <c r="EA31" s="355"/>
      <c r="EB31" s="355"/>
      <c r="EC31" s="356"/>
      <c r="ED31" s="357"/>
      <c r="EE31" s="358"/>
      <c r="EF31" s="357"/>
      <c r="EG31" s="359"/>
      <c r="EH31" s="360"/>
      <c r="EI31" s="355"/>
      <c r="EJ31" s="355"/>
      <c r="EK31" s="355"/>
      <c r="EL31" s="356"/>
      <c r="EM31" s="357"/>
      <c r="EN31" s="358"/>
      <c r="EO31" s="357"/>
      <c r="EP31" s="359"/>
      <c r="EQ31" s="360"/>
      <c r="ER31" s="355"/>
      <c r="ES31" s="355"/>
      <c r="ET31" s="355"/>
      <c r="EU31" s="356"/>
      <c r="EV31" s="357"/>
      <c r="EW31" s="358"/>
      <c r="EX31" s="357"/>
      <c r="EY31" s="359"/>
      <c r="EZ31" s="360"/>
      <c r="FA31" s="355"/>
      <c r="FB31" s="355"/>
      <c r="FC31" s="355"/>
      <c r="FD31" s="356"/>
      <c r="FE31" s="357"/>
      <c r="FF31" s="358"/>
      <c r="FG31" s="357"/>
      <c r="FH31" s="359"/>
      <c r="FI31" s="360"/>
      <c r="FJ31" s="355"/>
      <c r="FK31" s="355"/>
      <c r="FL31" s="355"/>
      <c r="FM31" s="356"/>
      <c r="FN31" s="357"/>
      <c r="FO31" s="358"/>
      <c r="FP31" s="357"/>
      <c r="FQ31" s="359"/>
      <c r="FR31" s="360"/>
      <c r="FS31" s="355"/>
      <c r="FT31" s="355"/>
      <c r="FU31" s="355"/>
      <c r="FV31" s="356"/>
      <c r="FW31" s="357"/>
      <c r="FX31" s="358"/>
      <c r="FY31" s="357"/>
      <c r="FZ31" s="359"/>
      <c r="GA31" s="360"/>
      <c r="GB31" s="355"/>
      <c r="GC31" s="355"/>
      <c r="GD31" s="355"/>
      <c r="GE31" s="356"/>
      <c r="GF31" s="357"/>
      <c r="GG31" s="358"/>
      <c r="GH31" s="357"/>
      <c r="GI31" s="359"/>
      <c r="GJ31" s="360"/>
      <c r="GK31" s="355"/>
      <c r="GL31" s="355"/>
      <c r="GM31" s="355"/>
      <c r="GN31" s="356"/>
      <c r="GO31" s="357"/>
      <c r="GP31" s="358"/>
      <c r="GQ31" s="357"/>
      <c r="GR31" s="359"/>
      <c r="GS31" s="360"/>
      <c r="GT31" s="430">
        <v>43103</v>
      </c>
      <c r="GU31" s="411"/>
      <c r="GV31" s="637"/>
      <c r="GW31" s="74"/>
      <c r="GX31" s="74"/>
      <c r="GY31" s="670" t="s">
        <v>1170</v>
      </c>
      <c r="GZ31" s="673">
        <v>4176</v>
      </c>
    </row>
    <row r="32" spans="1:208" x14ac:dyDescent="0.25">
      <c r="D32" s="35"/>
      <c r="E32" s="36"/>
      <c r="F32" s="37"/>
      <c r="G32" s="38"/>
      <c r="H32" s="39"/>
      <c r="I32" s="40"/>
      <c r="J32" s="76" t="s">
        <v>1094</v>
      </c>
      <c r="K32" s="450" t="s">
        <v>1095</v>
      </c>
      <c r="L32" s="70">
        <v>20210</v>
      </c>
      <c r="M32" s="71">
        <v>43088</v>
      </c>
      <c r="N32" s="380" t="s">
        <v>1135</v>
      </c>
      <c r="O32" s="72">
        <v>24830</v>
      </c>
      <c r="P32" s="113">
        <f t="shared" si="0"/>
        <v>4620</v>
      </c>
      <c r="Q32" s="117">
        <v>28.5</v>
      </c>
      <c r="R32" s="635"/>
      <c r="S32" s="636"/>
      <c r="T32" s="39">
        <f t="shared" si="1"/>
        <v>707655</v>
      </c>
      <c r="U32" s="363" t="s">
        <v>72</v>
      </c>
      <c r="V32" s="353">
        <v>43104</v>
      </c>
      <c r="W32" s="368">
        <v>18925.400000000001</v>
      </c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430">
        <v>43104</v>
      </c>
      <c r="GU32" s="411"/>
      <c r="GV32" s="637">
        <v>22176</v>
      </c>
      <c r="GW32" s="74" t="s">
        <v>1111</v>
      </c>
      <c r="GX32" s="74"/>
      <c r="GY32" s="670" t="s">
        <v>1170</v>
      </c>
      <c r="GZ32" s="673">
        <v>4176</v>
      </c>
    </row>
    <row r="33" spans="1:208" x14ac:dyDescent="0.25">
      <c r="D33" s="35"/>
      <c r="E33" s="36"/>
      <c r="F33" s="37"/>
      <c r="G33" s="38"/>
      <c r="H33" s="39"/>
      <c r="I33" s="40"/>
      <c r="J33" s="68" t="s">
        <v>45</v>
      </c>
      <c r="K33" s="407" t="s">
        <v>1137</v>
      </c>
      <c r="L33" s="70"/>
      <c r="M33" s="71">
        <v>43088</v>
      </c>
      <c r="N33" s="380" t="s">
        <v>1136</v>
      </c>
      <c r="O33" s="72">
        <v>1045</v>
      </c>
      <c r="P33" s="113">
        <f t="shared" si="0"/>
        <v>1045</v>
      </c>
      <c r="Q33" s="568">
        <v>28.5</v>
      </c>
      <c r="R33" s="64"/>
      <c r="S33" s="64"/>
      <c r="T33" s="39">
        <f t="shared" si="1"/>
        <v>29782.5</v>
      </c>
      <c r="U33" s="363" t="s">
        <v>72</v>
      </c>
      <c r="V33" s="353">
        <v>43104</v>
      </c>
      <c r="W33" s="368">
        <v>754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430">
        <v>43104</v>
      </c>
      <c r="GU33" s="411"/>
      <c r="GV33" s="637"/>
      <c r="GW33" s="74" t="s">
        <v>1008</v>
      </c>
      <c r="GX33" s="74"/>
      <c r="GY33" s="672" t="s">
        <v>1075</v>
      </c>
      <c r="GZ33" s="671">
        <v>0</v>
      </c>
    </row>
    <row r="34" spans="1:208" x14ac:dyDescent="0.25">
      <c r="D34" s="35"/>
      <c r="E34" s="36"/>
      <c r="F34" s="37"/>
      <c r="G34" s="38"/>
      <c r="H34" s="39"/>
      <c r="I34" s="40"/>
      <c r="J34" s="68" t="s">
        <v>1096</v>
      </c>
      <c r="K34" s="407" t="s">
        <v>46</v>
      </c>
      <c r="L34" s="70">
        <v>11120</v>
      </c>
      <c r="M34" s="71">
        <v>43089</v>
      </c>
      <c r="N34" s="381" t="s">
        <v>1139</v>
      </c>
      <c r="O34" s="72">
        <v>11470</v>
      </c>
      <c r="P34" s="113">
        <f t="shared" si="0"/>
        <v>350</v>
      </c>
      <c r="Q34" s="117">
        <v>29</v>
      </c>
      <c r="R34" s="64"/>
      <c r="S34" s="120"/>
      <c r="T34" s="39">
        <f t="shared" si="1"/>
        <v>332630</v>
      </c>
      <c r="U34" s="363" t="s">
        <v>72</v>
      </c>
      <c r="V34" s="353">
        <v>43104</v>
      </c>
      <c r="W34" s="369">
        <v>7540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370">
        <v>43104</v>
      </c>
      <c r="GU34" s="411"/>
      <c r="GV34" s="639">
        <v>17584</v>
      </c>
      <c r="GW34" s="74" t="s">
        <v>1112</v>
      </c>
      <c r="GX34" s="74"/>
      <c r="GY34" s="672" t="s">
        <v>1170</v>
      </c>
      <c r="GZ34" s="674">
        <v>2320</v>
      </c>
    </row>
    <row r="35" spans="1:208" x14ac:dyDescent="0.25">
      <c r="D35" s="35"/>
      <c r="E35" s="36"/>
      <c r="F35" s="37"/>
      <c r="G35" s="38"/>
      <c r="H35" s="39"/>
      <c r="I35" s="40"/>
      <c r="J35" s="68" t="s">
        <v>1097</v>
      </c>
      <c r="K35" s="451" t="s">
        <v>59</v>
      </c>
      <c r="L35" s="70">
        <v>17460</v>
      </c>
      <c r="M35" s="71">
        <v>43059</v>
      </c>
      <c r="N35" s="380" t="s">
        <v>1138</v>
      </c>
      <c r="O35" s="72">
        <v>25065</v>
      </c>
      <c r="P35" s="113">
        <f t="shared" si="0"/>
        <v>7605</v>
      </c>
      <c r="Q35" s="117">
        <v>29</v>
      </c>
      <c r="R35" s="117"/>
      <c r="S35" s="89"/>
      <c r="T35" s="39">
        <f t="shared" si="1"/>
        <v>726885</v>
      </c>
      <c r="U35" s="363" t="s">
        <v>72</v>
      </c>
      <c r="V35" s="353">
        <v>43104</v>
      </c>
      <c r="W35" s="368">
        <v>17342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430">
        <v>43104</v>
      </c>
      <c r="GU35" s="411"/>
      <c r="GV35" s="637"/>
      <c r="GW35" s="74"/>
      <c r="GX35" s="74"/>
      <c r="GY35" s="672" t="s">
        <v>1170</v>
      </c>
      <c r="GZ35" s="673">
        <v>4176</v>
      </c>
    </row>
    <row r="36" spans="1:208" x14ac:dyDescent="0.25">
      <c r="D36" s="35"/>
      <c r="E36" s="36"/>
      <c r="F36" s="37"/>
      <c r="G36" s="38"/>
      <c r="H36" s="39"/>
      <c r="I36" s="40"/>
      <c r="J36" s="68" t="s">
        <v>1098</v>
      </c>
      <c r="K36" s="451" t="s">
        <v>37</v>
      </c>
      <c r="L36" s="70">
        <v>15570</v>
      </c>
      <c r="M36" s="71">
        <v>43090</v>
      </c>
      <c r="N36" s="380" t="s">
        <v>1141</v>
      </c>
      <c r="O36" s="72">
        <v>20315</v>
      </c>
      <c r="P36" s="113">
        <f t="shared" si="0"/>
        <v>4745</v>
      </c>
      <c r="Q36" s="117">
        <v>29</v>
      </c>
      <c r="R36" s="117"/>
      <c r="S36" s="89"/>
      <c r="T36" s="39">
        <f t="shared" si="1"/>
        <v>589135</v>
      </c>
      <c r="U36" s="363" t="s">
        <v>72</v>
      </c>
      <c r="V36" s="353">
        <v>43105</v>
      </c>
      <c r="W36" s="368">
        <v>15080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430">
        <v>43105</v>
      </c>
      <c r="GU36" s="411"/>
      <c r="GV36" s="637">
        <v>22176</v>
      </c>
      <c r="GW36" s="74" t="s">
        <v>1113</v>
      </c>
      <c r="GX36" s="74"/>
      <c r="GY36" s="672" t="s">
        <v>1170</v>
      </c>
      <c r="GZ36" s="673">
        <v>4176</v>
      </c>
    </row>
    <row r="37" spans="1:208" x14ac:dyDescent="0.25">
      <c r="D37" s="35"/>
      <c r="E37" s="36"/>
      <c r="F37" s="37"/>
      <c r="G37" s="38"/>
      <c r="H37" s="39"/>
      <c r="I37" s="40"/>
      <c r="J37" s="68" t="s">
        <v>153</v>
      </c>
      <c r="K37" s="407" t="s">
        <v>41</v>
      </c>
      <c r="L37" s="70">
        <v>19940</v>
      </c>
      <c r="M37" s="71">
        <v>43090</v>
      </c>
      <c r="N37" s="380" t="s">
        <v>1140</v>
      </c>
      <c r="O37" s="72">
        <v>25435</v>
      </c>
      <c r="P37" s="113">
        <f t="shared" si="0"/>
        <v>5495</v>
      </c>
      <c r="Q37" s="64">
        <v>29</v>
      </c>
      <c r="R37" s="124"/>
      <c r="S37" s="117"/>
      <c r="T37" s="39">
        <f t="shared" si="1"/>
        <v>737615</v>
      </c>
      <c r="U37" s="363" t="s">
        <v>72</v>
      </c>
      <c r="V37" s="353">
        <v>43105</v>
      </c>
      <c r="W37" s="371">
        <v>18850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370">
        <v>43105</v>
      </c>
      <c r="GU37" s="411"/>
      <c r="GV37" s="637">
        <v>22176</v>
      </c>
      <c r="GW37" s="74" t="s">
        <v>1114</v>
      </c>
      <c r="GX37" s="74"/>
      <c r="GY37" s="672" t="s">
        <v>1170</v>
      </c>
      <c r="GZ37" s="673">
        <v>4176</v>
      </c>
    </row>
    <row r="38" spans="1:208" x14ac:dyDescent="0.25">
      <c r="D38" s="35"/>
      <c r="E38" s="36"/>
      <c r="F38" s="37"/>
      <c r="G38" s="38"/>
      <c r="H38" s="39"/>
      <c r="I38" s="40"/>
      <c r="J38" s="68" t="s">
        <v>44</v>
      </c>
      <c r="K38" s="407" t="s">
        <v>1099</v>
      </c>
      <c r="L38" s="70">
        <v>19190</v>
      </c>
      <c r="M38" s="71">
        <v>43091</v>
      </c>
      <c r="N38" s="380" t="s">
        <v>1142</v>
      </c>
      <c r="O38" s="72">
        <v>29345</v>
      </c>
      <c r="P38" s="113">
        <f t="shared" si="0"/>
        <v>10155</v>
      </c>
      <c r="Q38" s="64">
        <v>29</v>
      </c>
      <c r="R38" s="124"/>
      <c r="S38" s="125"/>
      <c r="T38" s="39">
        <f t="shared" si="1"/>
        <v>851005</v>
      </c>
      <c r="U38" s="363" t="s">
        <v>72</v>
      </c>
      <c r="V38" s="353">
        <v>43108</v>
      </c>
      <c r="W38" s="371">
        <v>18699.2</v>
      </c>
      <c r="X38" s="355"/>
      <c r="Y38" s="356"/>
      <c r="Z38" s="357"/>
      <c r="AA38" s="358"/>
      <c r="AB38" s="357"/>
      <c r="AC38" s="359"/>
      <c r="AD38" s="360"/>
      <c r="AE38" s="355"/>
      <c r="AF38" s="355"/>
      <c r="AG38" s="355"/>
      <c r="AH38" s="356"/>
      <c r="AI38" s="357"/>
      <c r="AJ38" s="358"/>
      <c r="AK38" s="357"/>
      <c r="AL38" s="359"/>
      <c r="AM38" s="360"/>
      <c r="AN38" s="355"/>
      <c r="AO38" s="355"/>
      <c r="AP38" s="355"/>
      <c r="AQ38" s="356"/>
      <c r="AR38" s="357"/>
      <c r="AS38" s="358"/>
      <c r="AT38" s="357"/>
      <c r="AU38" s="359"/>
      <c r="AV38" s="360"/>
      <c r="AW38" s="355"/>
      <c r="AX38" s="355"/>
      <c r="AY38" s="355"/>
      <c r="AZ38" s="356"/>
      <c r="BA38" s="357"/>
      <c r="BB38" s="358"/>
      <c r="BC38" s="357"/>
      <c r="BD38" s="359"/>
      <c r="BE38" s="360"/>
      <c r="BF38" s="355"/>
      <c r="BG38" s="355"/>
      <c r="BH38" s="355"/>
      <c r="BI38" s="356"/>
      <c r="BJ38" s="357"/>
      <c r="BK38" s="358"/>
      <c r="BL38" s="357"/>
      <c r="BM38" s="359"/>
      <c r="BN38" s="360"/>
      <c r="BO38" s="355"/>
      <c r="BP38" s="355"/>
      <c r="BQ38" s="355"/>
      <c r="BR38" s="356"/>
      <c r="BS38" s="357"/>
      <c r="BT38" s="358"/>
      <c r="BU38" s="357"/>
      <c r="BV38" s="359"/>
      <c r="BW38" s="360"/>
      <c r="BX38" s="355"/>
      <c r="BY38" s="355"/>
      <c r="BZ38" s="355"/>
      <c r="CA38" s="356"/>
      <c r="CB38" s="357"/>
      <c r="CC38" s="358"/>
      <c r="CD38" s="357"/>
      <c r="CE38" s="359"/>
      <c r="CF38" s="360"/>
      <c r="CG38" s="355"/>
      <c r="CH38" s="355"/>
      <c r="CI38" s="355"/>
      <c r="CJ38" s="356"/>
      <c r="CK38" s="357"/>
      <c r="CL38" s="358"/>
      <c r="CM38" s="357"/>
      <c r="CN38" s="359"/>
      <c r="CO38" s="360"/>
      <c r="CP38" s="355"/>
      <c r="CQ38" s="355"/>
      <c r="CR38" s="355"/>
      <c r="CS38" s="356"/>
      <c r="CT38" s="357"/>
      <c r="CU38" s="358"/>
      <c r="CV38" s="357"/>
      <c r="CW38" s="359"/>
      <c r="CX38" s="360"/>
      <c r="CY38" s="355"/>
      <c r="CZ38" s="355"/>
      <c r="DA38" s="355"/>
      <c r="DB38" s="356"/>
      <c r="DC38" s="357"/>
      <c r="DD38" s="358"/>
      <c r="DE38" s="357"/>
      <c r="DF38" s="359"/>
      <c r="DG38" s="360"/>
      <c r="DH38" s="355"/>
      <c r="DI38" s="355"/>
      <c r="DJ38" s="355"/>
      <c r="DK38" s="356"/>
      <c r="DL38" s="357"/>
      <c r="DM38" s="358"/>
      <c r="DN38" s="357"/>
      <c r="DO38" s="359"/>
      <c r="DP38" s="360"/>
      <c r="DQ38" s="355"/>
      <c r="DR38" s="355"/>
      <c r="DS38" s="355"/>
      <c r="DT38" s="356"/>
      <c r="DU38" s="357"/>
      <c r="DV38" s="358"/>
      <c r="DW38" s="357"/>
      <c r="DX38" s="359"/>
      <c r="DY38" s="360"/>
      <c r="DZ38" s="355"/>
      <c r="EA38" s="355"/>
      <c r="EB38" s="355"/>
      <c r="EC38" s="356"/>
      <c r="ED38" s="357"/>
      <c r="EE38" s="358"/>
      <c r="EF38" s="357"/>
      <c r="EG38" s="359"/>
      <c r="EH38" s="360"/>
      <c r="EI38" s="355"/>
      <c r="EJ38" s="355"/>
      <c r="EK38" s="355"/>
      <c r="EL38" s="356"/>
      <c r="EM38" s="357"/>
      <c r="EN38" s="358"/>
      <c r="EO38" s="357"/>
      <c r="EP38" s="359"/>
      <c r="EQ38" s="360"/>
      <c r="ER38" s="355"/>
      <c r="ES38" s="355"/>
      <c r="ET38" s="355"/>
      <c r="EU38" s="356"/>
      <c r="EV38" s="357"/>
      <c r="EW38" s="358"/>
      <c r="EX38" s="357"/>
      <c r="EY38" s="359"/>
      <c r="EZ38" s="360"/>
      <c r="FA38" s="355"/>
      <c r="FB38" s="355"/>
      <c r="FC38" s="355"/>
      <c r="FD38" s="356"/>
      <c r="FE38" s="357"/>
      <c r="FF38" s="358"/>
      <c r="FG38" s="357"/>
      <c r="FH38" s="359"/>
      <c r="FI38" s="360"/>
      <c r="FJ38" s="355"/>
      <c r="FK38" s="355"/>
      <c r="FL38" s="355"/>
      <c r="FM38" s="356"/>
      <c r="FN38" s="357"/>
      <c r="FO38" s="358"/>
      <c r="FP38" s="357"/>
      <c r="FQ38" s="359"/>
      <c r="FR38" s="360"/>
      <c r="FS38" s="355"/>
      <c r="FT38" s="355"/>
      <c r="FU38" s="355"/>
      <c r="FV38" s="356"/>
      <c r="FW38" s="357"/>
      <c r="FX38" s="358"/>
      <c r="FY38" s="357"/>
      <c r="FZ38" s="359"/>
      <c r="GA38" s="360"/>
      <c r="GB38" s="355"/>
      <c r="GC38" s="355"/>
      <c r="GD38" s="355"/>
      <c r="GE38" s="356"/>
      <c r="GF38" s="357"/>
      <c r="GG38" s="358"/>
      <c r="GH38" s="357"/>
      <c r="GI38" s="359"/>
      <c r="GJ38" s="360"/>
      <c r="GK38" s="355"/>
      <c r="GL38" s="355"/>
      <c r="GM38" s="355"/>
      <c r="GN38" s="356"/>
      <c r="GO38" s="357"/>
      <c r="GP38" s="358"/>
      <c r="GQ38" s="357"/>
      <c r="GR38" s="359"/>
      <c r="GS38" s="360"/>
      <c r="GT38" s="370">
        <v>43108</v>
      </c>
      <c r="GU38" s="411"/>
      <c r="GV38" s="637">
        <v>22176</v>
      </c>
      <c r="GW38" s="74" t="s">
        <v>1115</v>
      </c>
      <c r="GX38" s="74"/>
      <c r="GY38" s="672" t="s">
        <v>1170</v>
      </c>
      <c r="GZ38" s="673">
        <v>4176</v>
      </c>
    </row>
    <row r="39" spans="1:208" x14ac:dyDescent="0.25">
      <c r="A39"/>
      <c r="D39" s="35"/>
      <c r="E39" s="36"/>
      <c r="F39" s="37"/>
      <c r="G39" s="38"/>
      <c r="H39" s="39"/>
      <c r="I39" s="40"/>
      <c r="J39" s="68" t="s">
        <v>38</v>
      </c>
      <c r="K39" s="407" t="s">
        <v>41</v>
      </c>
      <c r="L39" s="70">
        <v>23700</v>
      </c>
      <c r="M39" s="71">
        <v>43091</v>
      </c>
      <c r="N39" s="380" t="s">
        <v>1143</v>
      </c>
      <c r="O39" s="72">
        <v>24620</v>
      </c>
      <c r="P39" s="113">
        <f t="shared" si="0"/>
        <v>920</v>
      </c>
      <c r="Q39" s="126">
        <v>29</v>
      </c>
      <c r="R39" s="127"/>
      <c r="S39" s="127"/>
      <c r="T39" s="39">
        <f t="shared" si="1"/>
        <v>713980</v>
      </c>
      <c r="U39" s="363" t="s">
        <v>72</v>
      </c>
      <c r="V39" s="353">
        <v>43108</v>
      </c>
      <c r="W39" s="368">
        <v>18850</v>
      </c>
      <c r="X39" s="355"/>
      <c r="Y39" s="356"/>
      <c r="Z39" s="357"/>
      <c r="AA39" s="358"/>
      <c r="AB39" s="357"/>
      <c r="AC39" s="359"/>
      <c r="AD39" s="360"/>
      <c r="AE39" s="355"/>
      <c r="AF39" s="355"/>
      <c r="AG39" s="355"/>
      <c r="AH39" s="356"/>
      <c r="AI39" s="357"/>
      <c r="AJ39" s="358"/>
      <c r="AK39" s="357"/>
      <c r="AL39" s="359"/>
      <c r="AM39" s="360"/>
      <c r="AN39" s="355"/>
      <c r="AO39" s="355"/>
      <c r="AP39" s="355"/>
      <c r="AQ39" s="356"/>
      <c r="AR39" s="357"/>
      <c r="AS39" s="358"/>
      <c r="AT39" s="357"/>
      <c r="AU39" s="359"/>
      <c r="AV39" s="360"/>
      <c r="AW39" s="355"/>
      <c r="AX39" s="355"/>
      <c r="AY39" s="355"/>
      <c r="AZ39" s="356"/>
      <c r="BA39" s="357"/>
      <c r="BB39" s="358"/>
      <c r="BC39" s="357"/>
      <c r="BD39" s="359"/>
      <c r="BE39" s="360"/>
      <c r="BF39" s="355"/>
      <c r="BG39" s="355"/>
      <c r="BH39" s="355"/>
      <c r="BI39" s="356"/>
      <c r="BJ39" s="357"/>
      <c r="BK39" s="358"/>
      <c r="BL39" s="357"/>
      <c r="BM39" s="359"/>
      <c r="BN39" s="360"/>
      <c r="BO39" s="355"/>
      <c r="BP39" s="355"/>
      <c r="BQ39" s="355"/>
      <c r="BR39" s="356"/>
      <c r="BS39" s="357"/>
      <c r="BT39" s="358"/>
      <c r="BU39" s="357"/>
      <c r="BV39" s="359"/>
      <c r="BW39" s="360"/>
      <c r="BX39" s="355"/>
      <c r="BY39" s="355"/>
      <c r="BZ39" s="355"/>
      <c r="CA39" s="356"/>
      <c r="CB39" s="357"/>
      <c r="CC39" s="358"/>
      <c r="CD39" s="357"/>
      <c r="CE39" s="359"/>
      <c r="CF39" s="360"/>
      <c r="CG39" s="355"/>
      <c r="CH39" s="355"/>
      <c r="CI39" s="355"/>
      <c r="CJ39" s="356"/>
      <c r="CK39" s="357"/>
      <c r="CL39" s="358"/>
      <c r="CM39" s="357"/>
      <c r="CN39" s="359"/>
      <c r="CO39" s="360"/>
      <c r="CP39" s="355"/>
      <c r="CQ39" s="355"/>
      <c r="CR39" s="355"/>
      <c r="CS39" s="356"/>
      <c r="CT39" s="357"/>
      <c r="CU39" s="358"/>
      <c r="CV39" s="357"/>
      <c r="CW39" s="359"/>
      <c r="CX39" s="360"/>
      <c r="CY39" s="355"/>
      <c r="CZ39" s="355"/>
      <c r="DA39" s="355"/>
      <c r="DB39" s="356"/>
      <c r="DC39" s="357"/>
      <c r="DD39" s="358"/>
      <c r="DE39" s="357"/>
      <c r="DF39" s="359"/>
      <c r="DG39" s="360"/>
      <c r="DH39" s="355"/>
      <c r="DI39" s="355"/>
      <c r="DJ39" s="355"/>
      <c r="DK39" s="356"/>
      <c r="DL39" s="357"/>
      <c r="DM39" s="358"/>
      <c r="DN39" s="357"/>
      <c r="DO39" s="359"/>
      <c r="DP39" s="360"/>
      <c r="DQ39" s="355"/>
      <c r="DR39" s="355"/>
      <c r="DS39" s="355"/>
      <c r="DT39" s="356"/>
      <c r="DU39" s="357"/>
      <c r="DV39" s="358"/>
      <c r="DW39" s="357"/>
      <c r="DX39" s="359"/>
      <c r="DY39" s="360"/>
      <c r="DZ39" s="355"/>
      <c r="EA39" s="355"/>
      <c r="EB39" s="355"/>
      <c r="EC39" s="356"/>
      <c r="ED39" s="357"/>
      <c r="EE39" s="358"/>
      <c r="EF39" s="357"/>
      <c r="EG39" s="359"/>
      <c r="EH39" s="360"/>
      <c r="EI39" s="355"/>
      <c r="EJ39" s="355"/>
      <c r="EK39" s="355"/>
      <c r="EL39" s="356"/>
      <c r="EM39" s="357"/>
      <c r="EN39" s="358"/>
      <c r="EO39" s="357"/>
      <c r="EP39" s="359"/>
      <c r="EQ39" s="360"/>
      <c r="ER39" s="355"/>
      <c r="ES39" s="355"/>
      <c r="ET39" s="355"/>
      <c r="EU39" s="356"/>
      <c r="EV39" s="357"/>
      <c r="EW39" s="358"/>
      <c r="EX39" s="357"/>
      <c r="EY39" s="359"/>
      <c r="EZ39" s="360"/>
      <c r="FA39" s="355"/>
      <c r="FB39" s="355"/>
      <c r="FC39" s="355"/>
      <c r="FD39" s="356"/>
      <c r="FE39" s="357"/>
      <c r="FF39" s="358"/>
      <c r="FG39" s="357"/>
      <c r="FH39" s="359"/>
      <c r="FI39" s="360"/>
      <c r="FJ39" s="355"/>
      <c r="FK39" s="355"/>
      <c r="FL39" s="355"/>
      <c r="FM39" s="356"/>
      <c r="FN39" s="357"/>
      <c r="FO39" s="358"/>
      <c r="FP39" s="357"/>
      <c r="FQ39" s="359"/>
      <c r="FR39" s="360"/>
      <c r="FS39" s="355"/>
      <c r="FT39" s="355"/>
      <c r="FU39" s="355"/>
      <c r="FV39" s="356"/>
      <c r="FW39" s="357"/>
      <c r="FX39" s="358"/>
      <c r="FY39" s="357"/>
      <c r="FZ39" s="359"/>
      <c r="GA39" s="360"/>
      <c r="GB39" s="355"/>
      <c r="GC39" s="355"/>
      <c r="GD39" s="355"/>
      <c r="GE39" s="356"/>
      <c r="GF39" s="357"/>
      <c r="GG39" s="358"/>
      <c r="GH39" s="357"/>
      <c r="GI39" s="359"/>
      <c r="GJ39" s="360"/>
      <c r="GK39" s="355"/>
      <c r="GL39" s="355"/>
      <c r="GM39" s="355"/>
      <c r="GN39" s="356"/>
      <c r="GO39" s="357"/>
      <c r="GP39" s="358"/>
      <c r="GQ39" s="357"/>
      <c r="GR39" s="359"/>
      <c r="GS39" s="360"/>
      <c r="GT39" s="430">
        <v>43108</v>
      </c>
      <c r="GU39" s="411"/>
      <c r="GV39" s="637"/>
      <c r="GW39" s="74"/>
      <c r="GX39" s="74"/>
      <c r="GY39" s="672" t="s">
        <v>1170</v>
      </c>
      <c r="GZ39" s="673">
        <v>4176</v>
      </c>
    </row>
    <row r="40" spans="1:208" x14ac:dyDescent="0.25">
      <c r="A40"/>
      <c r="D40" s="35"/>
      <c r="E40" s="36"/>
      <c r="F40" s="37"/>
      <c r="G40" s="38"/>
      <c r="H40" s="39"/>
      <c r="I40" s="40"/>
      <c r="J40" s="68" t="s">
        <v>44</v>
      </c>
      <c r="K40" s="407" t="s">
        <v>41</v>
      </c>
      <c r="L40" s="70">
        <v>20940</v>
      </c>
      <c r="M40" s="71">
        <v>43092</v>
      </c>
      <c r="N40" s="380" t="s">
        <v>1152</v>
      </c>
      <c r="O40" s="72">
        <v>26695</v>
      </c>
      <c r="P40" s="113">
        <f t="shared" si="0"/>
        <v>5755</v>
      </c>
      <c r="Q40" s="117">
        <v>29</v>
      </c>
      <c r="R40" s="127"/>
      <c r="S40" s="127"/>
      <c r="T40" s="39">
        <f t="shared" si="1"/>
        <v>774155</v>
      </c>
      <c r="U40" s="363" t="s">
        <v>72</v>
      </c>
      <c r="V40" s="353">
        <v>43109</v>
      </c>
      <c r="W40" s="368">
        <v>18850</v>
      </c>
      <c r="X40" s="355"/>
      <c r="Y40" s="356"/>
      <c r="Z40" s="357"/>
      <c r="AA40" s="358"/>
      <c r="AB40" s="357"/>
      <c r="AC40" s="359"/>
      <c r="AD40" s="360"/>
      <c r="AE40" s="355"/>
      <c r="AF40" s="355"/>
      <c r="AG40" s="355"/>
      <c r="AH40" s="356"/>
      <c r="AI40" s="357"/>
      <c r="AJ40" s="358"/>
      <c r="AK40" s="357"/>
      <c r="AL40" s="359"/>
      <c r="AM40" s="360"/>
      <c r="AN40" s="355"/>
      <c r="AO40" s="355"/>
      <c r="AP40" s="355"/>
      <c r="AQ40" s="356"/>
      <c r="AR40" s="357"/>
      <c r="AS40" s="358"/>
      <c r="AT40" s="357"/>
      <c r="AU40" s="359"/>
      <c r="AV40" s="360"/>
      <c r="AW40" s="355"/>
      <c r="AX40" s="355"/>
      <c r="AY40" s="355"/>
      <c r="AZ40" s="356"/>
      <c r="BA40" s="357"/>
      <c r="BB40" s="358"/>
      <c r="BC40" s="357"/>
      <c r="BD40" s="359"/>
      <c r="BE40" s="360"/>
      <c r="BF40" s="355"/>
      <c r="BG40" s="355"/>
      <c r="BH40" s="355"/>
      <c r="BI40" s="356"/>
      <c r="BJ40" s="357"/>
      <c r="BK40" s="358"/>
      <c r="BL40" s="357"/>
      <c r="BM40" s="359"/>
      <c r="BN40" s="360"/>
      <c r="BO40" s="355"/>
      <c r="BP40" s="355"/>
      <c r="BQ40" s="355"/>
      <c r="BR40" s="356"/>
      <c r="BS40" s="357"/>
      <c r="BT40" s="358"/>
      <c r="BU40" s="357"/>
      <c r="BV40" s="359"/>
      <c r="BW40" s="360"/>
      <c r="BX40" s="355"/>
      <c r="BY40" s="355"/>
      <c r="BZ40" s="355"/>
      <c r="CA40" s="356"/>
      <c r="CB40" s="357"/>
      <c r="CC40" s="358"/>
      <c r="CD40" s="357"/>
      <c r="CE40" s="359"/>
      <c r="CF40" s="360"/>
      <c r="CG40" s="355"/>
      <c r="CH40" s="355"/>
      <c r="CI40" s="355"/>
      <c r="CJ40" s="356"/>
      <c r="CK40" s="357"/>
      <c r="CL40" s="358"/>
      <c r="CM40" s="357"/>
      <c r="CN40" s="359"/>
      <c r="CO40" s="360"/>
      <c r="CP40" s="355"/>
      <c r="CQ40" s="355"/>
      <c r="CR40" s="355"/>
      <c r="CS40" s="356"/>
      <c r="CT40" s="357"/>
      <c r="CU40" s="358"/>
      <c r="CV40" s="357"/>
      <c r="CW40" s="359"/>
      <c r="CX40" s="360"/>
      <c r="CY40" s="355"/>
      <c r="CZ40" s="355"/>
      <c r="DA40" s="355"/>
      <c r="DB40" s="356"/>
      <c r="DC40" s="357"/>
      <c r="DD40" s="358"/>
      <c r="DE40" s="357"/>
      <c r="DF40" s="359"/>
      <c r="DG40" s="360"/>
      <c r="DH40" s="355"/>
      <c r="DI40" s="355"/>
      <c r="DJ40" s="355"/>
      <c r="DK40" s="356"/>
      <c r="DL40" s="357"/>
      <c r="DM40" s="358"/>
      <c r="DN40" s="357"/>
      <c r="DO40" s="359"/>
      <c r="DP40" s="360"/>
      <c r="DQ40" s="355"/>
      <c r="DR40" s="355"/>
      <c r="DS40" s="355"/>
      <c r="DT40" s="356"/>
      <c r="DU40" s="357"/>
      <c r="DV40" s="358"/>
      <c r="DW40" s="357"/>
      <c r="DX40" s="359"/>
      <c r="DY40" s="360"/>
      <c r="DZ40" s="355"/>
      <c r="EA40" s="355"/>
      <c r="EB40" s="355"/>
      <c r="EC40" s="356"/>
      <c r="ED40" s="357"/>
      <c r="EE40" s="358"/>
      <c r="EF40" s="357"/>
      <c r="EG40" s="359"/>
      <c r="EH40" s="360"/>
      <c r="EI40" s="355"/>
      <c r="EJ40" s="355"/>
      <c r="EK40" s="355"/>
      <c r="EL40" s="356"/>
      <c r="EM40" s="357"/>
      <c r="EN40" s="358"/>
      <c r="EO40" s="357"/>
      <c r="EP40" s="359"/>
      <c r="EQ40" s="360"/>
      <c r="ER40" s="355"/>
      <c r="ES40" s="355"/>
      <c r="ET40" s="355"/>
      <c r="EU40" s="356"/>
      <c r="EV40" s="357"/>
      <c r="EW40" s="358"/>
      <c r="EX40" s="357"/>
      <c r="EY40" s="359"/>
      <c r="EZ40" s="360"/>
      <c r="FA40" s="355"/>
      <c r="FB40" s="355"/>
      <c r="FC40" s="355"/>
      <c r="FD40" s="356"/>
      <c r="FE40" s="357"/>
      <c r="FF40" s="358"/>
      <c r="FG40" s="357"/>
      <c r="FH40" s="359"/>
      <c r="FI40" s="360"/>
      <c r="FJ40" s="355"/>
      <c r="FK40" s="355"/>
      <c r="FL40" s="355"/>
      <c r="FM40" s="356"/>
      <c r="FN40" s="357"/>
      <c r="FO40" s="358"/>
      <c r="FP40" s="357"/>
      <c r="FQ40" s="359"/>
      <c r="FR40" s="360"/>
      <c r="FS40" s="355"/>
      <c r="FT40" s="355"/>
      <c r="FU40" s="355"/>
      <c r="FV40" s="356"/>
      <c r="FW40" s="357"/>
      <c r="FX40" s="358"/>
      <c r="FY40" s="357"/>
      <c r="FZ40" s="359"/>
      <c r="GA40" s="360"/>
      <c r="GB40" s="355"/>
      <c r="GC40" s="355"/>
      <c r="GD40" s="355"/>
      <c r="GE40" s="356"/>
      <c r="GF40" s="357"/>
      <c r="GG40" s="358"/>
      <c r="GH40" s="357"/>
      <c r="GI40" s="359"/>
      <c r="GJ40" s="360"/>
      <c r="GK40" s="355"/>
      <c r="GL40" s="355"/>
      <c r="GM40" s="355"/>
      <c r="GN40" s="356"/>
      <c r="GO40" s="357"/>
      <c r="GP40" s="358"/>
      <c r="GQ40" s="357"/>
      <c r="GR40" s="359"/>
      <c r="GS40" s="360"/>
      <c r="GT40" s="430">
        <v>43109</v>
      </c>
      <c r="GU40" s="411"/>
      <c r="GV40" s="637"/>
      <c r="GW40" s="74"/>
      <c r="GX40" s="74"/>
      <c r="GY40" s="672" t="s">
        <v>1170</v>
      </c>
      <c r="GZ40" s="673">
        <v>4176</v>
      </c>
    </row>
    <row r="41" spans="1:208" x14ac:dyDescent="0.25">
      <c r="A41"/>
      <c r="D41" s="35"/>
      <c r="E41" s="36"/>
      <c r="F41" s="37"/>
      <c r="G41" s="38"/>
      <c r="H41" s="39"/>
      <c r="I41" s="40"/>
      <c r="J41" s="68" t="s">
        <v>153</v>
      </c>
      <c r="K41" s="407" t="s">
        <v>35</v>
      </c>
      <c r="L41" s="70">
        <v>10840</v>
      </c>
      <c r="M41" s="71">
        <v>43092</v>
      </c>
      <c r="N41" s="380" t="s">
        <v>1154</v>
      </c>
      <c r="O41" s="72">
        <v>13700</v>
      </c>
      <c r="P41" s="113">
        <f t="shared" si="0"/>
        <v>2860</v>
      </c>
      <c r="Q41" s="117">
        <v>29</v>
      </c>
      <c r="R41" s="117"/>
      <c r="S41" s="117"/>
      <c r="T41" s="39">
        <f>Q41*O41</f>
        <v>397300</v>
      </c>
      <c r="U41" s="363" t="s">
        <v>72</v>
      </c>
      <c r="V41" s="353">
        <v>43110</v>
      </c>
      <c r="W41" s="368">
        <v>9802</v>
      </c>
      <c r="X41" s="355"/>
      <c r="Y41" s="356"/>
      <c r="Z41" s="357"/>
      <c r="AA41" s="358"/>
      <c r="AB41" s="357"/>
      <c r="AC41" s="359"/>
      <c r="AD41" s="360"/>
      <c r="AE41" s="355"/>
      <c r="AF41" s="355"/>
      <c r="AG41" s="355"/>
      <c r="AH41" s="356"/>
      <c r="AI41" s="357"/>
      <c r="AJ41" s="358"/>
      <c r="AK41" s="357"/>
      <c r="AL41" s="359"/>
      <c r="AM41" s="360"/>
      <c r="AN41" s="355"/>
      <c r="AO41" s="355"/>
      <c r="AP41" s="355"/>
      <c r="AQ41" s="356"/>
      <c r="AR41" s="357"/>
      <c r="AS41" s="358"/>
      <c r="AT41" s="357"/>
      <c r="AU41" s="359"/>
      <c r="AV41" s="360"/>
      <c r="AW41" s="355"/>
      <c r="AX41" s="355"/>
      <c r="AY41" s="355"/>
      <c r="AZ41" s="356"/>
      <c r="BA41" s="357"/>
      <c r="BB41" s="358"/>
      <c r="BC41" s="357"/>
      <c r="BD41" s="359"/>
      <c r="BE41" s="360"/>
      <c r="BF41" s="355"/>
      <c r="BG41" s="355"/>
      <c r="BH41" s="355"/>
      <c r="BI41" s="356"/>
      <c r="BJ41" s="357"/>
      <c r="BK41" s="358"/>
      <c r="BL41" s="357"/>
      <c r="BM41" s="359"/>
      <c r="BN41" s="360"/>
      <c r="BO41" s="355"/>
      <c r="BP41" s="355"/>
      <c r="BQ41" s="355"/>
      <c r="BR41" s="356"/>
      <c r="BS41" s="357"/>
      <c r="BT41" s="358"/>
      <c r="BU41" s="357"/>
      <c r="BV41" s="359"/>
      <c r="BW41" s="360"/>
      <c r="BX41" s="355"/>
      <c r="BY41" s="355"/>
      <c r="BZ41" s="355"/>
      <c r="CA41" s="356"/>
      <c r="CB41" s="357"/>
      <c r="CC41" s="358"/>
      <c r="CD41" s="357"/>
      <c r="CE41" s="359"/>
      <c r="CF41" s="360"/>
      <c r="CG41" s="355"/>
      <c r="CH41" s="355"/>
      <c r="CI41" s="355"/>
      <c r="CJ41" s="356"/>
      <c r="CK41" s="357"/>
      <c r="CL41" s="358"/>
      <c r="CM41" s="357"/>
      <c r="CN41" s="359"/>
      <c r="CO41" s="360"/>
      <c r="CP41" s="355"/>
      <c r="CQ41" s="355"/>
      <c r="CR41" s="355"/>
      <c r="CS41" s="356"/>
      <c r="CT41" s="357"/>
      <c r="CU41" s="358"/>
      <c r="CV41" s="357"/>
      <c r="CW41" s="359"/>
      <c r="CX41" s="360"/>
      <c r="CY41" s="355"/>
      <c r="CZ41" s="355"/>
      <c r="DA41" s="355"/>
      <c r="DB41" s="356"/>
      <c r="DC41" s="357"/>
      <c r="DD41" s="358"/>
      <c r="DE41" s="357"/>
      <c r="DF41" s="359"/>
      <c r="DG41" s="360"/>
      <c r="DH41" s="355"/>
      <c r="DI41" s="355"/>
      <c r="DJ41" s="355"/>
      <c r="DK41" s="356"/>
      <c r="DL41" s="357"/>
      <c r="DM41" s="358"/>
      <c r="DN41" s="357"/>
      <c r="DO41" s="359"/>
      <c r="DP41" s="360"/>
      <c r="DQ41" s="355"/>
      <c r="DR41" s="355"/>
      <c r="DS41" s="355"/>
      <c r="DT41" s="356"/>
      <c r="DU41" s="357"/>
      <c r="DV41" s="358"/>
      <c r="DW41" s="357"/>
      <c r="DX41" s="359"/>
      <c r="DY41" s="360"/>
      <c r="DZ41" s="355"/>
      <c r="EA41" s="355"/>
      <c r="EB41" s="355"/>
      <c r="EC41" s="356"/>
      <c r="ED41" s="357"/>
      <c r="EE41" s="358"/>
      <c r="EF41" s="357"/>
      <c r="EG41" s="359"/>
      <c r="EH41" s="360"/>
      <c r="EI41" s="355"/>
      <c r="EJ41" s="355"/>
      <c r="EK41" s="355"/>
      <c r="EL41" s="356"/>
      <c r="EM41" s="357"/>
      <c r="EN41" s="358"/>
      <c r="EO41" s="357"/>
      <c r="EP41" s="359"/>
      <c r="EQ41" s="360"/>
      <c r="ER41" s="355"/>
      <c r="ES41" s="355"/>
      <c r="ET41" s="355"/>
      <c r="EU41" s="356"/>
      <c r="EV41" s="357"/>
      <c r="EW41" s="358"/>
      <c r="EX41" s="357"/>
      <c r="EY41" s="359"/>
      <c r="EZ41" s="360"/>
      <c r="FA41" s="355"/>
      <c r="FB41" s="355"/>
      <c r="FC41" s="355"/>
      <c r="FD41" s="356"/>
      <c r="FE41" s="357"/>
      <c r="FF41" s="358"/>
      <c r="FG41" s="357"/>
      <c r="FH41" s="359"/>
      <c r="FI41" s="360"/>
      <c r="FJ41" s="355"/>
      <c r="FK41" s="355"/>
      <c r="FL41" s="355"/>
      <c r="FM41" s="356"/>
      <c r="FN41" s="357"/>
      <c r="FO41" s="358"/>
      <c r="FP41" s="357"/>
      <c r="FQ41" s="359"/>
      <c r="FR41" s="360"/>
      <c r="FS41" s="355"/>
      <c r="FT41" s="355"/>
      <c r="FU41" s="355"/>
      <c r="FV41" s="356"/>
      <c r="FW41" s="357"/>
      <c r="FX41" s="358"/>
      <c r="FY41" s="357"/>
      <c r="FZ41" s="359"/>
      <c r="GA41" s="360"/>
      <c r="GB41" s="355"/>
      <c r="GC41" s="355"/>
      <c r="GD41" s="355"/>
      <c r="GE41" s="356"/>
      <c r="GF41" s="357"/>
      <c r="GG41" s="358"/>
      <c r="GH41" s="357"/>
      <c r="GI41" s="359"/>
      <c r="GJ41" s="360"/>
      <c r="GK41" s="355"/>
      <c r="GL41" s="355"/>
      <c r="GM41" s="355"/>
      <c r="GN41" s="356"/>
      <c r="GO41" s="357"/>
      <c r="GP41" s="358"/>
      <c r="GQ41" s="357"/>
      <c r="GR41" s="359"/>
      <c r="GS41" s="360"/>
      <c r="GT41" s="370">
        <v>43110</v>
      </c>
      <c r="GU41" s="411"/>
      <c r="GV41" s="637">
        <v>17584</v>
      </c>
      <c r="GW41" s="74" t="s">
        <v>1116</v>
      </c>
      <c r="GX41" s="74"/>
      <c r="GY41" s="672" t="s">
        <v>1170</v>
      </c>
      <c r="GZ41" s="674">
        <v>2320</v>
      </c>
    </row>
    <row r="42" spans="1:208" x14ac:dyDescent="0.25">
      <c r="A42"/>
      <c r="D42" s="35"/>
      <c r="E42" s="36"/>
      <c r="F42" s="37"/>
      <c r="G42" s="38"/>
      <c r="H42" s="39"/>
      <c r="I42" s="40"/>
      <c r="J42" s="68" t="s">
        <v>38</v>
      </c>
      <c r="K42" s="407" t="s">
        <v>37</v>
      </c>
      <c r="L42" s="70">
        <v>14900</v>
      </c>
      <c r="M42" s="71">
        <v>43093</v>
      </c>
      <c r="N42" s="380" t="s">
        <v>1156</v>
      </c>
      <c r="O42" s="72">
        <v>18685</v>
      </c>
      <c r="P42" s="113">
        <f t="shared" si="0"/>
        <v>3785</v>
      </c>
      <c r="Q42" s="117">
        <v>29</v>
      </c>
      <c r="R42" s="117"/>
      <c r="S42" s="117"/>
      <c r="T42" s="39">
        <f>Q42*O42</f>
        <v>541865</v>
      </c>
      <c r="U42" s="363" t="s">
        <v>72</v>
      </c>
      <c r="V42" s="353">
        <v>43111</v>
      </c>
      <c r="W42" s="368">
        <v>15080</v>
      </c>
      <c r="X42" s="355"/>
      <c r="Y42" s="356"/>
      <c r="Z42" s="357"/>
      <c r="AA42" s="358"/>
      <c r="AB42" s="357"/>
      <c r="AC42" s="359"/>
      <c r="AD42" s="360"/>
      <c r="AE42" s="355"/>
      <c r="AF42" s="355"/>
      <c r="AG42" s="355"/>
      <c r="AH42" s="356"/>
      <c r="AI42" s="357"/>
      <c r="AJ42" s="358"/>
      <c r="AK42" s="357"/>
      <c r="AL42" s="359"/>
      <c r="AM42" s="360"/>
      <c r="AN42" s="355"/>
      <c r="AO42" s="355"/>
      <c r="AP42" s="355"/>
      <c r="AQ42" s="356"/>
      <c r="AR42" s="357"/>
      <c r="AS42" s="358"/>
      <c r="AT42" s="357"/>
      <c r="AU42" s="359"/>
      <c r="AV42" s="360"/>
      <c r="AW42" s="355"/>
      <c r="AX42" s="355"/>
      <c r="AY42" s="355"/>
      <c r="AZ42" s="356"/>
      <c r="BA42" s="357"/>
      <c r="BB42" s="358"/>
      <c r="BC42" s="357"/>
      <c r="BD42" s="359"/>
      <c r="BE42" s="360"/>
      <c r="BF42" s="355"/>
      <c r="BG42" s="355"/>
      <c r="BH42" s="355"/>
      <c r="BI42" s="356"/>
      <c r="BJ42" s="357"/>
      <c r="BK42" s="358"/>
      <c r="BL42" s="357"/>
      <c r="BM42" s="359"/>
      <c r="BN42" s="360"/>
      <c r="BO42" s="355"/>
      <c r="BP42" s="355"/>
      <c r="BQ42" s="355"/>
      <c r="BR42" s="356"/>
      <c r="BS42" s="357"/>
      <c r="BT42" s="358"/>
      <c r="BU42" s="357"/>
      <c r="BV42" s="359"/>
      <c r="BW42" s="360"/>
      <c r="BX42" s="355"/>
      <c r="BY42" s="355"/>
      <c r="BZ42" s="355"/>
      <c r="CA42" s="356"/>
      <c r="CB42" s="357"/>
      <c r="CC42" s="358"/>
      <c r="CD42" s="357"/>
      <c r="CE42" s="359"/>
      <c r="CF42" s="360"/>
      <c r="CG42" s="355"/>
      <c r="CH42" s="355"/>
      <c r="CI42" s="355"/>
      <c r="CJ42" s="356"/>
      <c r="CK42" s="357"/>
      <c r="CL42" s="358"/>
      <c r="CM42" s="357"/>
      <c r="CN42" s="359"/>
      <c r="CO42" s="360"/>
      <c r="CP42" s="355"/>
      <c r="CQ42" s="355"/>
      <c r="CR42" s="355"/>
      <c r="CS42" s="356"/>
      <c r="CT42" s="357"/>
      <c r="CU42" s="358"/>
      <c r="CV42" s="357"/>
      <c r="CW42" s="359"/>
      <c r="CX42" s="360"/>
      <c r="CY42" s="355"/>
      <c r="CZ42" s="355"/>
      <c r="DA42" s="355"/>
      <c r="DB42" s="356"/>
      <c r="DC42" s="357"/>
      <c r="DD42" s="358"/>
      <c r="DE42" s="357"/>
      <c r="DF42" s="359"/>
      <c r="DG42" s="360"/>
      <c r="DH42" s="355"/>
      <c r="DI42" s="355"/>
      <c r="DJ42" s="355"/>
      <c r="DK42" s="356"/>
      <c r="DL42" s="357"/>
      <c r="DM42" s="358"/>
      <c r="DN42" s="357"/>
      <c r="DO42" s="359"/>
      <c r="DP42" s="360"/>
      <c r="DQ42" s="355"/>
      <c r="DR42" s="355"/>
      <c r="DS42" s="355"/>
      <c r="DT42" s="356"/>
      <c r="DU42" s="357"/>
      <c r="DV42" s="358"/>
      <c r="DW42" s="357"/>
      <c r="DX42" s="359"/>
      <c r="DY42" s="360"/>
      <c r="DZ42" s="355"/>
      <c r="EA42" s="355"/>
      <c r="EB42" s="355"/>
      <c r="EC42" s="356"/>
      <c r="ED42" s="357"/>
      <c r="EE42" s="358"/>
      <c r="EF42" s="357"/>
      <c r="EG42" s="359"/>
      <c r="EH42" s="360"/>
      <c r="EI42" s="355"/>
      <c r="EJ42" s="355"/>
      <c r="EK42" s="355"/>
      <c r="EL42" s="356"/>
      <c r="EM42" s="357"/>
      <c r="EN42" s="358"/>
      <c r="EO42" s="357"/>
      <c r="EP42" s="359"/>
      <c r="EQ42" s="360"/>
      <c r="ER42" s="355"/>
      <c r="ES42" s="355"/>
      <c r="ET42" s="355"/>
      <c r="EU42" s="356"/>
      <c r="EV42" s="357"/>
      <c r="EW42" s="358"/>
      <c r="EX42" s="357"/>
      <c r="EY42" s="359"/>
      <c r="EZ42" s="360"/>
      <c r="FA42" s="355"/>
      <c r="FB42" s="355"/>
      <c r="FC42" s="355"/>
      <c r="FD42" s="356"/>
      <c r="FE42" s="357"/>
      <c r="FF42" s="358"/>
      <c r="FG42" s="357"/>
      <c r="FH42" s="359"/>
      <c r="FI42" s="360"/>
      <c r="FJ42" s="355"/>
      <c r="FK42" s="355"/>
      <c r="FL42" s="355"/>
      <c r="FM42" s="356"/>
      <c r="FN42" s="357"/>
      <c r="FO42" s="358"/>
      <c r="FP42" s="357"/>
      <c r="FQ42" s="359"/>
      <c r="FR42" s="360"/>
      <c r="FS42" s="355"/>
      <c r="FT42" s="355"/>
      <c r="FU42" s="355"/>
      <c r="FV42" s="356"/>
      <c r="FW42" s="357"/>
      <c r="FX42" s="358"/>
      <c r="FY42" s="357"/>
      <c r="FZ42" s="359"/>
      <c r="GA42" s="360"/>
      <c r="GB42" s="355"/>
      <c r="GC42" s="355"/>
      <c r="GD42" s="355"/>
      <c r="GE42" s="356"/>
      <c r="GF42" s="357"/>
      <c r="GG42" s="358"/>
      <c r="GH42" s="357"/>
      <c r="GI42" s="359"/>
      <c r="GJ42" s="360"/>
      <c r="GK42" s="355"/>
      <c r="GL42" s="355"/>
      <c r="GM42" s="355"/>
      <c r="GN42" s="356"/>
      <c r="GO42" s="357"/>
      <c r="GP42" s="358"/>
      <c r="GQ42" s="357"/>
      <c r="GR42" s="359"/>
      <c r="GS42" s="360"/>
      <c r="GT42" s="430">
        <v>43111</v>
      </c>
      <c r="GU42" s="411"/>
      <c r="GV42" s="637">
        <v>22064</v>
      </c>
      <c r="GW42" s="74" t="s">
        <v>1144</v>
      </c>
      <c r="GX42" s="74"/>
      <c r="GY42" s="672" t="s">
        <v>1170</v>
      </c>
      <c r="GZ42" s="673">
        <v>4176</v>
      </c>
    </row>
    <row r="43" spans="1:208" x14ac:dyDescent="0.25">
      <c r="A43"/>
      <c r="D43" s="35"/>
      <c r="E43" s="36"/>
      <c r="F43" s="37"/>
      <c r="G43" s="38"/>
      <c r="H43" s="39"/>
      <c r="I43" s="40"/>
      <c r="J43" s="68" t="s">
        <v>44</v>
      </c>
      <c r="K43" s="451" t="s">
        <v>37</v>
      </c>
      <c r="L43" s="70">
        <v>18290</v>
      </c>
      <c r="M43" s="71">
        <v>43093</v>
      </c>
      <c r="N43" s="380" t="s">
        <v>1153</v>
      </c>
      <c r="O43" s="72">
        <v>23015</v>
      </c>
      <c r="P43" s="113">
        <f t="shared" si="0"/>
        <v>4725</v>
      </c>
      <c r="Q43" s="64">
        <v>29</v>
      </c>
      <c r="R43" s="117"/>
      <c r="S43" s="117"/>
      <c r="T43" s="39">
        <f>Q43*O43</f>
        <v>667435</v>
      </c>
      <c r="U43" s="363" t="s">
        <v>72</v>
      </c>
      <c r="V43" s="353">
        <v>43110</v>
      </c>
      <c r="W43" s="368">
        <v>15080</v>
      </c>
      <c r="X43" s="355"/>
      <c r="Y43" s="356"/>
      <c r="Z43" s="357"/>
      <c r="AA43" s="358"/>
      <c r="AB43" s="357"/>
      <c r="AC43" s="359"/>
      <c r="AD43" s="360"/>
      <c r="AE43" s="355"/>
      <c r="AF43" s="355"/>
      <c r="AG43" s="355"/>
      <c r="AH43" s="356"/>
      <c r="AI43" s="357"/>
      <c r="AJ43" s="358"/>
      <c r="AK43" s="357"/>
      <c r="AL43" s="359"/>
      <c r="AM43" s="360"/>
      <c r="AN43" s="355"/>
      <c r="AO43" s="355"/>
      <c r="AP43" s="355"/>
      <c r="AQ43" s="356"/>
      <c r="AR43" s="357"/>
      <c r="AS43" s="358"/>
      <c r="AT43" s="357"/>
      <c r="AU43" s="359"/>
      <c r="AV43" s="360"/>
      <c r="AW43" s="355"/>
      <c r="AX43" s="355"/>
      <c r="AY43" s="355"/>
      <c r="AZ43" s="356"/>
      <c r="BA43" s="357"/>
      <c r="BB43" s="358"/>
      <c r="BC43" s="357"/>
      <c r="BD43" s="359"/>
      <c r="BE43" s="360"/>
      <c r="BF43" s="355"/>
      <c r="BG43" s="355"/>
      <c r="BH43" s="355"/>
      <c r="BI43" s="356"/>
      <c r="BJ43" s="357"/>
      <c r="BK43" s="358"/>
      <c r="BL43" s="357"/>
      <c r="BM43" s="359"/>
      <c r="BN43" s="360"/>
      <c r="BO43" s="355"/>
      <c r="BP43" s="355"/>
      <c r="BQ43" s="355"/>
      <c r="BR43" s="356"/>
      <c r="BS43" s="357"/>
      <c r="BT43" s="358"/>
      <c r="BU43" s="357"/>
      <c r="BV43" s="359"/>
      <c r="BW43" s="360"/>
      <c r="BX43" s="355"/>
      <c r="BY43" s="355"/>
      <c r="BZ43" s="355"/>
      <c r="CA43" s="356"/>
      <c r="CB43" s="357"/>
      <c r="CC43" s="358"/>
      <c r="CD43" s="357"/>
      <c r="CE43" s="359"/>
      <c r="CF43" s="360"/>
      <c r="CG43" s="355"/>
      <c r="CH43" s="355"/>
      <c r="CI43" s="355"/>
      <c r="CJ43" s="356"/>
      <c r="CK43" s="357"/>
      <c r="CL43" s="358"/>
      <c r="CM43" s="357"/>
      <c r="CN43" s="359"/>
      <c r="CO43" s="360"/>
      <c r="CP43" s="355"/>
      <c r="CQ43" s="355"/>
      <c r="CR43" s="355"/>
      <c r="CS43" s="356"/>
      <c r="CT43" s="357"/>
      <c r="CU43" s="358"/>
      <c r="CV43" s="357"/>
      <c r="CW43" s="359"/>
      <c r="CX43" s="360"/>
      <c r="CY43" s="355"/>
      <c r="CZ43" s="355"/>
      <c r="DA43" s="355"/>
      <c r="DB43" s="356"/>
      <c r="DC43" s="357"/>
      <c r="DD43" s="358"/>
      <c r="DE43" s="357"/>
      <c r="DF43" s="359"/>
      <c r="DG43" s="360"/>
      <c r="DH43" s="355"/>
      <c r="DI43" s="355"/>
      <c r="DJ43" s="355"/>
      <c r="DK43" s="356"/>
      <c r="DL43" s="357"/>
      <c r="DM43" s="358"/>
      <c r="DN43" s="357"/>
      <c r="DO43" s="359"/>
      <c r="DP43" s="360"/>
      <c r="DQ43" s="355"/>
      <c r="DR43" s="355"/>
      <c r="DS43" s="355"/>
      <c r="DT43" s="356"/>
      <c r="DU43" s="357"/>
      <c r="DV43" s="358"/>
      <c r="DW43" s="357"/>
      <c r="DX43" s="359"/>
      <c r="DY43" s="360"/>
      <c r="DZ43" s="355"/>
      <c r="EA43" s="355"/>
      <c r="EB43" s="355"/>
      <c r="EC43" s="356"/>
      <c r="ED43" s="357"/>
      <c r="EE43" s="358"/>
      <c r="EF43" s="357"/>
      <c r="EG43" s="359"/>
      <c r="EH43" s="360"/>
      <c r="EI43" s="355"/>
      <c r="EJ43" s="355"/>
      <c r="EK43" s="355"/>
      <c r="EL43" s="356"/>
      <c r="EM43" s="357"/>
      <c r="EN43" s="358"/>
      <c r="EO43" s="357"/>
      <c r="EP43" s="359"/>
      <c r="EQ43" s="360"/>
      <c r="ER43" s="355"/>
      <c r="ES43" s="355"/>
      <c r="ET43" s="355"/>
      <c r="EU43" s="356"/>
      <c r="EV43" s="357"/>
      <c r="EW43" s="358"/>
      <c r="EX43" s="357"/>
      <c r="EY43" s="359"/>
      <c r="EZ43" s="360"/>
      <c r="FA43" s="355"/>
      <c r="FB43" s="355"/>
      <c r="FC43" s="355"/>
      <c r="FD43" s="356"/>
      <c r="FE43" s="357"/>
      <c r="FF43" s="358"/>
      <c r="FG43" s="357"/>
      <c r="FH43" s="359"/>
      <c r="FI43" s="360"/>
      <c r="FJ43" s="355"/>
      <c r="FK43" s="355"/>
      <c r="FL43" s="355"/>
      <c r="FM43" s="356"/>
      <c r="FN43" s="357"/>
      <c r="FO43" s="358"/>
      <c r="FP43" s="357"/>
      <c r="FQ43" s="359"/>
      <c r="FR43" s="360"/>
      <c r="FS43" s="355"/>
      <c r="FT43" s="355"/>
      <c r="FU43" s="355"/>
      <c r="FV43" s="356"/>
      <c r="FW43" s="357"/>
      <c r="FX43" s="358"/>
      <c r="FY43" s="357"/>
      <c r="FZ43" s="359"/>
      <c r="GA43" s="360"/>
      <c r="GB43" s="355"/>
      <c r="GC43" s="355"/>
      <c r="GD43" s="355"/>
      <c r="GE43" s="356"/>
      <c r="GF43" s="357"/>
      <c r="GG43" s="358"/>
      <c r="GH43" s="357"/>
      <c r="GI43" s="359"/>
      <c r="GJ43" s="360"/>
      <c r="GK43" s="355"/>
      <c r="GL43" s="355"/>
      <c r="GM43" s="355"/>
      <c r="GN43" s="356"/>
      <c r="GO43" s="357"/>
      <c r="GP43" s="358"/>
      <c r="GQ43" s="357"/>
      <c r="GR43" s="359"/>
      <c r="GS43" s="360"/>
      <c r="GT43" s="370">
        <v>43110</v>
      </c>
      <c r="GU43" s="411"/>
      <c r="GV43" s="639" t="s">
        <v>15</v>
      </c>
      <c r="GW43" s="74" t="s">
        <v>1147</v>
      </c>
      <c r="GX43" s="74"/>
      <c r="GY43" s="672" t="s">
        <v>1170</v>
      </c>
      <c r="GZ43" s="673">
        <v>4176</v>
      </c>
    </row>
    <row r="44" spans="1:208" x14ac:dyDescent="0.25">
      <c r="A44"/>
      <c r="D44" s="35"/>
      <c r="E44" s="36"/>
      <c r="F44" s="37"/>
      <c r="G44" s="38"/>
      <c r="H44" s="39"/>
      <c r="I44" s="40"/>
      <c r="J44" s="68" t="s">
        <v>44</v>
      </c>
      <c r="K44" s="407" t="s">
        <v>37</v>
      </c>
      <c r="L44" s="70">
        <v>16510</v>
      </c>
      <c r="M44" s="71">
        <v>43096</v>
      </c>
      <c r="N44" s="381" t="s">
        <v>1155</v>
      </c>
      <c r="O44" s="72">
        <v>20790</v>
      </c>
      <c r="P44" s="113">
        <f>O44-L44</f>
        <v>4280</v>
      </c>
      <c r="Q44" s="117">
        <v>29.5</v>
      </c>
      <c r="R44" s="117"/>
      <c r="S44" s="111"/>
      <c r="T44" s="39">
        <f>Q44*O44+S44+0</f>
        <v>613305</v>
      </c>
      <c r="U44" s="363" t="s">
        <v>72</v>
      </c>
      <c r="V44" s="353">
        <v>43111</v>
      </c>
      <c r="W44" s="368">
        <v>15080</v>
      </c>
      <c r="X44" s="355"/>
      <c r="Y44" s="356"/>
      <c r="Z44" s="357"/>
      <c r="AA44" s="358"/>
      <c r="AB44" s="357"/>
      <c r="AC44" s="359"/>
      <c r="AD44" s="360"/>
      <c r="AE44" s="355"/>
      <c r="AF44" s="355"/>
      <c r="AG44" s="355"/>
      <c r="AH44" s="356"/>
      <c r="AI44" s="357"/>
      <c r="AJ44" s="358"/>
      <c r="AK44" s="357"/>
      <c r="AL44" s="359"/>
      <c r="AM44" s="360"/>
      <c r="AN44" s="355"/>
      <c r="AO44" s="355"/>
      <c r="AP44" s="355"/>
      <c r="AQ44" s="356"/>
      <c r="AR44" s="357"/>
      <c r="AS44" s="358"/>
      <c r="AT44" s="357"/>
      <c r="AU44" s="359"/>
      <c r="AV44" s="360"/>
      <c r="AW44" s="355"/>
      <c r="AX44" s="355"/>
      <c r="AY44" s="355"/>
      <c r="AZ44" s="356"/>
      <c r="BA44" s="357"/>
      <c r="BB44" s="358"/>
      <c r="BC44" s="357"/>
      <c r="BD44" s="359"/>
      <c r="BE44" s="360"/>
      <c r="BF44" s="355"/>
      <c r="BG44" s="355"/>
      <c r="BH44" s="355"/>
      <c r="BI44" s="356"/>
      <c r="BJ44" s="357"/>
      <c r="BK44" s="358"/>
      <c r="BL44" s="357"/>
      <c r="BM44" s="359"/>
      <c r="BN44" s="360"/>
      <c r="BO44" s="355"/>
      <c r="BP44" s="355"/>
      <c r="BQ44" s="355"/>
      <c r="BR44" s="356"/>
      <c r="BS44" s="357"/>
      <c r="BT44" s="358"/>
      <c r="BU44" s="357"/>
      <c r="BV44" s="359"/>
      <c r="BW44" s="360"/>
      <c r="BX44" s="355"/>
      <c r="BY44" s="355"/>
      <c r="BZ44" s="355"/>
      <c r="CA44" s="356"/>
      <c r="CB44" s="357"/>
      <c r="CC44" s="358"/>
      <c r="CD44" s="357"/>
      <c r="CE44" s="359"/>
      <c r="CF44" s="360"/>
      <c r="CG44" s="355"/>
      <c r="CH44" s="355"/>
      <c r="CI44" s="355"/>
      <c r="CJ44" s="356"/>
      <c r="CK44" s="357"/>
      <c r="CL44" s="358"/>
      <c r="CM44" s="357"/>
      <c r="CN44" s="359"/>
      <c r="CO44" s="360"/>
      <c r="CP44" s="355"/>
      <c r="CQ44" s="355"/>
      <c r="CR44" s="355"/>
      <c r="CS44" s="356"/>
      <c r="CT44" s="357"/>
      <c r="CU44" s="358"/>
      <c r="CV44" s="357"/>
      <c r="CW44" s="359"/>
      <c r="CX44" s="360"/>
      <c r="CY44" s="355"/>
      <c r="CZ44" s="355"/>
      <c r="DA44" s="355"/>
      <c r="DB44" s="356"/>
      <c r="DC44" s="357"/>
      <c r="DD44" s="358"/>
      <c r="DE44" s="357"/>
      <c r="DF44" s="359"/>
      <c r="DG44" s="360"/>
      <c r="DH44" s="355"/>
      <c r="DI44" s="355"/>
      <c r="DJ44" s="355"/>
      <c r="DK44" s="356"/>
      <c r="DL44" s="357"/>
      <c r="DM44" s="358"/>
      <c r="DN44" s="357"/>
      <c r="DO44" s="359"/>
      <c r="DP44" s="360"/>
      <c r="DQ44" s="355"/>
      <c r="DR44" s="355"/>
      <c r="DS44" s="355"/>
      <c r="DT44" s="356"/>
      <c r="DU44" s="357"/>
      <c r="DV44" s="358"/>
      <c r="DW44" s="357"/>
      <c r="DX44" s="359"/>
      <c r="DY44" s="360"/>
      <c r="DZ44" s="355"/>
      <c r="EA44" s="355"/>
      <c r="EB44" s="355"/>
      <c r="EC44" s="356"/>
      <c r="ED44" s="357"/>
      <c r="EE44" s="358"/>
      <c r="EF44" s="357"/>
      <c r="EG44" s="359"/>
      <c r="EH44" s="360"/>
      <c r="EI44" s="355"/>
      <c r="EJ44" s="355"/>
      <c r="EK44" s="355"/>
      <c r="EL44" s="356"/>
      <c r="EM44" s="357"/>
      <c r="EN44" s="358"/>
      <c r="EO44" s="357"/>
      <c r="EP44" s="359"/>
      <c r="EQ44" s="360"/>
      <c r="ER44" s="355"/>
      <c r="ES44" s="355"/>
      <c r="ET44" s="355"/>
      <c r="EU44" s="356"/>
      <c r="EV44" s="357"/>
      <c r="EW44" s="358"/>
      <c r="EX44" s="357"/>
      <c r="EY44" s="359"/>
      <c r="EZ44" s="360"/>
      <c r="FA44" s="355"/>
      <c r="FB44" s="355"/>
      <c r="FC44" s="355"/>
      <c r="FD44" s="356"/>
      <c r="FE44" s="357"/>
      <c r="FF44" s="358"/>
      <c r="FG44" s="357"/>
      <c r="FH44" s="359"/>
      <c r="FI44" s="360"/>
      <c r="FJ44" s="355"/>
      <c r="FK44" s="355"/>
      <c r="FL44" s="355"/>
      <c r="FM44" s="356"/>
      <c r="FN44" s="357"/>
      <c r="FO44" s="358"/>
      <c r="FP44" s="357"/>
      <c r="FQ44" s="359"/>
      <c r="FR44" s="360"/>
      <c r="FS44" s="355"/>
      <c r="FT44" s="355"/>
      <c r="FU44" s="355"/>
      <c r="FV44" s="356"/>
      <c r="FW44" s="357"/>
      <c r="FX44" s="358"/>
      <c r="FY44" s="357"/>
      <c r="FZ44" s="359"/>
      <c r="GA44" s="360"/>
      <c r="GB44" s="355"/>
      <c r="GC44" s="355"/>
      <c r="GD44" s="355"/>
      <c r="GE44" s="356"/>
      <c r="GF44" s="357"/>
      <c r="GG44" s="358"/>
      <c r="GH44" s="357"/>
      <c r="GI44" s="359"/>
      <c r="GJ44" s="360"/>
      <c r="GK44" s="355"/>
      <c r="GL44" s="355"/>
      <c r="GM44" s="355"/>
      <c r="GN44" s="356"/>
      <c r="GO44" s="357"/>
      <c r="GP44" s="358"/>
      <c r="GQ44" s="357"/>
      <c r="GR44" s="359"/>
      <c r="GS44" s="360"/>
      <c r="GT44" s="430">
        <v>43111</v>
      </c>
      <c r="GU44" s="411"/>
      <c r="GV44" s="637"/>
      <c r="GW44" s="74"/>
      <c r="GX44" s="74"/>
      <c r="GY44" s="672" t="s">
        <v>1170</v>
      </c>
      <c r="GZ44" s="673">
        <v>4176</v>
      </c>
    </row>
    <row r="45" spans="1:208" x14ac:dyDescent="0.25">
      <c r="A45"/>
      <c r="D45" s="35"/>
      <c r="E45" s="36"/>
      <c r="F45" s="37"/>
      <c r="G45" s="38"/>
      <c r="H45" s="39"/>
      <c r="I45" s="40"/>
      <c r="J45" s="68" t="s">
        <v>44</v>
      </c>
      <c r="K45" s="407" t="s">
        <v>37</v>
      </c>
      <c r="L45" s="70">
        <v>15730</v>
      </c>
      <c r="M45" s="71">
        <v>43097</v>
      </c>
      <c r="N45" s="381" t="s">
        <v>1158</v>
      </c>
      <c r="O45" s="72">
        <v>19845</v>
      </c>
      <c r="P45" s="113">
        <f t="shared" ref="P45:P56" si="2">O45-L45</f>
        <v>4115</v>
      </c>
      <c r="Q45" s="117">
        <v>30</v>
      </c>
      <c r="R45" s="117"/>
      <c r="S45" s="111"/>
      <c r="T45" s="39">
        <f>Q45*O45+S45+0</f>
        <v>595350</v>
      </c>
      <c r="U45" s="363" t="s">
        <v>72</v>
      </c>
      <c r="V45" s="353">
        <v>43112</v>
      </c>
      <c r="W45" s="368">
        <v>15080</v>
      </c>
      <c r="X45" s="355"/>
      <c r="Y45" s="356"/>
      <c r="Z45" s="357"/>
      <c r="AA45" s="358"/>
      <c r="AB45" s="357"/>
      <c r="AC45" s="359"/>
      <c r="AD45" s="360"/>
      <c r="AE45" s="355"/>
      <c r="AF45" s="355"/>
      <c r="AG45" s="355"/>
      <c r="AH45" s="356"/>
      <c r="AI45" s="357"/>
      <c r="AJ45" s="358"/>
      <c r="AK45" s="357"/>
      <c r="AL45" s="359"/>
      <c r="AM45" s="360"/>
      <c r="AN45" s="355"/>
      <c r="AO45" s="355"/>
      <c r="AP45" s="355"/>
      <c r="AQ45" s="356"/>
      <c r="AR45" s="357"/>
      <c r="AS45" s="358"/>
      <c r="AT45" s="357"/>
      <c r="AU45" s="359"/>
      <c r="AV45" s="360"/>
      <c r="AW45" s="355"/>
      <c r="AX45" s="355"/>
      <c r="AY45" s="355"/>
      <c r="AZ45" s="356"/>
      <c r="BA45" s="357"/>
      <c r="BB45" s="358"/>
      <c r="BC45" s="357"/>
      <c r="BD45" s="359"/>
      <c r="BE45" s="360"/>
      <c r="BF45" s="355"/>
      <c r="BG45" s="355"/>
      <c r="BH45" s="355"/>
      <c r="BI45" s="356"/>
      <c r="BJ45" s="357"/>
      <c r="BK45" s="358"/>
      <c r="BL45" s="357"/>
      <c r="BM45" s="359"/>
      <c r="BN45" s="360"/>
      <c r="BO45" s="355"/>
      <c r="BP45" s="355"/>
      <c r="BQ45" s="355"/>
      <c r="BR45" s="356"/>
      <c r="BS45" s="357"/>
      <c r="BT45" s="358"/>
      <c r="BU45" s="357"/>
      <c r="BV45" s="359"/>
      <c r="BW45" s="360"/>
      <c r="BX45" s="355"/>
      <c r="BY45" s="355"/>
      <c r="BZ45" s="355"/>
      <c r="CA45" s="356"/>
      <c r="CB45" s="357"/>
      <c r="CC45" s="358"/>
      <c r="CD45" s="357"/>
      <c r="CE45" s="359"/>
      <c r="CF45" s="360"/>
      <c r="CG45" s="355"/>
      <c r="CH45" s="355"/>
      <c r="CI45" s="355"/>
      <c r="CJ45" s="356"/>
      <c r="CK45" s="357"/>
      <c r="CL45" s="358"/>
      <c r="CM45" s="357"/>
      <c r="CN45" s="359"/>
      <c r="CO45" s="360"/>
      <c r="CP45" s="355"/>
      <c r="CQ45" s="355"/>
      <c r="CR45" s="355"/>
      <c r="CS45" s="356"/>
      <c r="CT45" s="357"/>
      <c r="CU45" s="358"/>
      <c r="CV45" s="357"/>
      <c r="CW45" s="359"/>
      <c r="CX45" s="360"/>
      <c r="CY45" s="355"/>
      <c r="CZ45" s="355"/>
      <c r="DA45" s="355"/>
      <c r="DB45" s="356"/>
      <c r="DC45" s="357"/>
      <c r="DD45" s="358"/>
      <c r="DE45" s="357"/>
      <c r="DF45" s="359"/>
      <c r="DG45" s="360"/>
      <c r="DH45" s="355"/>
      <c r="DI45" s="355"/>
      <c r="DJ45" s="355"/>
      <c r="DK45" s="356"/>
      <c r="DL45" s="357"/>
      <c r="DM45" s="358"/>
      <c r="DN45" s="357"/>
      <c r="DO45" s="359"/>
      <c r="DP45" s="360"/>
      <c r="DQ45" s="355"/>
      <c r="DR45" s="355"/>
      <c r="DS45" s="355"/>
      <c r="DT45" s="356"/>
      <c r="DU45" s="357"/>
      <c r="DV45" s="358"/>
      <c r="DW45" s="357"/>
      <c r="DX45" s="359"/>
      <c r="DY45" s="360"/>
      <c r="DZ45" s="355"/>
      <c r="EA45" s="355"/>
      <c r="EB45" s="355"/>
      <c r="EC45" s="356"/>
      <c r="ED45" s="357"/>
      <c r="EE45" s="358"/>
      <c r="EF45" s="357"/>
      <c r="EG45" s="359"/>
      <c r="EH45" s="360"/>
      <c r="EI45" s="355"/>
      <c r="EJ45" s="355"/>
      <c r="EK45" s="355"/>
      <c r="EL45" s="356"/>
      <c r="EM45" s="357"/>
      <c r="EN45" s="358"/>
      <c r="EO45" s="357"/>
      <c r="EP45" s="359"/>
      <c r="EQ45" s="360"/>
      <c r="ER45" s="355"/>
      <c r="ES45" s="355"/>
      <c r="ET45" s="355"/>
      <c r="EU45" s="356"/>
      <c r="EV45" s="357"/>
      <c r="EW45" s="358"/>
      <c r="EX45" s="357"/>
      <c r="EY45" s="359"/>
      <c r="EZ45" s="360"/>
      <c r="FA45" s="355"/>
      <c r="FB45" s="355"/>
      <c r="FC45" s="355"/>
      <c r="FD45" s="356"/>
      <c r="FE45" s="357"/>
      <c r="FF45" s="358"/>
      <c r="FG45" s="357"/>
      <c r="FH45" s="359"/>
      <c r="FI45" s="360"/>
      <c r="FJ45" s="355"/>
      <c r="FK45" s="355"/>
      <c r="FL45" s="355"/>
      <c r="FM45" s="356"/>
      <c r="FN45" s="357"/>
      <c r="FO45" s="358"/>
      <c r="FP45" s="357"/>
      <c r="FQ45" s="359"/>
      <c r="FR45" s="360"/>
      <c r="FS45" s="355"/>
      <c r="FT45" s="355"/>
      <c r="FU45" s="355"/>
      <c r="FV45" s="356"/>
      <c r="FW45" s="357"/>
      <c r="FX45" s="358"/>
      <c r="FY45" s="357"/>
      <c r="FZ45" s="359"/>
      <c r="GA45" s="360"/>
      <c r="GB45" s="355"/>
      <c r="GC45" s="355"/>
      <c r="GD45" s="355"/>
      <c r="GE45" s="356"/>
      <c r="GF45" s="357"/>
      <c r="GG45" s="358"/>
      <c r="GH45" s="357"/>
      <c r="GI45" s="359"/>
      <c r="GJ45" s="360"/>
      <c r="GK45" s="355"/>
      <c r="GL45" s="355"/>
      <c r="GM45" s="355"/>
      <c r="GN45" s="356"/>
      <c r="GO45" s="357"/>
      <c r="GP45" s="358"/>
      <c r="GQ45" s="357"/>
      <c r="GR45" s="359"/>
      <c r="GS45" s="360"/>
      <c r="GT45" s="430">
        <v>43112</v>
      </c>
      <c r="GU45" s="411"/>
      <c r="GV45" s="637">
        <v>22064</v>
      </c>
      <c r="GW45" s="74" t="s">
        <v>1145</v>
      </c>
      <c r="GX45" s="74"/>
      <c r="GY45" s="672" t="s">
        <v>1170</v>
      </c>
      <c r="GZ45" s="673">
        <v>4176</v>
      </c>
    </row>
    <row r="46" spans="1:208" ht="26.25" x14ac:dyDescent="0.25">
      <c r="A46"/>
      <c r="D46" s="35"/>
      <c r="E46" s="36"/>
      <c r="F46" s="37"/>
      <c r="G46" s="38"/>
      <c r="H46" s="39"/>
      <c r="I46" s="40"/>
      <c r="J46" s="68" t="s">
        <v>43</v>
      </c>
      <c r="K46" s="407" t="s">
        <v>95</v>
      </c>
      <c r="L46" s="70">
        <v>21660</v>
      </c>
      <c r="M46" s="71">
        <v>43097</v>
      </c>
      <c r="N46" s="381" t="s">
        <v>1157</v>
      </c>
      <c r="O46" s="72">
        <f>27315-109.7</f>
        <v>27205.3</v>
      </c>
      <c r="P46" s="113">
        <f t="shared" si="2"/>
        <v>5545.2999999999993</v>
      </c>
      <c r="Q46" s="117">
        <v>30</v>
      </c>
      <c r="R46" s="893"/>
      <c r="S46" s="894"/>
      <c r="T46" s="39">
        <f>Q46*O46</f>
        <v>816159</v>
      </c>
      <c r="U46" s="363" t="s">
        <v>72</v>
      </c>
      <c r="V46" s="353">
        <v>43112</v>
      </c>
      <c r="W46" s="368">
        <v>18774.599999999999</v>
      </c>
      <c r="X46" s="355"/>
      <c r="Y46" s="356"/>
      <c r="Z46" s="357"/>
      <c r="AA46" s="358"/>
      <c r="AB46" s="357"/>
      <c r="AC46" s="359"/>
      <c r="AD46" s="360"/>
      <c r="AE46" s="355"/>
      <c r="AF46" s="355"/>
      <c r="AG46" s="355"/>
      <c r="AH46" s="356"/>
      <c r="AI46" s="357"/>
      <c r="AJ46" s="358"/>
      <c r="AK46" s="357"/>
      <c r="AL46" s="359"/>
      <c r="AM46" s="360"/>
      <c r="AN46" s="355"/>
      <c r="AO46" s="355"/>
      <c r="AP46" s="355"/>
      <c r="AQ46" s="356"/>
      <c r="AR46" s="357"/>
      <c r="AS46" s="358"/>
      <c r="AT46" s="357"/>
      <c r="AU46" s="359"/>
      <c r="AV46" s="360"/>
      <c r="AW46" s="355"/>
      <c r="AX46" s="355"/>
      <c r="AY46" s="355"/>
      <c r="AZ46" s="356"/>
      <c r="BA46" s="357"/>
      <c r="BB46" s="358"/>
      <c r="BC46" s="357"/>
      <c r="BD46" s="359"/>
      <c r="BE46" s="360"/>
      <c r="BF46" s="355"/>
      <c r="BG46" s="355"/>
      <c r="BH46" s="355"/>
      <c r="BI46" s="356"/>
      <c r="BJ46" s="357"/>
      <c r="BK46" s="358"/>
      <c r="BL46" s="357"/>
      <c r="BM46" s="359"/>
      <c r="BN46" s="360"/>
      <c r="BO46" s="355"/>
      <c r="BP46" s="355"/>
      <c r="BQ46" s="355"/>
      <c r="BR46" s="356"/>
      <c r="BS46" s="357"/>
      <c r="BT46" s="358"/>
      <c r="BU46" s="357"/>
      <c r="BV46" s="359"/>
      <c r="BW46" s="360"/>
      <c r="BX46" s="355"/>
      <c r="BY46" s="355"/>
      <c r="BZ46" s="355"/>
      <c r="CA46" s="356"/>
      <c r="CB46" s="357"/>
      <c r="CC46" s="358"/>
      <c r="CD46" s="357"/>
      <c r="CE46" s="359"/>
      <c r="CF46" s="360"/>
      <c r="CG46" s="355"/>
      <c r="CH46" s="355"/>
      <c r="CI46" s="355"/>
      <c r="CJ46" s="356"/>
      <c r="CK46" s="357"/>
      <c r="CL46" s="358"/>
      <c r="CM46" s="357"/>
      <c r="CN46" s="359"/>
      <c r="CO46" s="360"/>
      <c r="CP46" s="355"/>
      <c r="CQ46" s="355"/>
      <c r="CR46" s="355"/>
      <c r="CS46" s="356"/>
      <c r="CT46" s="357"/>
      <c r="CU46" s="358"/>
      <c r="CV46" s="357"/>
      <c r="CW46" s="359"/>
      <c r="CX46" s="360"/>
      <c r="CY46" s="355"/>
      <c r="CZ46" s="355"/>
      <c r="DA46" s="355"/>
      <c r="DB46" s="356"/>
      <c r="DC46" s="357"/>
      <c r="DD46" s="358"/>
      <c r="DE46" s="357"/>
      <c r="DF46" s="359"/>
      <c r="DG46" s="360"/>
      <c r="DH46" s="355"/>
      <c r="DI46" s="355"/>
      <c r="DJ46" s="355"/>
      <c r="DK46" s="356"/>
      <c r="DL46" s="357"/>
      <c r="DM46" s="358"/>
      <c r="DN46" s="357"/>
      <c r="DO46" s="359"/>
      <c r="DP46" s="360"/>
      <c r="DQ46" s="355"/>
      <c r="DR46" s="355"/>
      <c r="DS46" s="355"/>
      <c r="DT46" s="356"/>
      <c r="DU46" s="357"/>
      <c r="DV46" s="358"/>
      <c r="DW46" s="357"/>
      <c r="DX46" s="359"/>
      <c r="DY46" s="360"/>
      <c r="DZ46" s="355"/>
      <c r="EA46" s="355"/>
      <c r="EB46" s="355"/>
      <c r="EC46" s="356"/>
      <c r="ED46" s="357"/>
      <c r="EE46" s="358"/>
      <c r="EF46" s="357"/>
      <c r="EG46" s="359"/>
      <c r="EH46" s="360"/>
      <c r="EI46" s="355"/>
      <c r="EJ46" s="355"/>
      <c r="EK46" s="355"/>
      <c r="EL46" s="356"/>
      <c r="EM46" s="357"/>
      <c r="EN46" s="358"/>
      <c r="EO46" s="357"/>
      <c r="EP46" s="359"/>
      <c r="EQ46" s="360"/>
      <c r="ER46" s="355"/>
      <c r="ES46" s="355"/>
      <c r="ET46" s="355"/>
      <c r="EU46" s="356"/>
      <c r="EV46" s="357"/>
      <c r="EW46" s="358"/>
      <c r="EX46" s="357"/>
      <c r="EY46" s="359"/>
      <c r="EZ46" s="360"/>
      <c r="FA46" s="355"/>
      <c r="FB46" s="355"/>
      <c r="FC46" s="355"/>
      <c r="FD46" s="356"/>
      <c r="FE46" s="357"/>
      <c r="FF46" s="358"/>
      <c r="FG46" s="357"/>
      <c r="FH46" s="359"/>
      <c r="FI46" s="360"/>
      <c r="FJ46" s="355"/>
      <c r="FK46" s="355"/>
      <c r="FL46" s="355"/>
      <c r="FM46" s="356"/>
      <c r="FN46" s="357"/>
      <c r="FO46" s="358"/>
      <c r="FP46" s="357"/>
      <c r="FQ46" s="359"/>
      <c r="FR46" s="360"/>
      <c r="FS46" s="355"/>
      <c r="FT46" s="355"/>
      <c r="FU46" s="355"/>
      <c r="FV46" s="356"/>
      <c r="FW46" s="357"/>
      <c r="FX46" s="358"/>
      <c r="FY46" s="357"/>
      <c r="FZ46" s="359"/>
      <c r="GA46" s="360"/>
      <c r="GB46" s="355"/>
      <c r="GC46" s="355"/>
      <c r="GD46" s="355"/>
      <c r="GE46" s="356"/>
      <c r="GF46" s="357"/>
      <c r="GG46" s="358"/>
      <c r="GH46" s="357"/>
      <c r="GI46" s="359"/>
      <c r="GJ46" s="360"/>
      <c r="GK46" s="355"/>
      <c r="GL46" s="355"/>
      <c r="GM46" s="355"/>
      <c r="GN46" s="356"/>
      <c r="GO46" s="357"/>
      <c r="GP46" s="358"/>
      <c r="GQ46" s="357"/>
      <c r="GR46" s="359"/>
      <c r="GS46" s="360"/>
      <c r="GT46" s="430">
        <v>43112</v>
      </c>
      <c r="GU46" s="411"/>
      <c r="GV46" s="637">
        <v>22176</v>
      </c>
      <c r="GW46" s="74" t="s">
        <v>1146</v>
      </c>
      <c r="GX46" s="74"/>
      <c r="GY46" s="672" t="s">
        <v>1170</v>
      </c>
      <c r="GZ46" s="673">
        <v>4176</v>
      </c>
    </row>
    <row r="47" spans="1:208" x14ac:dyDescent="0.25">
      <c r="A47"/>
      <c r="D47" s="35"/>
      <c r="E47" s="36"/>
      <c r="F47" s="37"/>
      <c r="G47" s="38"/>
      <c r="H47" s="39"/>
      <c r="I47" s="40"/>
      <c r="J47" s="68" t="s">
        <v>96</v>
      </c>
      <c r="K47" s="407" t="s">
        <v>41</v>
      </c>
      <c r="L47" s="70">
        <v>23600</v>
      </c>
      <c r="M47" s="71">
        <v>43098</v>
      </c>
      <c r="N47" s="380" t="s">
        <v>1159</v>
      </c>
      <c r="O47" s="72">
        <v>29420</v>
      </c>
      <c r="P47" s="113">
        <f t="shared" si="2"/>
        <v>5820</v>
      </c>
      <c r="Q47" s="117">
        <v>30</v>
      </c>
      <c r="R47" s="117"/>
      <c r="S47" s="117"/>
      <c r="T47" s="39">
        <f t="shared" ref="T47:T54" si="3">Q47*O47+S47+0</f>
        <v>882600</v>
      </c>
      <c r="U47" s="363" t="s">
        <v>72</v>
      </c>
      <c r="V47" s="353">
        <v>43115</v>
      </c>
      <c r="W47" s="368">
        <v>18850</v>
      </c>
      <c r="X47" s="355"/>
      <c r="Y47" s="356"/>
      <c r="Z47" s="357"/>
      <c r="AA47" s="358"/>
      <c r="AB47" s="357"/>
      <c r="AC47" s="359"/>
      <c r="AD47" s="360"/>
      <c r="AE47" s="355"/>
      <c r="AF47" s="355"/>
      <c r="AG47" s="355"/>
      <c r="AH47" s="356"/>
      <c r="AI47" s="357"/>
      <c r="AJ47" s="358"/>
      <c r="AK47" s="357"/>
      <c r="AL47" s="359"/>
      <c r="AM47" s="360"/>
      <c r="AN47" s="355"/>
      <c r="AO47" s="355"/>
      <c r="AP47" s="355"/>
      <c r="AQ47" s="356"/>
      <c r="AR47" s="357"/>
      <c r="AS47" s="358"/>
      <c r="AT47" s="357"/>
      <c r="AU47" s="359"/>
      <c r="AV47" s="360"/>
      <c r="AW47" s="355"/>
      <c r="AX47" s="355"/>
      <c r="AY47" s="355"/>
      <c r="AZ47" s="356"/>
      <c r="BA47" s="357"/>
      <c r="BB47" s="358"/>
      <c r="BC47" s="357"/>
      <c r="BD47" s="359"/>
      <c r="BE47" s="360"/>
      <c r="BF47" s="355"/>
      <c r="BG47" s="355"/>
      <c r="BH47" s="355"/>
      <c r="BI47" s="356"/>
      <c r="BJ47" s="357"/>
      <c r="BK47" s="358"/>
      <c r="BL47" s="357"/>
      <c r="BM47" s="359"/>
      <c r="BN47" s="360"/>
      <c r="BO47" s="355"/>
      <c r="BP47" s="355"/>
      <c r="BQ47" s="355"/>
      <c r="BR47" s="356"/>
      <c r="BS47" s="357"/>
      <c r="BT47" s="358"/>
      <c r="BU47" s="357"/>
      <c r="BV47" s="359"/>
      <c r="BW47" s="360"/>
      <c r="BX47" s="355"/>
      <c r="BY47" s="355"/>
      <c r="BZ47" s="355"/>
      <c r="CA47" s="356"/>
      <c r="CB47" s="357"/>
      <c r="CC47" s="358"/>
      <c r="CD47" s="357"/>
      <c r="CE47" s="359"/>
      <c r="CF47" s="360"/>
      <c r="CG47" s="355"/>
      <c r="CH47" s="355"/>
      <c r="CI47" s="355"/>
      <c r="CJ47" s="356"/>
      <c r="CK47" s="357"/>
      <c r="CL47" s="358"/>
      <c r="CM47" s="357"/>
      <c r="CN47" s="359"/>
      <c r="CO47" s="360"/>
      <c r="CP47" s="355"/>
      <c r="CQ47" s="355"/>
      <c r="CR47" s="355"/>
      <c r="CS47" s="356"/>
      <c r="CT47" s="357"/>
      <c r="CU47" s="358"/>
      <c r="CV47" s="357"/>
      <c r="CW47" s="359"/>
      <c r="CX47" s="360"/>
      <c r="CY47" s="355"/>
      <c r="CZ47" s="355"/>
      <c r="DA47" s="355"/>
      <c r="DB47" s="356"/>
      <c r="DC47" s="357"/>
      <c r="DD47" s="358"/>
      <c r="DE47" s="357"/>
      <c r="DF47" s="359"/>
      <c r="DG47" s="360"/>
      <c r="DH47" s="355"/>
      <c r="DI47" s="355"/>
      <c r="DJ47" s="355"/>
      <c r="DK47" s="356"/>
      <c r="DL47" s="357"/>
      <c r="DM47" s="358"/>
      <c r="DN47" s="357"/>
      <c r="DO47" s="359"/>
      <c r="DP47" s="360"/>
      <c r="DQ47" s="355"/>
      <c r="DR47" s="355"/>
      <c r="DS47" s="355"/>
      <c r="DT47" s="356"/>
      <c r="DU47" s="357"/>
      <c r="DV47" s="358"/>
      <c r="DW47" s="357"/>
      <c r="DX47" s="359"/>
      <c r="DY47" s="360"/>
      <c r="DZ47" s="355"/>
      <c r="EA47" s="355"/>
      <c r="EB47" s="355"/>
      <c r="EC47" s="356"/>
      <c r="ED47" s="357"/>
      <c r="EE47" s="358"/>
      <c r="EF47" s="357"/>
      <c r="EG47" s="359"/>
      <c r="EH47" s="360"/>
      <c r="EI47" s="355"/>
      <c r="EJ47" s="355"/>
      <c r="EK47" s="355"/>
      <c r="EL47" s="356"/>
      <c r="EM47" s="357"/>
      <c r="EN47" s="358"/>
      <c r="EO47" s="357"/>
      <c r="EP47" s="359"/>
      <c r="EQ47" s="360"/>
      <c r="ER47" s="355"/>
      <c r="ES47" s="355"/>
      <c r="ET47" s="355"/>
      <c r="EU47" s="356"/>
      <c r="EV47" s="357"/>
      <c r="EW47" s="358"/>
      <c r="EX47" s="357"/>
      <c r="EY47" s="359"/>
      <c r="EZ47" s="360"/>
      <c r="FA47" s="355"/>
      <c r="FB47" s="355"/>
      <c r="FC47" s="355"/>
      <c r="FD47" s="356"/>
      <c r="FE47" s="357"/>
      <c r="FF47" s="358"/>
      <c r="FG47" s="357"/>
      <c r="FH47" s="359"/>
      <c r="FI47" s="360"/>
      <c r="FJ47" s="355"/>
      <c r="FK47" s="355"/>
      <c r="FL47" s="355"/>
      <c r="FM47" s="356"/>
      <c r="FN47" s="357"/>
      <c r="FO47" s="358"/>
      <c r="FP47" s="357"/>
      <c r="FQ47" s="359"/>
      <c r="FR47" s="360"/>
      <c r="FS47" s="355"/>
      <c r="FT47" s="355"/>
      <c r="FU47" s="355"/>
      <c r="FV47" s="356"/>
      <c r="FW47" s="357"/>
      <c r="FX47" s="358"/>
      <c r="FY47" s="357"/>
      <c r="FZ47" s="359"/>
      <c r="GA47" s="360"/>
      <c r="GB47" s="355"/>
      <c r="GC47" s="355"/>
      <c r="GD47" s="355"/>
      <c r="GE47" s="356"/>
      <c r="GF47" s="357"/>
      <c r="GG47" s="358"/>
      <c r="GH47" s="357"/>
      <c r="GI47" s="359"/>
      <c r="GJ47" s="360"/>
      <c r="GK47" s="355"/>
      <c r="GL47" s="355"/>
      <c r="GM47" s="355"/>
      <c r="GN47" s="356"/>
      <c r="GO47" s="357"/>
      <c r="GP47" s="358"/>
      <c r="GQ47" s="357"/>
      <c r="GR47" s="359"/>
      <c r="GS47" s="360"/>
      <c r="GT47" s="430">
        <v>43115</v>
      </c>
      <c r="GU47" s="411"/>
      <c r="GV47" s="637"/>
      <c r="GW47" s="74"/>
      <c r="GX47" s="132"/>
      <c r="GY47" s="672" t="s">
        <v>1170</v>
      </c>
      <c r="GZ47" s="673">
        <v>4176</v>
      </c>
    </row>
    <row r="48" spans="1:208" x14ac:dyDescent="0.25">
      <c r="A48"/>
      <c r="D48" s="35"/>
      <c r="E48" s="36"/>
      <c r="F48" s="37"/>
      <c r="G48" s="38"/>
      <c r="H48" s="39"/>
      <c r="I48" s="40"/>
      <c r="J48" s="68" t="s">
        <v>43</v>
      </c>
      <c r="K48" s="407" t="s">
        <v>315</v>
      </c>
      <c r="L48" s="70">
        <v>19570</v>
      </c>
      <c r="M48" s="71">
        <v>43098</v>
      </c>
      <c r="N48" s="380" t="s">
        <v>1160</v>
      </c>
      <c r="O48" s="72">
        <v>24730</v>
      </c>
      <c r="P48" s="113">
        <f t="shared" si="2"/>
        <v>5160</v>
      </c>
      <c r="Q48" s="117">
        <v>30</v>
      </c>
      <c r="R48" s="117"/>
      <c r="S48" s="117"/>
      <c r="T48" s="39">
        <f t="shared" si="3"/>
        <v>741900</v>
      </c>
      <c r="U48" s="363" t="s">
        <v>72</v>
      </c>
      <c r="V48" s="353">
        <v>43115</v>
      </c>
      <c r="W48" s="368">
        <v>18774.599999999999</v>
      </c>
      <c r="X48" s="355"/>
      <c r="Y48" s="356"/>
      <c r="Z48" s="357"/>
      <c r="AA48" s="358"/>
      <c r="AB48" s="357"/>
      <c r="AC48" s="359"/>
      <c r="AD48" s="360"/>
      <c r="AE48" s="355"/>
      <c r="AF48" s="355"/>
      <c r="AG48" s="355"/>
      <c r="AH48" s="356"/>
      <c r="AI48" s="357"/>
      <c r="AJ48" s="358"/>
      <c r="AK48" s="357"/>
      <c r="AL48" s="359"/>
      <c r="AM48" s="360"/>
      <c r="AN48" s="355"/>
      <c r="AO48" s="355"/>
      <c r="AP48" s="355"/>
      <c r="AQ48" s="356"/>
      <c r="AR48" s="357"/>
      <c r="AS48" s="358"/>
      <c r="AT48" s="357"/>
      <c r="AU48" s="359"/>
      <c r="AV48" s="360"/>
      <c r="AW48" s="355"/>
      <c r="AX48" s="355"/>
      <c r="AY48" s="355"/>
      <c r="AZ48" s="356"/>
      <c r="BA48" s="357"/>
      <c r="BB48" s="358"/>
      <c r="BC48" s="357"/>
      <c r="BD48" s="359"/>
      <c r="BE48" s="360"/>
      <c r="BF48" s="355"/>
      <c r="BG48" s="355"/>
      <c r="BH48" s="355"/>
      <c r="BI48" s="356"/>
      <c r="BJ48" s="357"/>
      <c r="BK48" s="358"/>
      <c r="BL48" s="357"/>
      <c r="BM48" s="359"/>
      <c r="BN48" s="360"/>
      <c r="BO48" s="355"/>
      <c r="BP48" s="355"/>
      <c r="BQ48" s="355"/>
      <c r="BR48" s="356"/>
      <c r="BS48" s="357"/>
      <c r="BT48" s="358"/>
      <c r="BU48" s="357"/>
      <c r="BV48" s="359"/>
      <c r="BW48" s="360"/>
      <c r="BX48" s="355"/>
      <c r="BY48" s="355"/>
      <c r="BZ48" s="355"/>
      <c r="CA48" s="356"/>
      <c r="CB48" s="357"/>
      <c r="CC48" s="358"/>
      <c r="CD48" s="357"/>
      <c r="CE48" s="359"/>
      <c r="CF48" s="360"/>
      <c r="CG48" s="355"/>
      <c r="CH48" s="355"/>
      <c r="CI48" s="355"/>
      <c r="CJ48" s="356"/>
      <c r="CK48" s="357"/>
      <c r="CL48" s="358"/>
      <c r="CM48" s="357"/>
      <c r="CN48" s="359"/>
      <c r="CO48" s="360"/>
      <c r="CP48" s="355"/>
      <c r="CQ48" s="355"/>
      <c r="CR48" s="355"/>
      <c r="CS48" s="356"/>
      <c r="CT48" s="357"/>
      <c r="CU48" s="358"/>
      <c r="CV48" s="357"/>
      <c r="CW48" s="359"/>
      <c r="CX48" s="360"/>
      <c r="CY48" s="355"/>
      <c r="CZ48" s="355"/>
      <c r="DA48" s="355"/>
      <c r="DB48" s="356"/>
      <c r="DC48" s="357"/>
      <c r="DD48" s="358"/>
      <c r="DE48" s="357"/>
      <c r="DF48" s="359"/>
      <c r="DG48" s="360"/>
      <c r="DH48" s="355"/>
      <c r="DI48" s="355"/>
      <c r="DJ48" s="355"/>
      <c r="DK48" s="356"/>
      <c r="DL48" s="357"/>
      <c r="DM48" s="358"/>
      <c r="DN48" s="357"/>
      <c r="DO48" s="359"/>
      <c r="DP48" s="360"/>
      <c r="DQ48" s="355"/>
      <c r="DR48" s="355"/>
      <c r="DS48" s="355"/>
      <c r="DT48" s="356"/>
      <c r="DU48" s="357"/>
      <c r="DV48" s="358"/>
      <c r="DW48" s="357"/>
      <c r="DX48" s="359"/>
      <c r="DY48" s="360"/>
      <c r="DZ48" s="355"/>
      <c r="EA48" s="355"/>
      <c r="EB48" s="355"/>
      <c r="EC48" s="356"/>
      <c r="ED48" s="357"/>
      <c r="EE48" s="358"/>
      <c r="EF48" s="357"/>
      <c r="EG48" s="359"/>
      <c r="EH48" s="360"/>
      <c r="EI48" s="355"/>
      <c r="EJ48" s="355"/>
      <c r="EK48" s="355"/>
      <c r="EL48" s="356"/>
      <c r="EM48" s="357"/>
      <c r="EN48" s="358"/>
      <c r="EO48" s="357"/>
      <c r="EP48" s="359"/>
      <c r="EQ48" s="360"/>
      <c r="ER48" s="355"/>
      <c r="ES48" s="355"/>
      <c r="ET48" s="355"/>
      <c r="EU48" s="356"/>
      <c r="EV48" s="357"/>
      <c r="EW48" s="358"/>
      <c r="EX48" s="357"/>
      <c r="EY48" s="359"/>
      <c r="EZ48" s="360"/>
      <c r="FA48" s="355"/>
      <c r="FB48" s="355"/>
      <c r="FC48" s="355"/>
      <c r="FD48" s="356"/>
      <c r="FE48" s="357"/>
      <c r="FF48" s="358"/>
      <c r="FG48" s="357"/>
      <c r="FH48" s="359"/>
      <c r="FI48" s="360"/>
      <c r="FJ48" s="355"/>
      <c r="FK48" s="355"/>
      <c r="FL48" s="355"/>
      <c r="FM48" s="356"/>
      <c r="FN48" s="357"/>
      <c r="FO48" s="358"/>
      <c r="FP48" s="357"/>
      <c r="FQ48" s="359"/>
      <c r="FR48" s="360"/>
      <c r="FS48" s="355"/>
      <c r="FT48" s="355"/>
      <c r="FU48" s="355"/>
      <c r="FV48" s="356"/>
      <c r="FW48" s="357"/>
      <c r="FX48" s="358"/>
      <c r="FY48" s="357"/>
      <c r="FZ48" s="359"/>
      <c r="GA48" s="360"/>
      <c r="GB48" s="355"/>
      <c r="GC48" s="355"/>
      <c r="GD48" s="355"/>
      <c r="GE48" s="356"/>
      <c r="GF48" s="357"/>
      <c r="GG48" s="358"/>
      <c r="GH48" s="357"/>
      <c r="GI48" s="359"/>
      <c r="GJ48" s="360"/>
      <c r="GK48" s="355"/>
      <c r="GL48" s="355"/>
      <c r="GM48" s="355"/>
      <c r="GN48" s="356"/>
      <c r="GO48" s="357"/>
      <c r="GP48" s="358"/>
      <c r="GQ48" s="357"/>
      <c r="GR48" s="359"/>
      <c r="GS48" s="360"/>
      <c r="GT48" s="430">
        <v>43115</v>
      </c>
      <c r="GU48" s="411"/>
      <c r="GV48" s="637"/>
      <c r="GW48" s="74"/>
      <c r="GX48" s="132"/>
      <c r="GY48" s="672" t="s">
        <v>1170</v>
      </c>
      <c r="GZ48" s="673">
        <v>4176</v>
      </c>
    </row>
    <row r="49" spans="1:208" x14ac:dyDescent="0.25">
      <c r="A49"/>
      <c r="D49" s="35"/>
      <c r="E49" s="36"/>
      <c r="F49" s="37"/>
      <c r="G49" s="38"/>
      <c r="H49" s="39"/>
      <c r="I49" s="40"/>
      <c r="J49" s="68" t="s">
        <v>38</v>
      </c>
      <c r="K49" s="407" t="s">
        <v>155</v>
      </c>
      <c r="L49" s="70">
        <v>8670</v>
      </c>
      <c r="M49" s="71">
        <v>43099</v>
      </c>
      <c r="N49" s="380" t="s">
        <v>1162</v>
      </c>
      <c r="O49" s="72">
        <v>11050</v>
      </c>
      <c r="P49" s="113">
        <f t="shared" si="2"/>
        <v>2380</v>
      </c>
      <c r="Q49" s="117">
        <v>30</v>
      </c>
      <c r="R49" s="117"/>
      <c r="S49" s="117"/>
      <c r="T49" s="39">
        <f t="shared" si="3"/>
        <v>331500</v>
      </c>
      <c r="U49" s="363" t="s">
        <v>72</v>
      </c>
      <c r="V49" s="353">
        <v>43115</v>
      </c>
      <c r="W49" s="368">
        <v>9802</v>
      </c>
      <c r="X49" s="355"/>
      <c r="Y49" s="356"/>
      <c r="Z49" s="357"/>
      <c r="AA49" s="358"/>
      <c r="AB49" s="357"/>
      <c r="AC49" s="359"/>
      <c r="AD49" s="360"/>
      <c r="AE49" s="355"/>
      <c r="AF49" s="355"/>
      <c r="AG49" s="355"/>
      <c r="AH49" s="356"/>
      <c r="AI49" s="357"/>
      <c r="AJ49" s="358"/>
      <c r="AK49" s="357"/>
      <c r="AL49" s="359"/>
      <c r="AM49" s="360"/>
      <c r="AN49" s="355"/>
      <c r="AO49" s="355"/>
      <c r="AP49" s="355"/>
      <c r="AQ49" s="356"/>
      <c r="AR49" s="357"/>
      <c r="AS49" s="358"/>
      <c r="AT49" s="357"/>
      <c r="AU49" s="359"/>
      <c r="AV49" s="360"/>
      <c r="AW49" s="355"/>
      <c r="AX49" s="355"/>
      <c r="AY49" s="355"/>
      <c r="AZ49" s="356"/>
      <c r="BA49" s="357"/>
      <c r="BB49" s="358"/>
      <c r="BC49" s="357"/>
      <c r="BD49" s="359"/>
      <c r="BE49" s="360"/>
      <c r="BF49" s="355"/>
      <c r="BG49" s="355"/>
      <c r="BH49" s="355"/>
      <c r="BI49" s="356"/>
      <c r="BJ49" s="357"/>
      <c r="BK49" s="358"/>
      <c r="BL49" s="357"/>
      <c r="BM49" s="359"/>
      <c r="BN49" s="360"/>
      <c r="BO49" s="355"/>
      <c r="BP49" s="355"/>
      <c r="BQ49" s="355"/>
      <c r="BR49" s="356"/>
      <c r="BS49" s="357"/>
      <c r="BT49" s="358"/>
      <c r="BU49" s="357"/>
      <c r="BV49" s="359"/>
      <c r="BW49" s="360"/>
      <c r="BX49" s="355"/>
      <c r="BY49" s="355"/>
      <c r="BZ49" s="355"/>
      <c r="CA49" s="356"/>
      <c r="CB49" s="357"/>
      <c r="CC49" s="358"/>
      <c r="CD49" s="357"/>
      <c r="CE49" s="359"/>
      <c r="CF49" s="360"/>
      <c r="CG49" s="355"/>
      <c r="CH49" s="355"/>
      <c r="CI49" s="355"/>
      <c r="CJ49" s="356"/>
      <c r="CK49" s="357"/>
      <c r="CL49" s="358"/>
      <c r="CM49" s="357"/>
      <c r="CN49" s="359"/>
      <c r="CO49" s="360"/>
      <c r="CP49" s="355"/>
      <c r="CQ49" s="355"/>
      <c r="CR49" s="355"/>
      <c r="CS49" s="356"/>
      <c r="CT49" s="357"/>
      <c r="CU49" s="358"/>
      <c r="CV49" s="357"/>
      <c r="CW49" s="359"/>
      <c r="CX49" s="360"/>
      <c r="CY49" s="355"/>
      <c r="CZ49" s="355"/>
      <c r="DA49" s="355"/>
      <c r="DB49" s="356"/>
      <c r="DC49" s="357"/>
      <c r="DD49" s="358"/>
      <c r="DE49" s="357"/>
      <c r="DF49" s="359"/>
      <c r="DG49" s="360"/>
      <c r="DH49" s="355"/>
      <c r="DI49" s="355"/>
      <c r="DJ49" s="355"/>
      <c r="DK49" s="356"/>
      <c r="DL49" s="357"/>
      <c r="DM49" s="358"/>
      <c r="DN49" s="357"/>
      <c r="DO49" s="359"/>
      <c r="DP49" s="360"/>
      <c r="DQ49" s="355"/>
      <c r="DR49" s="355"/>
      <c r="DS49" s="355"/>
      <c r="DT49" s="356"/>
      <c r="DU49" s="357"/>
      <c r="DV49" s="358"/>
      <c r="DW49" s="357"/>
      <c r="DX49" s="359"/>
      <c r="DY49" s="360"/>
      <c r="DZ49" s="355"/>
      <c r="EA49" s="355"/>
      <c r="EB49" s="355"/>
      <c r="EC49" s="356"/>
      <c r="ED49" s="357"/>
      <c r="EE49" s="358"/>
      <c r="EF49" s="357"/>
      <c r="EG49" s="359"/>
      <c r="EH49" s="360"/>
      <c r="EI49" s="355"/>
      <c r="EJ49" s="355"/>
      <c r="EK49" s="355"/>
      <c r="EL49" s="356"/>
      <c r="EM49" s="357"/>
      <c r="EN49" s="358"/>
      <c r="EO49" s="357"/>
      <c r="EP49" s="359"/>
      <c r="EQ49" s="360"/>
      <c r="ER49" s="355"/>
      <c r="ES49" s="355"/>
      <c r="ET49" s="355"/>
      <c r="EU49" s="356"/>
      <c r="EV49" s="357"/>
      <c r="EW49" s="358"/>
      <c r="EX49" s="357"/>
      <c r="EY49" s="359"/>
      <c r="EZ49" s="360"/>
      <c r="FA49" s="355"/>
      <c r="FB49" s="355"/>
      <c r="FC49" s="355"/>
      <c r="FD49" s="356"/>
      <c r="FE49" s="357"/>
      <c r="FF49" s="358"/>
      <c r="FG49" s="357"/>
      <c r="FH49" s="359"/>
      <c r="FI49" s="360"/>
      <c r="FJ49" s="355"/>
      <c r="FK49" s="355"/>
      <c r="FL49" s="355"/>
      <c r="FM49" s="356"/>
      <c r="FN49" s="357"/>
      <c r="FO49" s="358"/>
      <c r="FP49" s="357"/>
      <c r="FQ49" s="359"/>
      <c r="FR49" s="360"/>
      <c r="FS49" s="355"/>
      <c r="FT49" s="355"/>
      <c r="FU49" s="355"/>
      <c r="FV49" s="356"/>
      <c r="FW49" s="357"/>
      <c r="FX49" s="358"/>
      <c r="FY49" s="357"/>
      <c r="FZ49" s="359"/>
      <c r="GA49" s="360"/>
      <c r="GB49" s="355"/>
      <c r="GC49" s="355"/>
      <c r="GD49" s="355"/>
      <c r="GE49" s="356"/>
      <c r="GF49" s="357"/>
      <c r="GG49" s="358"/>
      <c r="GH49" s="357"/>
      <c r="GI49" s="359"/>
      <c r="GJ49" s="360"/>
      <c r="GK49" s="355"/>
      <c r="GL49" s="355"/>
      <c r="GM49" s="355"/>
      <c r="GN49" s="356"/>
      <c r="GO49" s="357"/>
      <c r="GP49" s="358"/>
      <c r="GQ49" s="357"/>
      <c r="GR49" s="359"/>
      <c r="GS49" s="360"/>
      <c r="GT49" s="430">
        <v>43115</v>
      </c>
      <c r="GU49" s="411"/>
      <c r="GV49" s="637">
        <v>17584</v>
      </c>
      <c r="GW49" s="74" t="s">
        <v>1148</v>
      </c>
      <c r="GX49" s="132"/>
      <c r="GY49" s="672" t="s">
        <v>1170</v>
      </c>
      <c r="GZ49" s="671">
        <v>4176</v>
      </c>
    </row>
    <row r="50" spans="1:208" x14ac:dyDescent="0.25">
      <c r="A50"/>
      <c r="D50" s="35"/>
      <c r="E50" s="36"/>
      <c r="F50" s="37"/>
      <c r="G50" s="38"/>
      <c r="H50" s="39"/>
      <c r="I50" s="40"/>
      <c r="J50" s="68" t="s">
        <v>44</v>
      </c>
      <c r="K50" s="407" t="s">
        <v>41</v>
      </c>
      <c r="L50" s="70">
        <v>19780</v>
      </c>
      <c r="M50" s="71">
        <v>43099</v>
      </c>
      <c r="N50" s="380" t="s">
        <v>1161</v>
      </c>
      <c r="O50" s="72">
        <v>24950</v>
      </c>
      <c r="P50" s="113">
        <f t="shared" si="2"/>
        <v>5170</v>
      </c>
      <c r="Q50" s="117">
        <v>30</v>
      </c>
      <c r="R50" s="117"/>
      <c r="S50" s="117"/>
      <c r="T50" s="39">
        <f t="shared" si="3"/>
        <v>748500</v>
      </c>
      <c r="U50" s="363" t="s">
        <v>72</v>
      </c>
      <c r="V50" s="353">
        <v>43115</v>
      </c>
      <c r="W50" s="368">
        <v>18850</v>
      </c>
      <c r="X50" s="355"/>
      <c r="Y50" s="356"/>
      <c r="Z50" s="357"/>
      <c r="AA50" s="358"/>
      <c r="AB50" s="357"/>
      <c r="AC50" s="359"/>
      <c r="AD50" s="360"/>
      <c r="AE50" s="355"/>
      <c r="AF50" s="355"/>
      <c r="AG50" s="355"/>
      <c r="AH50" s="356"/>
      <c r="AI50" s="357"/>
      <c r="AJ50" s="358"/>
      <c r="AK50" s="357"/>
      <c r="AL50" s="359"/>
      <c r="AM50" s="360"/>
      <c r="AN50" s="355"/>
      <c r="AO50" s="355"/>
      <c r="AP50" s="355"/>
      <c r="AQ50" s="356"/>
      <c r="AR50" s="357"/>
      <c r="AS50" s="358"/>
      <c r="AT50" s="357"/>
      <c r="AU50" s="359"/>
      <c r="AV50" s="360"/>
      <c r="AW50" s="355"/>
      <c r="AX50" s="355"/>
      <c r="AY50" s="355"/>
      <c r="AZ50" s="356"/>
      <c r="BA50" s="357"/>
      <c r="BB50" s="358"/>
      <c r="BC50" s="357"/>
      <c r="BD50" s="359"/>
      <c r="BE50" s="360"/>
      <c r="BF50" s="355"/>
      <c r="BG50" s="355"/>
      <c r="BH50" s="355"/>
      <c r="BI50" s="356"/>
      <c r="BJ50" s="357"/>
      <c r="BK50" s="358"/>
      <c r="BL50" s="357"/>
      <c r="BM50" s="359"/>
      <c r="BN50" s="360"/>
      <c r="BO50" s="355"/>
      <c r="BP50" s="355"/>
      <c r="BQ50" s="355"/>
      <c r="BR50" s="356"/>
      <c r="BS50" s="357"/>
      <c r="BT50" s="358"/>
      <c r="BU50" s="357"/>
      <c r="BV50" s="359"/>
      <c r="BW50" s="360"/>
      <c r="BX50" s="355"/>
      <c r="BY50" s="355"/>
      <c r="BZ50" s="355"/>
      <c r="CA50" s="356"/>
      <c r="CB50" s="357"/>
      <c r="CC50" s="358"/>
      <c r="CD50" s="357"/>
      <c r="CE50" s="359"/>
      <c r="CF50" s="360"/>
      <c r="CG50" s="355"/>
      <c r="CH50" s="355"/>
      <c r="CI50" s="355"/>
      <c r="CJ50" s="356"/>
      <c r="CK50" s="357"/>
      <c r="CL50" s="358"/>
      <c r="CM50" s="357"/>
      <c r="CN50" s="359"/>
      <c r="CO50" s="360"/>
      <c r="CP50" s="355"/>
      <c r="CQ50" s="355"/>
      <c r="CR50" s="355"/>
      <c r="CS50" s="356"/>
      <c r="CT50" s="357"/>
      <c r="CU50" s="358"/>
      <c r="CV50" s="357"/>
      <c r="CW50" s="359"/>
      <c r="CX50" s="360"/>
      <c r="CY50" s="355"/>
      <c r="CZ50" s="355"/>
      <c r="DA50" s="355"/>
      <c r="DB50" s="356"/>
      <c r="DC50" s="357"/>
      <c r="DD50" s="358"/>
      <c r="DE50" s="357"/>
      <c r="DF50" s="359"/>
      <c r="DG50" s="360"/>
      <c r="DH50" s="355"/>
      <c r="DI50" s="355"/>
      <c r="DJ50" s="355"/>
      <c r="DK50" s="356"/>
      <c r="DL50" s="357"/>
      <c r="DM50" s="358"/>
      <c r="DN50" s="357"/>
      <c r="DO50" s="359"/>
      <c r="DP50" s="360"/>
      <c r="DQ50" s="355"/>
      <c r="DR50" s="355"/>
      <c r="DS50" s="355"/>
      <c r="DT50" s="356"/>
      <c r="DU50" s="357"/>
      <c r="DV50" s="358"/>
      <c r="DW50" s="357"/>
      <c r="DX50" s="359"/>
      <c r="DY50" s="360"/>
      <c r="DZ50" s="355"/>
      <c r="EA50" s="355"/>
      <c r="EB50" s="355"/>
      <c r="EC50" s="356"/>
      <c r="ED50" s="357"/>
      <c r="EE50" s="358"/>
      <c r="EF50" s="357"/>
      <c r="EG50" s="359"/>
      <c r="EH50" s="360"/>
      <c r="EI50" s="355"/>
      <c r="EJ50" s="355"/>
      <c r="EK50" s="355"/>
      <c r="EL50" s="356"/>
      <c r="EM50" s="357"/>
      <c r="EN50" s="358"/>
      <c r="EO50" s="357"/>
      <c r="EP50" s="359"/>
      <c r="EQ50" s="360"/>
      <c r="ER50" s="355"/>
      <c r="ES50" s="355"/>
      <c r="ET50" s="355"/>
      <c r="EU50" s="356"/>
      <c r="EV50" s="357"/>
      <c r="EW50" s="358"/>
      <c r="EX50" s="357"/>
      <c r="EY50" s="359"/>
      <c r="EZ50" s="360"/>
      <c r="FA50" s="355"/>
      <c r="FB50" s="355"/>
      <c r="FC50" s="355"/>
      <c r="FD50" s="356"/>
      <c r="FE50" s="357"/>
      <c r="FF50" s="358"/>
      <c r="FG50" s="357"/>
      <c r="FH50" s="359"/>
      <c r="FI50" s="360"/>
      <c r="FJ50" s="355"/>
      <c r="FK50" s="355"/>
      <c r="FL50" s="355"/>
      <c r="FM50" s="356"/>
      <c r="FN50" s="357"/>
      <c r="FO50" s="358"/>
      <c r="FP50" s="357"/>
      <c r="FQ50" s="359"/>
      <c r="FR50" s="360"/>
      <c r="FS50" s="355"/>
      <c r="FT50" s="355"/>
      <c r="FU50" s="355"/>
      <c r="FV50" s="356"/>
      <c r="FW50" s="357"/>
      <c r="FX50" s="358"/>
      <c r="FY50" s="357"/>
      <c r="FZ50" s="359"/>
      <c r="GA50" s="360"/>
      <c r="GB50" s="355"/>
      <c r="GC50" s="355"/>
      <c r="GD50" s="355"/>
      <c r="GE50" s="356"/>
      <c r="GF50" s="357"/>
      <c r="GG50" s="358"/>
      <c r="GH50" s="357"/>
      <c r="GI50" s="359"/>
      <c r="GJ50" s="360"/>
      <c r="GK50" s="355"/>
      <c r="GL50" s="355"/>
      <c r="GM50" s="355"/>
      <c r="GN50" s="356"/>
      <c r="GO50" s="357"/>
      <c r="GP50" s="358"/>
      <c r="GQ50" s="357"/>
      <c r="GR50" s="359"/>
      <c r="GS50" s="360"/>
      <c r="GT50" s="430">
        <v>43115</v>
      </c>
      <c r="GU50" s="411"/>
      <c r="GV50" s="637"/>
      <c r="GW50" s="74"/>
      <c r="GX50" s="132"/>
      <c r="GY50" s="672" t="s">
        <v>1170</v>
      </c>
      <c r="GZ50" s="673">
        <v>4176</v>
      </c>
    </row>
    <row r="51" spans="1:208" x14ac:dyDescent="0.25">
      <c r="A51"/>
      <c r="D51" s="35"/>
      <c r="E51" s="36"/>
      <c r="F51" s="37"/>
      <c r="G51" s="38"/>
      <c r="H51" s="39"/>
      <c r="I51" s="40"/>
      <c r="J51" s="68" t="s">
        <v>153</v>
      </c>
      <c r="K51" s="407" t="s">
        <v>313</v>
      </c>
      <c r="L51" s="70">
        <v>16980</v>
      </c>
      <c r="M51" s="71">
        <v>43100</v>
      </c>
      <c r="N51" s="380" t="s">
        <v>1164</v>
      </c>
      <c r="O51" s="72">
        <v>21300</v>
      </c>
      <c r="P51" s="113">
        <f t="shared" si="2"/>
        <v>4320</v>
      </c>
      <c r="Q51" s="117">
        <v>30</v>
      </c>
      <c r="R51" s="117"/>
      <c r="S51" s="117"/>
      <c r="T51" s="39">
        <f t="shared" si="3"/>
        <v>639000</v>
      </c>
      <c r="U51" s="363" t="s">
        <v>72</v>
      </c>
      <c r="V51" s="353">
        <v>43116</v>
      </c>
      <c r="W51" s="368">
        <v>15080</v>
      </c>
      <c r="X51" s="355"/>
      <c r="Y51" s="356"/>
      <c r="Z51" s="357"/>
      <c r="AA51" s="358"/>
      <c r="AB51" s="357"/>
      <c r="AC51" s="359"/>
      <c r="AD51" s="360"/>
      <c r="AE51" s="355"/>
      <c r="AF51" s="355"/>
      <c r="AG51" s="355"/>
      <c r="AH51" s="356"/>
      <c r="AI51" s="357"/>
      <c r="AJ51" s="358"/>
      <c r="AK51" s="357"/>
      <c r="AL51" s="359"/>
      <c r="AM51" s="360"/>
      <c r="AN51" s="355"/>
      <c r="AO51" s="355"/>
      <c r="AP51" s="355"/>
      <c r="AQ51" s="356"/>
      <c r="AR51" s="357"/>
      <c r="AS51" s="358"/>
      <c r="AT51" s="357"/>
      <c r="AU51" s="359"/>
      <c r="AV51" s="360"/>
      <c r="AW51" s="355"/>
      <c r="AX51" s="355"/>
      <c r="AY51" s="355"/>
      <c r="AZ51" s="356"/>
      <c r="BA51" s="357"/>
      <c r="BB51" s="358"/>
      <c r="BC51" s="357"/>
      <c r="BD51" s="359"/>
      <c r="BE51" s="360"/>
      <c r="BF51" s="355"/>
      <c r="BG51" s="355"/>
      <c r="BH51" s="355"/>
      <c r="BI51" s="356"/>
      <c r="BJ51" s="357"/>
      <c r="BK51" s="358"/>
      <c r="BL51" s="357"/>
      <c r="BM51" s="359"/>
      <c r="BN51" s="360"/>
      <c r="BO51" s="355"/>
      <c r="BP51" s="355"/>
      <c r="BQ51" s="355"/>
      <c r="BR51" s="356"/>
      <c r="BS51" s="357"/>
      <c r="BT51" s="358"/>
      <c r="BU51" s="357"/>
      <c r="BV51" s="359"/>
      <c r="BW51" s="360"/>
      <c r="BX51" s="355"/>
      <c r="BY51" s="355"/>
      <c r="BZ51" s="355"/>
      <c r="CA51" s="356"/>
      <c r="CB51" s="357"/>
      <c r="CC51" s="358"/>
      <c r="CD51" s="357"/>
      <c r="CE51" s="359"/>
      <c r="CF51" s="360"/>
      <c r="CG51" s="355"/>
      <c r="CH51" s="355"/>
      <c r="CI51" s="355"/>
      <c r="CJ51" s="356"/>
      <c r="CK51" s="357"/>
      <c r="CL51" s="358"/>
      <c r="CM51" s="357"/>
      <c r="CN51" s="359"/>
      <c r="CO51" s="360"/>
      <c r="CP51" s="355"/>
      <c r="CQ51" s="355"/>
      <c r="CR51" s="355"/>
      <c r="CS51" s="356"/>
      <c r="CT51" s="357"/>
      <c r="CU51" s="358"/>
      <c r="CV51" s="357"/>
      <c r="CW51" s="359"/>
      <c r="CX51" s="360"/>
      <c r="CY51" s="355"/>
      <c r="CZ51" s="355"/>
      <c r="DA51" s="355"/>
      <c r="DB51" s="356"/>
      <c r="DC51" s="357"/>
      <c r="DD51" s="358"/>
      <c r="DE51" s="357"/>
      <c r="DF51" s="359"/>
      <c r="DG51" s="360"/>
      <c r="DH51" s="355"/>
      <c r="DI51" s="355"/>
      <c r="DJ51" s="355"/>
      <c r="DK51" s="356"/>
      <c r="DL51" s="357"/>
      <c r="DM51" s="358"/>
      <c r="DN51" s="357"/>
      <c r="DO51" s="359"/>
      <c r="DP51" s="360"/>
      <c r="DQ51" s="355"/>
      <c r="DR51" s="355"/>
      <c r="DS51" s="355"/>
      <c r="DT51" s="356"/>
      <c r="DU51" s="357"/>
      <c r="DV51" s="358"/>
      <c r="DW51" s="357"/>
      <c r="DX51" s="359"/>
      <c r="DY51" s="360"/>
      <c r="DZ51" s="355"/>
      <c r="EA51" s="355"/>
      <c r="EB51" s="355"/>
      <c r="EC51" s="356"/>
      <c r="ED51" s="357"/>
      <c r="EE51" s="358"/>
      <c r="EF51" s="357"/>
      <c r="EG51" s="359"/>
      <c r="EH51" s="360"/>
      <c r="EI51" s="355"/>
      <c r="EJ51" s="355"/>
      <c r="EK51" s="355"/>
      <c r="EL51" s="356"/>
      <c r="EM51" s="357"/>
      <c r="EN51" s="358"/>
      <c r="EO51" s="357"/>
      <c r="EP51" s="359"/>
      <c r="EQ51" s="360"/>
      <c r="ER51" s="355"/>
      <c r="ES51" s="355"/>
      <c r="ET51" s="355"/>
      <c r="EU51" s="356"/>
      <c r="EV51" s="357"/>
      <c r="EW51" s="358"/>
      <c r="EX51" s="357"/>
      <c r="EY51" s="359"/>
      <c r="EZ51" s="360"/>
      <c r="FA51" s="355"/>
      <c r="FB51" s="355"/>
      <c r="FC51" s="355"/>
      <c r="FD51" s="356"/>
      <c r="FE51" s="357"/>
      <c r="FF51" s="358"/>
      <c r="FG51" s="357"/>
      <c r="FH51" s="359"/>
      <c r="FI51" s="360"/>
      <c r="FJ51" s="355"/>
      <c r="FK51" s="355"/>
      <c r="FL51" s="355"/>
      <c r="FM51" s="356"/>
      <c r="FN51" s="357"/>
      <c r="FO51" s="358"/>
      <c r="FP51" s="357"/>
      <c r="FQ51" s="359"/>
      <c r="FR51" s="360"/>
      <c r="FS51" s="355"/>
      <c r="FT51" s="355"/>
      <c r="FU51" s="355"/>
      <c r="FV51" s="356"/>
      <c r="FW51" s="357"/>
      <c r="FX51" s="358"/>
      <c r="FY51" s="357"/>
      <c r="FZ51" s="359"/>
      <c r="GA51" s="360"/>
      <c r="GB51" s="355"/>
      <c r="GC51" s="355"/>
      <c r="GD51" s="355"/>
      <c r="GE51" s="356"/>
      <c r="GF51" s="357"/>
      <c r="GG51" s="358"/>
      <c r="GH51" s="357"/>
      <c r="GI51" s="359"/>
      <c r="GJ51" s="360"/>
      <c r="GK51" s="355"/>
      <c r="GL51" s="355"/>
      <c r="GM51" s="355"/>
      <c r="GN51" s="356"/>
      <c r="GO51" s="357"/>
      <c r="GP51" s="358"/>
      <c r="GQ51" s="357"/>
      <c r="GR51" s="359"/>
      <c r="GS51" s="360"/>
      <c r="GT51" s="430">
        <v>43116</v>
      </c>
      <c r="GU51" s="411"/>
      <c r="GV51" s="637">
        <v>22176</v>
      </c>
      <c r="GW51" s="74" t="s">
        <v>1149</v>
      </c>
      <c r="GX51" s="132"/>
      <c r="GY51" s="672" t="s">
        <v>1170</v>
      </c>
      <c r="GZ51" s="673">
        <v>4176</v>
      </c>
    </row>
    <row r="52" spans="1:208" x14ac:dyDescent="0.25">
      <c r="A52"/>
      <c r="D52" s="35"/>
      <c r="E52" s="36"/>
      <c r="F52" s="37"/>
      <c r="G52" s="38"/>
      <c r="H52" s="39"/>
      <c r="I52" s="40"/>
      <c r="J52" s="76" t="s">
        <v>45</v>
      </c>
      <c r="K52" s="407" t="s">
        <v>37</v>
      </c>
      <c r="L52" s="70">
        <v>16730</v>
      </c>
      <c r="M52" s="71">
        <v>43100</v>
      </c>
      <c r="N52" s="380" t="s">
        <v>1166</v>
      </c>
      <c r="O52" s="72">
        <v>20930</v>
      </c>
      <c r="P52" s="113">
        <f t="shared" si="2"/>
        <v>4200</v>
      </c>
      <c r="Q52" s="117">
        <v>30</v>
      </c>
      <c r="R52" s="117"/>
      <c r="S52" s="117"/>
      <c r="T52" s="39">
        <f t="shared" si="3"/>
        <v>627900</v>
      </c>
      <c r="U52" s="363" t="s">
        <v>72</v>
      </c>
      <c r="V52" s="353">
        <v>43117</v>
      </c>
      <c r="W52" s="368">
        <v>15080</v>
      </c>
      <c r="X52" s="355"/>
      <c r="Y52" s="356"/>
      <c r="Z52" s="357"/>
      <c r="AA52" s="358"/>
      <c r="AB52" s="357"/>
      <c r="AC52" s="359"/>
      <c r="AD52" s="360"/>
      <c r="AE52" s="355"/>
      <c r="AF52" s="355"/>
      <c r="AG52" s="355"/>
      <c r="AH52" s="356"/>
      <c r="AI52" s="357"/>
      <c r="AJ52" s="358"/>
      <c r="AK52" s="357"/>
      <c r="AL52" s="359"/>
      <c r="AM52" s="360"/>
      <c r="AN52" s="355"/>
      <c r="AO52" s="355"/>
      <c r="AP52" s="355"/>
      <c r="AQ52" s="356"/>
      <c r="AR52" s="357"/>
      <c r="AS52" s="358"/>
      <c r="AT52" s="357"/>
      <c r="AU52" s="359"/>
      <c r="AV52" s="360"/>
      <c r="AW52" s="355"/>
      <c r="AX52" s="355"/>
      <c r="AY52" s="355"/>
      <c r="AZ52" s="356"/>
      <c r="BA52" s="357"/>
      <c r="BB52" s="358"/>
      <c r="BC52" s="357"/>
      <c r="BD52" s="359"/>
      <c r="BE52" s="360"/>
      <c r="BF52" s="355"/>
      <c r="BG52" s="355"/>
      <c r="BH52" s="355"/>
      <c r="BI52" s="356"/>
      <c r="BJ52" s="357"/>
      <c r="BK52" s="358"/>
      <c r="BL52" s="357"/>
      <c r="BM52" s="359"/>
      <c r="BN52" s="360"/>
      <c r="BO52" s="355"/>
      <c r="BP52" s="355"/>
      <c r="BQ52" s="355"/>
      <c r="BR52" s="356"/>
      <c r="BS52" s="357"/>
      <c r="BT52" s="358"/>
      <c r="BU52" s="357"/>
      <c r="BV52" s="359"/>
      <c r="BW52" s="360"/>
      <c r="BX52" s="355"/>
      <c r="BY52" s="355"/>
      <c r="BZ52" s="355"/>
      <c r="CA52" s="356"/>
      <c r="CB52" s="357"/>
      <c r="CC52" s="358"/>
      <c r="CD52" s="357"/>
      <c r="CE52" s="359"/>
      <c r="CF52" s="360"/>
      <c r="CG52" s="355"/>
      <c r="CH52" s="355"/>
      <c r="CI52" s="355"/>
      <c r="CJ52" s="356"/>
      <c r="CK52" s="357"/>
      <c r="CL52" s="358"/>
      <c r="CM52" s="357"/>
      <c r="CN52" s="359"/>
      <c r="CO52" s="360"/>
      <c r="CP52" s="355"/>
      <c r="CQ52" s="355"/>
      <c r="CR52" s="355"/>
      <c r="CS52" s="356"/>
      <c r="CT52" s="357"/>
      <c r="CU52" s="358"/>
      <c r="CV52" s="357"/>
      <c r="CW52" s="359"/>
      <c r="CX52" s="360"/>
      <c r="CY52" s="355"/>
      <c r="CZ52" s="355"/>
      <c r="DA52" s="355"/>
      <c r="DB52" s="356"/>
      <c r="DC52" s="357"/>
      <c r="DD52" s="358"/>
      <c r="DE52" s="357"/>
      <c r="DF52" s="359"/>
      <c r="DG52" s="360"/>
      <c r="DH52" s="355"/>
      <c r="DI52" s="355"/>
      <c r="DJ52" s="355"/>
      <c r="DK52" s="356"/>
      <c r="DL52" s="357"/>
      <c r="DM52" s="358"/>
      <c r="DN52" s="357"/>
      <c r="DO52" s="359"/>
      <c r="DP52" s="360"/>
      <c r="DQ52" s="355"/>
      <c r="DR52" s="355"/>
      <c r="DS52" s="355"/>
      <c r="DT52" s="356"/>
      <c r="DU52" s="357"/>
      <c r="DV52" s="358"/>
      <c r="DW52" s="357"/>
      <c r="DX52" s="359"/>
      <c r="DY52" s="360"/>
      <c r="DZ52" s="355"/>
      <c r="EA52" s="355"/>
      <c r="EB52" s="355"/>
      <c r="EC52" s="356"/>
      <c r="ED52" s="357"/>
      <c r="EE52" s="358"/>
      <c r="EF52" s="357"/>
      <c r="EG52" s="359"/>
      <c r="EH52" s="360"/>
      <c r="EI52" s="355"/>
      <c r="EJ52" s="355"/>
      <c r="EK52" s="355"/>
      <c r="EL52" s="356"/>
      <c r="EM52" s="357"/>
      <c r="EN52" s="358"/>
      <c r="EO52" s="357"/>
      <c r="EP52" s="359"/>
      <c r="EQ52" s="360"/>
      <c r="ER52" s="355"/>
      <c r="ES52" s="355"/>
      <c r="ET52" s="355"/>
      <c r="EU52" s="356"/>
      <c r="EV52" s="357"/>
      <c r="EW52" s="358"/>
      <c r="EX52" s="357"/>
      <c r="EY52" s="359"/>
      <c r="EZ52" s="360"/>
      <c r="FA52" s="355"/>
      <c r="FB52" s="355"/>
      <c r="FC52" s="355"/>
      <c r="FD52" s="356"/>
      <c r="FE52" s="357"/>
      <c r="FF52" s="358"/>
      <c r="FG52" s="357"/>
      <c r="FH52" s="359"/>
      <c r="FI52" s="360"/>
      <c r="FJ52" s="355"/>
      <c r="FK52" s="355"/>
      <c r="FL52" s="355"/>
      <c r="FM52" s="356"/>
      <c r="FN52" s="357"/>
      <c r="FO52" s="358"/>
      <c r="FP52" s="357"/>
      <c r="FQ52" s="359"/>
      <c r="FR52" s="360"/>
      <c r="FS52" s="355"/>
      <c r="FT52" s="355"/>
      <c r="FU52" s="355"/>
      <c r="FV52" s="356"/>
      <c r="FW52" s="357"/>
      <c r="FX52" s="358"/>
      <c r="FY52" s="357"/>
      <c r="FZ52" s="359"/>
      <c r="GA52" s="360"/>
      <c r="GB52" s="355"/>
      <c r="GC52" s="355"/>
      <c r="GD52" s="355"/>
      <c r="GE52" s="356"/>
      <c r="GF52" s="357"/>
      <c r="GG52" s="358"/>
      <c r="GH52" s="357"/>
      <c r="GI52" s="359"/>
      <c r="GJ52" s="360"/>
      <c r="GK52" s="355"/>
      <c r="GL52" s="355"/>
      <c r="GM52" s="355"/>
      <c r="GN52" s="356"/>
      <c r="GO52" s="357"/>
      <c r="GP52" s="358"/>
      <c r="GQ52" s="357"/>
      <c r="GR52" s="359"/>
      <c r="GS52" s="360"/>
      <c r="GT52" s="370">
        <v>43117</v>
      </c>
      <c r="GU52" s="411"/>
      <c r="GV52" s="637"/>
      <c r="GW52" s="74"/>
      <c r="GX52" s="74"/>
      <c r="GY52" s="672" t="s">
        <v>1170</v>
      </c>
      <c r="GZ52" s="673">
        <v>4176</v>
      </c>
    </row>
    <row r="53" spans="1:208" x14ac:dyDescent="0.25">
      <c r="A53"/>
      <c r="D53" s="35"/>
      <c r="E53" s="36"/>
      <c r="F53" s="37"/>
      <c r="G53" s="38"/>
      <c r="H53" s="39"/>
      <c r="I53" s="40"/>
      <c r="J53" s="76"/>
      <c r="K53" s="451"/>
      <c r="L53" s="70"/>
      <c r="M53" s="71"/>
      <c r="N53" s="119"/>
      <c r="O53" s="72"/>
      <c r="P53" s="113">
        <f t="shared" si="2"/>
        <v>0</v>
      </c>
      <c r="Q53" s="117"/>
      <c r="R53" s="117"/>
      <c r="S53" s="117"/>
      <c r="T53" s="39">
        <f t="shared" si="3"/>
        <v>0</v>
      </c>
      <c r="U53" s="375"/>
      <c r="V53" s="144"/>
      <c r="W53" s="377"/>
      <c r="X53" s="146"/>
      <c r="Y53" s="147"/>
      <c r="Z53" s="148"/>
      <c r="AA53" s="149"/>
      <c r="AB53" s="148"/>
      <c r="AC53" s="150"/>
      <c r="AD53" s="151"/>
      <c r="AE53" s="146"/>
      <c r="AF53" s="146"/>
      <c r="AG53" s="146"/>
      <c r="AH53" s="147"/>
      <c r="AI53" s="148"/>
      <c r="AJ53" s="149"/>
      <c r="AK53" s="148"/>
      <c r="AL53" s="150"/>
      <c r="AM53" s="151"/>
      <c r="AN53" s="146"/>
      <c r="AO53" s="146"/>
      <c r="AP53" s="146"/>
      <c r="AQ53" s="147"/>
      <c r="AR53" s="148"/>
      <c r="AS53" s="149"/>
      <c r="AT53" s="148"/>
      <c r="AU53" s="150"/>
      <c r="AV53" s="151"/>
      <c r="AW53" s="146"/>
      <c r="AX53" s="146"/>
      <c r="AY53" s="146"/>
      <c r="AZ53" s="147"/>
      <c r="BA53" s="148"/>
      <c r="BB53" s="149"/>
      <c r="BC53" s="148"/>
      <c r="BD53" s="150"/>
      <c r="BE53" s="151"/>
      <c r="BF53" s="146"/>
      <c r="BG53" s="146"/>
      <c r="BH53" s="146"/>
      <c r="BI53" s="147"/>
      <c r="BJ53" s="148"/>
      <c r="BK53" s="149"/>
      <c r="BL53" s="148"/>
      <c r="BM53" s="150"/>
      <c r="BN53" s="151"/>
      <c r="BO53" s="146"/>
      <c r="BP53" s="146"/>
      <c r="BQ53" s="146"/>
      <c r="BR53" s="147"/>
      <c r="BS53" s="148"/>
      <c r="BT53" s="149"/>
      <c r="BU53" s="148"/>
      <c r="BV53" s="150"/>
      <c r="BW53" s="151"/>
      <c r="BX53" s="146"/>
      <c r="BY53" s="146"/>
      <c r="BZ53" s="146"/>
      <c r="CA53" s="147"/>
      <c r="CB53" s="148"/>
      <c r="CC53" s="149"/>
      <c r="CD53" s="148"/>
      <c r="CE53" s="150"/>
      <c r="CF53" s="151"/>
      <c r="CG53" s="146"/>
      <c r="CH53" s="146"/>
      <c r="CI53" s="146"/>
      <c r="CJ53" s="147"/>
      <c r="CK53" s="148"/>
      <c r="CL53" s="149"/>
      <c r="CM53" s="148"/>
      <c r="CN53" s="150"/>
      <c r="CO53" s="151"/>
      <c r="CP53" s="146"/>
      <c r="CQ53" s="146"/>
      <c r="CR53" s="146"/>
      <c r="CS53" s="147"/>
      <c r="CT53" s="148"/>
      <c r="CU53" s="149"/>
      <c r="CV53" s="148"/>
      <c r="CW53" s="150"/>
      <c r="CX53" s="151"/>
      <c r="CY53" s="146"/>
      <c r="CZ53" s="146"/>
      <c r="DA53" s="146"/>
      <c r="DB53" s="147"/>
      <c r="DC53" s="148"/>
      <c r="DD53" s="149"/>
      <c r="DE53" s="148"/>
      <c r="DF53" s="150"/>
      <c r="DG53" s="151"/>
      <c r="DH53" s="146"/>
      <c r="DI53" s="146"/>
      <c r="DJ53" s="146"/>
      <c r="DK53" s="147"/>
      <c r="DL53" s="148"/>
      <c r="DM53" s="149"/>
      <c r="DN53" s="148"/>
      <c r="DO53" s="150"/>
      <c r="DP53" s="151"/>
      <c r="DQ53" s="146"/>
      <c r="DR53" s="146"/>
      <c r="DS53" s="146"/>
      <c r="DT53" s="147"/>
      <c r="DU53" s="148"/>
      <c r="DV53" s="149"/>
      <c r="DW53" s="148"/>
      <c r="DX53" s="150"/>
      <c r="DY53" s="151"/>
      <c r="DZ53" s="146"/>
      <c r="EA53" s="146"/>
      <c r="EB53" s="146"/>
      <c r="EC53" s="147"/>
      <c r="ED53" s="148"/>
      <c r="EE53" s="149"/>
      <c r="EF53" s="148"/>
      <c r="EG53" s="150"/>
      <c r="EH53" s="151"/>
      <c r="EI53" s="146"/>
      <c r="EJ53" s="146"/>
      <c r="EK53" s="146"/>
      <c r="EL53" s="147"/>
      <c r="EM53" s="148"/>
      <c r="EN53" s="149"/>
      <c r="EO53" s="148"/>
      <c r="EP53" s="150"/>
      <c r="EQ53" s="151"/>
      <c r="ER53" s="146"/>
      <c r="ES53" s="146"/>
      <c r="ET53" s="146"/>
      <c r="EU53" s="147"/>
      <c r="EV53" s="148"/>
      <c r="EW53" s="149"/>
      <c r="EX53" s="148"/>
      <c r="EY53" s="150"/>
      <c r="EZ53" s="151"/>
      <c r="FA53" s="146"/>
      <c r="FB53" s="146"/>
      <c r="FC53" s="146"/>
      <c r="FD53" s="147"/>
      <c r="FE53" s="148"/>
      <c r="FF53" s="149"/>
      <c r="FG53" s="148"/>
      <c r="FH53" s="150"/>
      <c r="FI53" s="151"/>
      <c r="FJ53" s="146"/>
      <c r="FK53" s="146"/>
      <c r="FL53" s="146"/>
      <c r="FM53" s="147"/>
      <c r="FN53" s="148"/>
      <c r="FO53" s="149"/>
      <c r="FP53" s="148"/>
      <c r="FQ53" s="150"/>
      <c r="FR53" s="151"/>
      <c r="FS53" s="146"/>
      <c r="FT53" s="146"/>
      <c r="FU53" s="146"/>
      <c r="FV53" s="147"/>
      <c r="FW53" s="148"/>
      <c r="FX53" s="149"/>
      <c r="FY53" s="148"/>
      <c r="FZ53" s="150"/>
      <c r="GA53" s="151"/>
      <c r="GB53" s="146"/>
      <c r="GC53" s="146"/>
      <c r="GD53" s="146"/>
      <c r="GE53" s="147"/>
      <c r="GF53" s="148"/>
      <c r="GG53" s="149"/>
      <c r="GH53" s="148"/>
      <c r="GI53" s="150"/>
      <c r="GJ53" s="151"/>
      <c r="GK53" s="146"/>
      <c r="GL53" s="146"/>
      <c r="GM53" s="146"/>
      <c r="GN53" s="147"/>
      <c r="GO53" s="148"/>
      <c r="GP53" s="149"/>
      <c r="GQ53" s="148"/>
      <c r="GR53" s="150"/>
      <c r="GS53" s="151"/>
      <c r="GT53" s="378"/>
      <c r="GU53" s="98"/>
      <c r="GV53" s="640"/>
      <c r="GW53" s="134"/>
      <c r="GX53" s="134"/>
      <c r="GY53" s="167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407"/>
      <c r="L54" s="70"/>
      <c r="M54" s="71"/>
      <c r="N54" s="119"/>
      <c r="O54" s="72"/>
      <c r="P54" s="113">
        <f t="shared" si="2"/>
        <v>0</v>
      </c>
      <c r="Q54" s="117"/>
      <c r="R54" s="117"/>
      <c r="S54" s="117"/>
      <c r="T54" s="39">
        <f t="shared" si="3"/>
        <v>0</v>
      </c>
      <c r="U54" s="115"/>
      <c r="V54" s="112"/>
      <c r="W54" s="118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122"/>
      <c r="GU54" s="98"/>
      <c r="GV54" s="640"/>
      <c r="GW54" s="134"/>
      <c r="GX54" s="134"/>
      <c r="GY54" s="167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407"/>
      <c r="L55" s="70"/>
      <c r="M55" s="71"/>
      <c r="N55" s="56"/>
      <c r="O55" s="72"/>
      <c r="P55" s="113">
        <f t="shared" si="2"/>
        <v>0</v>
      </c>
      <c r="Q55" s="117"/>
      <c r="R55" s="117"/>
      <c r="S55" s="117"/>
      <c r="T55" s="39">
        <f t="shared" ref="T55" si="4">Q55*O55</f>
        <v>0</v>
      </c>
      <c r="U55" s="115"/>
      <c r="V55" s="112"/>
      <c r="W55" s="118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122"/>
      <c r="GU55" s="98"/>
      <c r="GV55" s="641"/>
      <c r="GW55" s="134"/>
      <c r="GX55" s="136"/>
      <c r="GY55" s="167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68"/>
      <c r="K56" s="407"/>
      <c r="L56" s="70"/>
      <c r="M56" s="71"/>
      <c r="N56" s="56"/>
      <c r="O56" s="72"/>
      <c r="P56" s="113">
        <f t="shared" si="2"/>
        <v>0</v>
      </c>
      <c r="Q56" s="64"/>
      <c r="R56" s="117"/>
      <c r="S56" s="117"/>
      <c r="T56" s="39">
        <f>Q56*O56</f>
        <v>0</v>
      </c>
      <c r="U56" s="115"/>
      <c r="V56" s="83"/>
      <c r="W56" s="118"/>
      <c r="X56" s="17"/>
      <c r="Y56" s="20"/>
      <c r="Z56" s="92"/>
      <c r="AA56" s="93"/>
      <c r="AB56" s="92"/>
      <c r="AC56" s="94"/>
      <c r="AD56" s="95"/>
      <c r="AE56" s="17"/>
      <c r="AF56" s="17"/>
      <c r="AG56" s="17"/>
      <c r="AH56" s="20"/>
      <c r="AI56" s="92"/>
      <c r="AJ56" s="93"/>
      <c r="AK56" s="92"/>
      <c r="AL56" s="94"/>
      <c r="AM56" s="95"/>
      <c r="AN56" s="17"/>
      <c r="AO56" s="17"/>
      <c r="AP56" s="17"/>
      <c r="AQ56" s="20"/>
      <c r="AR56" s="92"/>
      <c r="AS56" s="93"/>
      <c r="AT56" s="92"/>
      <c r="AU56" s="94"/>
      <c r="AV56" s="95"/>
      <c r="AW56" s="17"/>
      <c r="AX56" s="17"/>
      <c r="AY56" s="17"/>
      <c r="AZ56" s="20"/>
      <c r="BA56" s="92"/>
      <c r="BB56" s="93"/>
      <c r="BC56" s="92"/>
      <c r="BD56" s="94"/>
      <c r="BE56" s="95"/>
      <c r="BF56" s="17"/>
      <c r="BG56" s="17"/>
      <c r="BH56" s="17"/>
      <c r="BI56" s="20"/>
      <c r="BJ56" s="92"/>
      <c r="BK56" s="93"/>
      <c r="BL56" s="92"/>
      <c r="BM56" s="94"/>
      <c r="BN56" s="95"/>
      <c r="BO56" s="17"/>
      <c r="BP56" s="17"/>
      <c r="BQ56" s="17"/>
      <c r="BR56" s="20"/>
      <c r="BS56" s="92"/>
      <c r="BT56" s="93"/>
      <c r="BU56" s="92"/>
      <c r="BV56" s="94"/>
      <c r="BW56" s="95"/>
      <c r="BX56" s="17"/>
      <c r="BY56" s="17"/>
      <c r="BZ56" s="17"/>
      <c r="CA56" s="20"/>
      <c r="CB56" s="92"/>
      <c r="CC56" s="93"/>
      <c r="CD56" s="92"/>
      <c r="CE56" s="94"/>
      <c r="CF56" s="95"/>
      <c r="CG56" s="17"/>
      <c r="CH56" s="17"/>
      <c r="CI56" s="17"/>
      <c r="CJ56" s="20"/>
      <c r="CK56" s="92"/>
      <c r="CL56" s="93"/>
      <c r="CM56" s="92"/>
      <c r="CN56" s="94"/>
      <c r="CO56" s="95"/>
      <c r="CP56" s="17"/>
      <c r="CQ56" s="17"/>
      <c r="CR56" s="17"/>
      <c r="CS56" s="20"/>
      <c r="CT56" s="92"/>
      <c r="CU56" s="93"/>
      <c r="CV56" s="92"/>
      <c r="CW56" s="94"/>
      <c r="CX56" s="95"/>
      <c r="CY56" s="17"/>
      <c r="CZ56" s="17"/>
      <c r="DA56" s="17"/>
      <c r="DB56" s="20"/>
      <c r="DC56" s="92"/>
      <c r="DD56" s="93"/>
      <c r="DE56" s="92"/>
      <c r="DF56" s="94"/>
      <c r="DG56" s="95"/>
      <c r="DH56" s="17"/>
      <c r="DI56" s="17"/>
      <c r="DJ56" s="17"/>
      <c r="DK56" s="20"/>
      <c r="DL56" s="92"/>
      <c r="DM56" s="93"/>
      <c r="DN56" s="92"/>
      <c r="DO56" s="94"/>
      <c r="DP56" s="95"/>
      <c r="DQ56" s="17"/>
      <c r="DR56" s="17"/>
      <c r="DS56" s="17"/>
      <c r="DT56" s="20"/>
      <c r="DU56" s="92"/>
      <c r="DV56" s="93"/>
      <c r="DW56" s="92"/>
      <c r="DX56" s="94"/>
      <c r="DY56" s="95"/>
      <c r="DZ56" s="17"/>
      <c r="EA56" s="17"/>
      <c r="EB56" s="17"/>
      <c r="EC56" s="20"/>
      <c r="ED56" s="92"/>
      <c r="EE56" s="93"/>
      <c r="EF56" s="92"/>
      <c r="EG56" s="94"/>
      <c r="EH56" s="95"/>
      <c r="EI56" s="17"/>
      <c r="EJ56" s="17"/>
      <c r="EK56" s="17"/>
      <c r="EL56" s="20"/>
      <c r="EM56" s="92"/>
      <c r="EN56" s="93"/>
      <c r="EO56" s="92"/>
      <c r="EP56" s="94"/>
      <c r="EQ56" s="95"/>
      <c r="ER56" s="17"/>
      <c r="ES56" s="17"/>
      <c r="ET56" s="17"/>
      <c r="EU56" s="20"/>
      <c r="EV56" s="92"/>
      <c r="EW56" s="93"/>
      <c r="EX56" s="92"/>
      <c r="EY56" s="94"/>
      <c r="EZ56" s="95"/>
      <c r="FA56" s="17"/>
      <c r="FB56" s="17"/>
      <c r="FC56" s="17"/>
      <c r="FD56" s="20"/>
      <c r="FE56" s="92"/>
      <c r="FF56" s="93"/>
      <c r="FG56" s="92"/>
      <c r="FH56" s="94"/>
      <c r="FI56" s="95"/>
      <c r="FJ56" s="17"/>
      <c r="FK56" s="17"/>
      <c r="FL56" s="17"/>
      <c r="FM56" s="20"/>
      <c r="FN56" s="92"/>
      <c r="FO56" s="93"/>
      <c r="FP56" s="92"/>
      <c r="FQ56" s="94"/>
      <c r="FR56" s="95"/>
      <c r="FS56" s="17"/>
      <c r="FT56" s="17"/>
      <c r="FU56" s="17"/>
      <c r="FV56" s="20"/>
      <c r="FW56" s="92"/>
      <c r="FX56" s="93"/>
      <c r="FY56" s="92"/>
      <c r="FZ56" s="94"/>
      <c r="GA56" s="95"/>
      <c r="GB56" s="17"/>
      <c r="GC56" s="17"/>
      <c r="GD56" s="17"/>
      <c r="GE56" s="20"/>
      <c r="GF56" s="92"/>
      <c r="GG56" s="93"/>
      <c r="GH56" s="92"/>
      <c r="GI56" s="94"/>
      <c r="GJ56" s="95"/>
      <c r="GK56" s="17"/>
      <c r="GL56" s="17"/>
      <c r="GM56" s="17"/>
      <c r="GN56" s="20"/>
      <c r="GO56" s="92"/>
      <c r="GP56" s="93"/>
      <c r="GQ56" s="92"/>
      <c r="GR56" s="94"/>
      <c r="GS56" s="95"/>
      <c r="GT56" s="137"/>
      <c r="GU56" s="98"/>
      <c r="GV56" s="639"/>
      <c r="GW56" s="74"/>
      <c r="GX56" s="74"/>
      <c r="GY56" s="167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407"/>
      <c r="L57" s="70"/>
      <c r="M57" s="71"/>
      <c r="N57" s="56"/>
      <c r="O57" s="72"/>
      <c r="P57" s="113">
        <f t="shared" si="0"/>
        <v>0</v>
      </c>
      <c r="Q57" s="117"/>
      <c r="R57" s="117"/>
      <c r="S57" s="117"/>
      <c r="T57" s="39">
        <f>Q57*O57</f>
        <v>0</v>
      </c>
      <c r="U57" s="115"/>
      <c r="V57" s="112"/>
      <c r="W57" s="118"/>
      <c r="X57" s="17"/>
      <c r="Y57" s="20"/>
      <c r="Z57" s="92"/>
      <c r="AA57" s="93"/>
      <c r="AB57" s="92"/>
      <c r="AC57" s="94"/>
      <c r="AD57" s="95"/>
      <c r="AE57" s="17"/>
      <c r="AF57" s="17"/>
      <c r="AG57" s="17"/>
      <c r="AH57" s="20"/>
      <c r="AI57" s="92"/>
      <c r="AJ57" s="93"/>
      <c r="AK57" s="92"/>
      <c r="AL57" s="94"/>
      <c r="AM57" s="95"/>
      <c r="AN57" s="17"/>
      <c r="AO57" s="17"/>
      <c r="AP57" s="17"/>
      <c r="AQ57" s="20"/>
      <c r="AR57" s="92"/>
      <c r="AS57" s="93"/>
      <c r="AT57" s="92"/>
      <c r="AU57" s="94"/>
      <c r="AV57" s="95"/>
      <c r="AW57" s="17"/>
      <c r="AX57" s="17"/>
      <c r="AY57" s="17"/>
      <c r="AZ57" s="20"/>
      <c r="BA57" s="92"/>
      <c r="BB57" s="93"/>
      <c r="BC57" s="92"/>
      <c r="BD57" s="94"/>
      <c r="BE57" s="95"/>
      <c r="BF57" s="17"/>
      <c r="BG57" s="17"/>
      <c r="BH57" s="17"/>
      <c r="BI57" s="20"/>
      <c r="BJ57" s="92"/>
      <c r="BK57" s="93"/>
      <c r="BL57" s="92"/>
      <c r="BM57" s="94"/>
      <c r="BN57" s="95"/>
      <c r="BO57" s="17"/>
      <c r="BP57" s="17"/>
      <c r="BQ57" s="17"/>
      <c r="BR57" s="20"/>
      <c r="BS57" s="92"/>
      <c r="BT57" s="93"/>
      <c r="BU57" s="92"/>
      <c r="BV57" s="94"/>
      <c r="BW57" s="95"/>
      <c r="BX57" s="17"/>
      <c r="BY57" s="17"/>
      <c r="BZ57" s="17"/>
      <c r="CA57" s="20"/>
      <c r="CB57" s="92"/>
      <c r="CC57" s="93"/>
      <c r="CD57" s="92"/>
      <c r="CE57" s="94"/>
      <c r="CF57" s="95"/>
      <c r="CG57" s="17"/>
      <c r="CH57" s="17"/>
      <c r="CI57" s="17"/>
      <c r="CJ57" s="20"/>
      <c r="CK57" s="92"/>
      <c r="CL57" s="93"/>
      <c r="CM57" s="92"/>
      <c r="CN57" s="94"/>
      <c r="CO57" s="95"/>
      <c r="CP57" s="17"/>
      <c r="CQ57" s="17"/>
      <c r="CR57" s="17"/>
      <c r="CS57" s="20"/>
      <c r="CT57" s="92"/>
      <c r="CU57" s="93"/>
      <c r="CV57" s="92"/>
      <c r="CW57" s="94"/>
      <c r="CX57" s="95"/>
      <c r="CY57" s="17"/>
      <c r="CZ57" s="17"/>
      <c r="DA57" s="17"/>
      <c r="DB57" s="20"/>
      <c r="DC57" s="92"/>
      <c r="DD57" s="93"/>
      <c r="DE57" s="92"/>
      <c r="DF57" s="94"/>
      <c r="DG57" s="95"/>
      <c r="DH57" s="17"/>
      <c r="DI57" s="17"/>
      <c r="DJ57" s="17"/>
      <c r="DK57" s="20"/>
      <c r="DL57" s="92"/>
      <c r="DM57" s="93"/>
      <c r="DN57" s="92"/>
      <c r="DO57" s="94"/>
      <c r="DP57" s="95"/>
      <c r="DQ57" s="17"/>
      <c r="DR57" s="17"/>
      <c r="DS57" s="17"/>
      <c r="DT57" s="20"/>
      <c r="DU57" s="92"/>
      <c r="DV57" s="93"/>
      <c r="DW57" s="92"/>
      <c r="DX57" s="94"/>
      <c r="DY57" s="95"/>
      <c r="DZ57" s="17"/>
      <c r="EA57" s="17"/>
      <c r="EB57" s="17"/>
      <c r="EC57" s="20"/>
      <c r="ED57" s="92"/>
      <c r="EE57" s="93"/>
      <c r="EF57" s="92"/>
      <c r="EG57" s="94"/>
      <c r="EH57" s="95"/>
      <c r="EI57" s="17"/>
      <c r="EJ57" s="17"/>
      <c r="EK57" s="17"/>
      <c r="EL57" s="20"/>
      <c r="EM57" s="92"/>
      <c r="EN57" s="93"/>
      <c r="EO57" s="92"/>
      <c r="EP57" s="94"/>
      <c r="EQ57" s="95"/>
      <c r="ER57" s="17"/>
      <c r="ES57" s="17"/>
      <c r="ET57" s="17"/>
      <c r="EU57" s="20"/>
      <c r="EV57" s="92"/>
      <c r="EW57" s="93"/>
      <c r="EX57" s="92"/>
      <c r="EY57" s="94"/>
      <c r="EZ57" s="95"/>
      <c r="FA57" s="17"/>
      <c r="FB57" s="17"/>
      <c r="FC57" s="17"/>
      <c r="FD57" s="20"/>
      <c r="FE57" s="92"/>
      <c r="FF57" s="93"/>
      <c r="FG57" s="92"/>
      <c r="FH57" s="94"/>
      <c r="FI57" s="95"/>
      <c r="FJ57" s="17"/>
      <c r="FK57" s="17"/>
      <c r="FL57" s="17"/>
      <c r="FM57" s="20"/>
      <c r="FN57" s="92"/>
      <c r="FO57" s="93"/>
      <c r="FP57" s="92"/>
      <c r="FQ57" s="94"/>
      <c r="FR57" s="95"/>
      <c r="FS57" s="17"/>
      <c r="FT57" s="17"/>
      <c r="FU57" s="17"/>
      <c r="FV57" s="20"/>
      <c r="FW57" s="92"/>
      <c r="FX57" s="93"/>
      <c r="FY57" s="92"/>
      <c r="FZ57" s="94"/>
      <c r="GA57" s="95"/>
      <c r="GB57" s="17"/>
      <c r="GC57" s="17"/>
      <c r="GD57" s="17"/>
      <c r="GE57" s="20"/>
      <c r="GF57" s="92"/>
      <c r="GG57" s="93"/>
      <c r="GH57" s="92"/>
      <c r="GI57" s="94"/>
      <c r="GJ57" s="95"/>
      <c r="GK57" s="17"/>
      <c r="GL57" s="17"/>
      <c r="GM57" s="17"/>
      <c r="GN57" s="20"/>
      <c r="GO57" s="92"/>
      <c r="GP57" s="93"/>
      <c r="GQ57" s="92"/>
      <c r="GR57" s="94"/>
      <c r="GS57" s="95"/>
      <c r="GT57" s="647"/>
      <c r="GU57" s="98"/>
      <c r="GV57" s="639"/>
      <c r="GW57" s="74"/>
      <c r="GX57" s="74"/>
      <c r="GY57" s="167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68"/>
      <c r="K58" s="407"/>
      <c r="L58" s="70"/>
      <c r="M58" s="71"/>
      <c r="N58" s="56"/>
      <c r="O58" s="72"/>
      <c r="P58" s="113">
        <f t="shared" si="0"/>
        <v>0</v>
      </c>
      <c r="Q58" s="117"/>
      <c r="R58" s="117"/>
      <c r="S58" s="117"/>
      <c r="T58" s="39">
        <f>Q58*O58</f>
        <v>0</v>
      </c>
      <c r="U58" s="115"/>
      <c r="V58" s="112"/>
      <c r="W58" s="118"/>
      <c r="X58" s="17"/>
      <c r="Y58" s="20"/>
      <c r="Z58" s="92"/>
      <c r="AA58" s="93"/>
      <c r="AB58" s="92"/>
      <c r="AC58" s="94"/>
      <c r="AD58" s="95"/>
      <c r="AE58" s="17"/>
      <c r="AF58" s="17"/>
      <c r="AG58" s="17"/>
      <c r="AH58" s="20"/>
      <c r="AI58" s="92"/>
      <c r="AJ58" s="93"/>
      <c r="AK58" s="92"/>
      <c r="AL58" s="94"/>
      <c r="AM58" s="95"/>
      <c r="AN58" s="17"/>
      <c r="AO58" s="17"/>
      <c r="AP58" s="17"/>
      <c r="AQ58" s="20"/>
      <c r="AR58" s="92"/>
      <c r="AS58" s="93"/>
      <c r="AT58" s="92"/>
      <c r="AU58" s="94"/>
      <c r="AV58" s="95"/>
      <c r="AW58" s="17"/>
      <c r="AX58" s="17"/>
      <c r="AY58" s="17"/>
      <c r="AZ58" s="20"/>
      <c r="BA58" s="92"/>
      <c r="BB58" s="93"/>
      <c r="BC58" s="92"/>
      <c r="BD58" s="94"/>
      <c r="BE58" s="95"/>
      <c r="BF58" s="17"/>
      <c r="BG58" s="17"/>
      <c r="BH58" s="17"/>
      <c r="BI58" s="20"/>
      <c r="BJ58" s="92"/>
      <c r="BK58" s="93"/>
      <c r="BL58" s="92"/>
      <c r="BM58" s="94"/>
      <c r="BN58" s="95"/>
      <c r="BO58" s="17"/>
      <c r="BP58" s="17"/>
      <c r="BQ58" s="17"/>
      <c r="BR58" s="20"/>
      <c r="BS58" s="92"/>
      <c r="BT58" s="93"/>
      <c r="BU58" s="92"/>
      <c r="BV58" s="94"/>
      <c r="BW58" s="95"/>
      <c r="BX58" s="17"/>
      <c r="BY58" s="17"/>
      <c r="BZ58" s="17"/>
      <c r="CA58" s="20"/>
      <c r="CB58" s="92"/>
      <c r="CC58" s="93"/>
      <c r="CD58" s="92"/>
      <c r="CE58" s="94"/>
      <c r="CF58" s="95"/>
      <c r="CG58" s="17"/>
      <c r="CH58" s="17"/>
      <c r="CI58" s="17"/>
      <c r="CJ58" s="20"/>
      <c r="CK58" s="92"/>
      <c r="CL58" s="93"/>
      <c r="CM58" s="92"/>
      <c r="CN58" s="94"/>
      <c r="CO58" s="95"/>
      <c r="CP58" s="17"/>
      <c r="CQ58" s="17"/>
      <c r="CR58" s="17"/>
      <c r="CS58" s="20"/>
      <c r="CT58" s="92"/>
      <c r="CU58" s="93"/>
      <c r="CV58" s="92"/>
      <c r="CW58" s="94"/>
      <c r="CX58" s="95"/>
      <c r="CY58" s="17"/>
      <c r="CZ58" s="17"/>
      <c r="DA58" s="17"/>
      <c r="DB58" s="20"/>
      <c r="DC58" s="92"/>
      <c r="DD58" s="93"/>
      <c r="DE58" s="92"/>
      <c r="DF58" s="94"/>
      <c r="DG58" s="95"/>
      <c r="DH58" s="17"/>
      <c r="DI58" s="17"/>
      <c r="DJ58" s="17"/>
      <c r="DK58" s="20"/>
      <c r="DL58" s="92"/>
      <c r="DM58" s="93"/>
      <c r="DN58" s="92"/>
      <c r="DO58" s="94"/>
      <c r="DP58" s="95"/>
      <c r="DQ58" s="17"/>
      <c r="DR58" s="17"/>
      <c r="DS58" s="17"/>
      <c r="DT58" s="20"/>
      <c r="DU58" s="92"/>
      <c r="DV58" s="93"/>
      <c r="DW58" s="92"/>
      <c r="DX58" s="94"/>
      <c r="DY58" s="95"/>
      <c r="DZ58" s="17"/>
      <c r="EA58" s="17"/>
      <c r="EB58" s="17"/>
      <c r="EC58" s="20"/>
      <c r="ED58" s="92"/>
      <c r="EE58" s="93"/>
      <c r="EF58" s="92"/>
      <c r="EG58" s="94"/>
      <c r="EH58" s="95"/>
      <c r="EI58" s="17"/>
      <c r="EJ58" s="17"/>
      <c r="EK58" s="17"/>
      <c r="EL58" s="20"/>
      <c r="EM58" s="92"/>
      <c r="EN58" s="93"/>
      <c r="EO58" s="92"/>
      <c r="EP58" s="94"/>
      <c r="EQ58" s="95"/>
      <c r="ER58" s="17"/>
      <c r="ES58" s="17"/>
      <c r="ET58" s="17"/>
      <c r="EU58" s="20"/>
      <c r="EV58" s="92"/>
      <c r="EW58" s="93"/>
      <c r="EX58" s="92"/>
      <c r="EY58" s="94"/>
      <c r="EZ58" s="95"/>
      <c r="FA58" s="17"/>
      <c r="FB58" s="17"/>
      <c r="FC58" s="17"/>
      <c r="FD58" s="20"/>
      <c r="FE58" s="92"/>
      <c r="FF58" s="93"/>
      <c r="FG58" s="92"/>
      <c r="FH58" s="94"/>
      <c r="FI58" s="95"/>
      <c r="FJ58" s="17"/>
      <c r="FK58" s="17"/>
      <c r="FL58" s="17"/>
      <c r="FM58" s="20"/>
      <c r="FN58" s="92"/>
      <c r="FO58" s="93"/>
      <c r="FP58" s="92"/>
      <c r="FQ58" s="94"/>
      <c r="FR58" s="95"/>
      <c r="FS58" s="17"/>
      <c r="FT58" s="17"/>
      <c r="FU58" s="17"/>
      <c r="FV58" s="20"/>
      <c r="FW58" s="92"/>
      <c r="FX58" s="93"/>
      <c r="FY58" s="92"/>
      <c r="FZ58" s="94"/>
      <c r="GA58" s="95"/>
      <c r="GB58" s="17"/>
      <c r="GC58" s="17"/>
      <c r="GD58" s="17"/>
      <c r="GE58" s="20"/>
      <c r="GF58" s="92"/>
      <c r="GG58" s="93"/>
      <c r="GH58" s="92"/>
      <c r="GI58" s="94"/>
      <c r="GJ58" s="95"/>
      <c r="GK58" s="17"/>
      <c r="GL58" s="17"/>
      <c r="GM58" s="17"/>
      <c r="GN58" s="20"/>
      <c r="GO58" s="92"/>
      <c r="GP58" s="93"/>
      <c r="GQ58" s="92"/>
      <c r="GR58" s="94"/>
      <c r="GS58" s="95"/>
      <c r="GT58" s="645"/>
      <c r="GU58" s="98"/>
      <c r="GV58" s="130"/>
      <c r="GW58" s="74"/>
      <c r="GX58" s="74"/>
      <c r="GY58" s="167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407"/>
      <c r="L59" s="70"/>
      <c r="M59" s="71"/>
      <c r="N59" s="56"/>
      <c r="O59" s="72"/>
      <c r="P59" s="113">
        <f t="shared" si="0"/>
        <v>0</v>
      </c>
      <c r="Q59" s="117"/>
      <c r="R59" s="117"/>
      <c r="S59" s="117"/>
      <c r="T59" s="39">
        <f>Q59*O59</f>
        <v>0</v>
      </c>
      <c r="U59" s="138"/>
      <c r="V59" s="139"/>
      <c r="W59" s="121"/>
      <c r="X59" s="17"/>
      <c r="Y59" s="20"/>
      <c r="Z59" s="92"/>
      <c r="AA59" s="93"/>
      <c r="AB59" s="92"/>
      <c r="AC59" s="94"/>
      <c r="AD59" s="95"/>
      <c r="AE59" s="17"/>
      <c r="AF59" s="17"/>
      <c r="AG59" s="17"/>
      <c r="AH59" s="20"/>
      <c r="AI59" s="92"/>
      <c r="AJ59" s="93"/>
      <c r="AK59" s="92"/>
      <c r="AL59" s="94"/>
      <c r="AM59" s="95"/>
      <c r="AN59" s="17"/>
      <c r="AO59" s="17"/>
      <c r="AP59" s="17"/>
      <c r="AQ59" s="20"/>
      <c r="AR59" s="92"/>
      <c r="AS59" s="93"/>
      <c r="AT59" s="92"/>
      <c r="AU59" s="94"/>
      <c r="AV59" s="95"/>
      <c r="AW59" s="17"/>
      <c r="AX59" s="17"/>
      <c r="AY59" s="17"/>
      <c r="AZ59" s="20"/>
      <c r="BA59" s="92"/>
      <c r="BB59" s="93"/>
      <c r="BC59" s="92"/>
      <c r="BD59" s="94"/>
      <c r="BE59" s="95"/>
      <c r="BF59" s="17"/>
      <c r="BG59" s="17"/>
      <c r="BH59" s="17"/>
      <c r="BI59" s="20"/>
      <c r="BJ59" s="92"/>
      <c r="BK59" s="93"/>
      <c r="BL59" s="92"/>
      <c r="BM59" s="94"/>
      <c r="BN59" s="95"/>
      <c r="BO59" s="17"/>
      <c r="BP59" s="17"/>
      <c r="BQ59" s="17"/>
      <c r="BR59" s="20"/>
      <c r="BS59" s="92"/>
      <c r="BT59" s="93"/>
      <c r="BU59" s="92"/>
      <c r="BV59" s="94"/>
      <c r="BW59" s="95"/>
      <c r="BX59" s="17"/>
      <c r="BY59" s="17"/>
      <c r="BZ59" s="17"/>
      <c r="CA59" s="20"/>
      <c r="CB59" s="92"/>
      <c r="CC59" s="93"/>
      <c r="CD59" s="92"/>
      <c r="CE59" s="94"/>
      <c r="CF59" s="95"/>
      <c r="CG59" s="17"/>
      <c r="CH59" s="17"/>
      <c r="CI59" s="17"/>
      <c r="CJ59" s="20"/>
      <c r="CK59" s="92"/>
      <c r="CL59" s="93"/>
      <c r="CM59" s="92"/>
      <c r="CN59" s="94"/>
      <c r="CO59" s="95"/>
      <c r="CP59" s="17"/>
      <c r="CQ59" s="17"/>
      <c r="CR59" s="17"/>
      <c r="CS59" s="20"/>
      <c r="CT59" s="92"/>
      <c r="CU59" s="93"/>
      <c r="CV59" s="92"/>
      <c r="CW59" s="94"/>
      <c r="CX59" s="95"/>
      <c r="CY59" s="17"/>
      <c r="CZ59" s="17"/>
      <c r="DA59" s="17"/>
      <c r="DB59" s="20"/>
      <c r="DC59" s="92"/>
      <c r="DD59" s="93"/>
      <c r="DE59" s="92"/>
      <c r="DF59" s="94"/>
      <c r="DG59" s="95"/>
      <c r="DH59" s="17"/>
      <c r="DI59" s="17"/>
      <c r="DJ59" s="17"/>
      <c r="DK59" s="20"/>
      <c r="DL59" s="92"/>
      <c r="DM59" s="93"/>
      <c r="DN59" s="92"/>
      <c r="DO59" s="94"/>
      <c r="DP59" s="95"/>
      <c r="DQ59" s="17"/>
      <c r="DR59" s="17"/>
      <c r="DS59" s="17"/>
      <c r="DT59" s="20"/>
      <c r="DU59" s="92"/>
      <c r="DV59" s="93"/>
      <c r="DW59" s="92"/>
      <c r="DX59" s="94"/>
      <c r="DY59" s="95"/>
      <c r="DZ59" s="17"/>
      <c r="EA59" s="17"/>
      <c r="EB59" s="17"/>
      <c r="EC59" s="20"/>
      <c r="ED59" s="92"/>
      <c r="EE59" s="93"/>
      <c r="EF59" s="92"/>
      <c r="EG59" s="94"/>
      <c r="EH59" s="95"/>
      <c r="EI59" s="17"/>
      <c r="EJ59" s="17"/>
      <c r="EK59" s="17"/>
      <c r="EL59" s="20"/>
      <c r="EM59" s="92"/>
      <c r="EN59" s="93"/>
      <c r="EO59" s="92"/>
      <c r="EP59" s="94"/>
      <c r="EQ59" s="95"/>
      <c r="ER59" s="17"/>
      <c r="ES59" s="17"/>
      <c r="ET59" s="17"/>
      <c r="EU59" s="20"/>
      <c r="EV59" s="92"/>
      <c r="EW59" s="93"/>
      <c r="EX59" s="92"/>
      <c r="EY59" s="94"/>
      <c r="EZ59" s="95"/>
      <c r="FA59" s="17"/>
      <c r="FB59" s="17"/>
      <c r="FC59" s="17"/>
      <c r="FD59" s="20"/>
      <c r="FE59" s="92"/>
      <c r="FF59" s="93"/>
      <c r="FG59" s="92"/>
      <c r="FH59" s="94"/>
      <c r="FI59" s="95"/>
      <c r="FJ59" s="17"/>
      <c r="FK59" s="17"/>
      <c r="FL59" s="17"/>
      <c r="FM59" s="20"/>
      <c r="FN59" s="92"/>
      <c r="FO59" s="93"/>
      <c r="FP59" s="92"/>
      <c r="FQ59" s="94"/>
      <c r="FR59" s="95"/>
      <c r="FS59" s="17"/>
      <c r="FT59" s="17"/>
      <c r="FU59" s="17"/>
      <c r="FV59" s="20"/>
      <c r="FW59" s="92"/>
      <c r="FX59" s="93"/>
      <c r="FY59" s="92"/>
      <c r="FZ59" s="94"/>
      <c r="GA59" s="95"/>
      <c r="GB59" s="17"/>
      <c r="GC59" s="17"/>
      <c r="GD59" s="17"/>
      <c r="GE59" s="20"/>
      <c r="GF59" s="92"/>
      <c r="GG59" s="93"/>
      <c r="GH59" s="92"/>
      <c r="GI59" s="94"/>
      <c r="GJ59" s="95"/>
      <c r="GK59" s="17"/>
      <c r="GL59" s="17"/>
      <c r="GM59" s="17"/>
      <c r="GN59" s="20"/>
      <c r="GO59" s="92"/>
      <c r="GP59" s="93"/>
      <c r="GQ59" s="92"/>
      <c r="GR59" s="94"/>
      <c r="GS59" s="95"/>
      <c r="GT59" s="645"/>
      <c r="GU59" s="98"/>
      <c r="GV59" s="130"/>
      <c r="GW59" s="74"/>
      <c r="GX59" s="74"/>
      <c r="GY59" s="167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407"/>
      <c r="L60" s="70"/>
      <c r="M60" s="71"/>
      <c r="N60" s="56"/>
      <c r="O60" s="72"/>
      <c r="P60" s="113">
        <f t="shared" si="0"/>
        <v>0</v>
      </c>
      <c r="Q60" s="117"/>
      <c r="R60" s="117"/>
      <c r="S60" s="140"/>
      <c r="T60" s="39">
        <f t="shared" si="1"/>
        <v>0</v>
      </c>
      <c r="U60" s="138"/>
      <c r="V60" s="112"/>
      <c r="W60" s="121"/>
      <c r="X60" s="17"/>
      <c r="Y60" s="20"/>
      <c r="Z60" s="92"/>
      <c r="AA60" s="93"/>
      <c r="AB60" s="92"/>
      <c r="AC60" s="94"/>
      <c r="AD60" s="95"/>
      <c r="AE60" s="17"/>
      <c r="AF60" s="17"/>
      <c r="AG60" s="17"/>
      <c r="AH60" s="20"/>
      <c r="AI60" s="92"/>
      <c r="AJ60" s="93"/>
      <c r="AK60" s="92"/>
      <c r="AL60" s="94"/>
      <c r="AM60" s="95"/>
      <c r="AN60" s="17"/>
      <c r="AO60" s="17"/>
      <c r="AP60" s="17"/>
      <c r="AQ60" s="20"/>
      <c r="AR60" s="92"/>
      <c r="AS60" s="93"/>
      <c r="AT60" s="92"/>
      <c r="AU60" s="94"/>
      <c r="AV60" s="95"/>
      <c r="AW60" s="17"/>
      <c r="AX60" s="17"/>
      <c r="AY60" s="17"/>
      <c r="AZ60" s="20"/>
      <c r="BA60" s="92"/>
      <c r="BB60" s="93"/>
      <c r="BC60" s="92"/>
      <c r="BD60" s="94"/>
      <c r="BE60" s="95"/>
      <c r="BF60" s="17"/>
      <c r="BG60" s="17"/>
      <c r="BH60" s="17"/>
      <c r="BI60" s="20"/>
      <c r="BJ60" s="92"/>
      <c r="BK60" s="93"/>
      <c r="BL60" s="92"/>
      <c r="BM60" s="94"/>
      <c r="BN60" s="95"/>
      <c r="BO60" s="17"/>
      <c r="BP60" s="17"/>
      <c r="BQ60" s="17"/>
      <c r="BR60" s="20"/>
      <c r="BS60" s="92"/>
      <c r="BT60" s="93"/>
      <c r="BU60" s="92"/>
      <c r="BV60" s="94"/>
      <c r="BW60" s="95"/>
      <c r="BX60" s="17"/>
      <c r="BY60" s="17"/>
      <c r="BZ60" s="17"/>
      <c r="CA60" s="20"/>
      <c r="CB60" s="92"/>
      <c r="CC60" s="93"/>
      <c r="CD60" s="92"/>
      <c r="CE60" s="94"/>
      <c r="CF60" s="95"/>
      <c r="CG60" s="17"/>
      <c r="CH60" s="17"/>
      <c r="CI60" s="17"/>
      <c r="CJ60" s="20"/>
      <c r="CK60" s="92"/>
      <c r="CL60" s="93"/>
      <c r="CM60" s="92"/>
      <c r="CN60" s="94"/>
      <c r="CO60" s="95"/>
      <c r="CP60" s="17"/>
      <c r="CQ60" s="17"/>
      <c r="CR60" s="17"/>
      <c r="CS60" s="20"/>
      <c r="CT60" s="92"/>
      <c r="CU60" s="93"/>
      <c r="CV60" s="92"/>
      <c r="CW60" s="94"/>
      <c r="CX60" s="95"/>
      <c r="CY60" s="17"/>
      <c r="CZ60" s="17"/>
      <c r="DA60" s="17"/>
      <c r="DB60" s="20"/>
      <c r="DC60" s="92"/>
      <c r="DD60" s="93"/>
      <c r="DE60" s="92"/>
      <c r="DF60" s="94"/>
      <c r="DG60" s="95"/>
      <c r="DH60" s="17"/>
      <c r="DI60" s="17"/>
      <c r="DJ60" s="17"/>
      <c r="DK60" s="20"/>
      <c r="DL60" s="92"/>
      <c r="DM60" s="93"/>
      <c r="DN60" s="92"/>
      <c r="DO60" s="94"/>
      <c r="DP60" s="95"/>
      <c r="DQ60" s="17"/>
      <c r="DR60" s="17"/>
      <c r="DS60" s="17"/>
      <c r="DT60" s="20"/>
      <c r="DU60" s="92"/>
      <c r="DV60" s="93"/>
      <c r="DW60" s="92"/>
      <c r="DX60" s="94"/>
      <c r="DY60" s="95"/>
      <c r="DZ60" s="17"/>
      <c r="EA60" s="17"/>
      <c r="EB60" s="17"/>
      <c r="EC60" s="20"/>
      <c r="ED60" s="92"/>
      <c r="EE60" s="93"/>
      <c r="EF60" s="92"/>
      <c r="EG60" s="94"/>
      <c r="EH60" s="95"/>
      <c r="EI60" s="17"/>
      <c r="EJ60" s="17"/>
      <c r="EK60" s="17"/>
      <c r="EL60" s="20"/>
      <c r="EM60" s="92"/>
      <c r="EN60" s="93"/>
      <c r="EO60" s="92"/>
      <c r="EP60" s="94"/>
      <c r="EQ60" s="95"/>
      <c r="ER60" s="17"/>
      <c r="ES60" s="17"/>
      <c r="ET60" s="17"/>
      <c r="EU60" s="20"/>
      <c r="EV60" s="92"/>
      <c r="EW60" s="93"/>
      <c r="EX60" s="92"/>
      <c r="EY60" s="94"/>
      <c r="EZ60" s="95"/>
      <c r="FA60" s="17"/>
      <c r="FB60" s="17"/>
      <c r="FC60" s="17"/>
      <c r="FD60" s="20"/>
      <c r="FE60" s="92"/>
      <c r="FF60" s="93"/>
      <c r="FG60" s="92"/>
      <c r="FH60" s="94"/>
      <c r="FI60" s="95"/>
      <c r="FJ60" s="17"/>
      <c r="FK60" s="17"/>
      <c r="FL60" s="17"/>
      <c r="FM60" s="20"/>
      <c r="FN60" s="92"/>
      <c r="FO60" s="93"/>
      <c r="FP60" s="92"/>
      <c r="FQ60" s="94"/>
      <c r="FR60" s="95"/>
      <c r="FS60" s="17"/>
      <c r="FT60" s="17"/>
      <c r="FU60" s="17"/>
      <c r="FV60" s="20"/>
      <c r="FW60" s="92"/>
      <c r="FX60" s="93"/>
      <c r="FY60" s="92"/>
      <c r="FZ60" s="94"/>
      <c r="GA60" s="95"/>
      <c r="GB60" s="17"/>
      <c r="GC60" s="17"/>
      <c r="GD60" s="17"/>
      <c r="GE60" s="20"/>
      <c r="GF60" s="92"/>
      <c r="GG60" s="93"/>
      <c r="GH60" s="92"/>
      <c r="GI60" s="94"/>
      <c r="GJ60" s="95"/>
      <c r="GK60" s="17"/>
      <c r="GL60" s="17"/>
      <c r="GM60" s="17"/>
      <c r="GN60" s="20"/>
      <c r="GO60" s="92"/>
      <c r="GP60" s="93"/>
      <c r="GQ60" s="92"/>
      <c r="GR60" s="94"/>
      <c r="GS60" s="95"/>
      <c r="GT60" s="645"/>
      <c r="GU60" s="98"/>
      <c r="GV60" s="130"/>
      <c r="GW60" s="74"/>
      <c r="GX60" s="74"/>
      <c r="GY60" s="167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68"/>
      <c r="K61" s="407"/>
      <c r="L61" s="70"/>
      <c r="M61" s="71"/>
      <c r="N61" s="56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38"/>
      <c r="V61" s="112"/>
      <c r="W61" s="121"/>
      <c r="X61" s="17"/>
      <c r="Y61" s="20"/>
      <c r="Z61" s="92"/>
      <c r="AA61" s="93"/>
      <c r="AB61" s="92"/>
      <c r="AC61" s="94"/>
      <c r="AD61" s="95"/>
      <c r="AE61" s="17"/>
      <c r="AF61" s="17"/>
      <c r="AG61" s="17"/>
      <c r="AH61" s="20"/>
      <c r="AI61" s="92"/>
      <c r="AJ61" s="93"/>
      <c r="AK61" s="92"/>
      <c r="AL61" s="94"/>
      <c r="AM61" s="95"/>
      <c r="AN61" s="17"/>
      <c r="AO61" s="17"/>
      <c r="AP61" s="17"/>
      <c r="AQ61" s="20"/>
      <c r="AR61" s="92"/>
      <c r="AS61" s="93"/>
      <c r="AT61" s="92"/>
      <c r="AU61" s="94"/>
      <c r="AV61" s="95"/>
      <c r="AW61" s="17"/>
      <c r="AX61" s="17"/>
      <c r="AY61" s="17"/>
      <c r="AZ61" s="20"/>
      <c r="BA61" s="92"/>
      <c r="BB61" s="93"/>
      <c r="BC61" s="92"/>
      <c r="BD61" s="94"/>
      <c r="BE61" s="95"/>
      <c r="BF61" s="17"/>
      <c r="BG61" s="17"/>
      <c r="BH61" s="17"/>
      <c r="BI61" s="20"/>
      <c r="BJ61" s="92"/>
      <c r="BK61" s="93"/>
      <c r="BL61" s="92"/>
      <c r="BM61" s="94"/>
      <c r="BN61" s="95"/>
      <c r="BO61" s="17"/>
      <c r="BP61" s="17"/>
      <c r="BQ61" s="17"/>
      <c r="BR61" s="20"/>
      <c r="BS61" s="92"/>
      <c r="BT61" s="93"/>
      <c r="BU61" s="92"/>
      <c r="BV61" s="94"/>
      <c r="BW61" s="95"/>
      <c r="BX61" s="17"/>
      <c r="BY61" s="17"/>
      <c r="BZ61" s="17"/>
      <c r="CA61" s="20"/>
      <c r="CB61" s="92"/>
      <c r="CC61" s="93"/>
      <c r="CD61" s="92"/>
      <c r="CE61" s="94"/>
      <c r="CF61" s="95"/>
      <c r="CG61" s="17"/>
      <c r="CH61" s="17"/>
      <c r="CI61" s="17"/>
      <c r="CJ61" s="20"/>
      <c r="CK61" s="92"/>
      <c r="CL61" s="93"/>
      <c r="CM61" s="92"/>
      <c r="CN61" s="94"/>
      <c r="CO61" s="95"/>
      <c r="CP61" s="17"/>
      <c r="CQ61" s="17"/>
      <c r="CR61" s="17"/>
      <c r="CS61" s="20"/>
      <c r="CT61" s="92"/>
      <c r="CU61" s="93"/>
      <c r="CV61" s="92"/>
      <c r="CW61" s="94"/>
      <c r="CX61" s="95"/>
      <c r="CY61" s="17"/>
      <c r="CZ61" s="17"/>
      <c r="DA61" s="17"/>
      <c r="DB61" s="20"/>
      <c r="DC61" s="92"/>
      <c r="DD61" s="93"/>
      <c r="DE61" s="92"/>
      <c r="DF61" s="94"/>
      <c r="DG61" s="95"/>
      <c r="DH61" s="17"/>
      <c r="DI61" s="17"/>
      <c r="DJ61" s="17"/>
      <c r="DK61" s="20"/>
      <c r="DL61" s="92"/>
      <c r="DM61" s="93"/>
      <c r="DN61" s="92"/>
      <c r="DO61" s="94"/>
      <c r="DP61" s="95"/>
      <c r="DQ61" s="17"/>
      <c r="DR61" s="17"/>
      <c r="DS61" s="17"/>
      <c r="DT61" s="20"/>
      <c r="DU61" s="92"/>
      <c r="DV61" s="93"/>
      <c r="DW61" s="92"/>
      <c r="DX61" s="94"/>
      <c r="DY61" s="95"/>
      <c r="DZ61" s="17"/>
      <c r="EA61" s="17"/>
      <c r="EB61" s="17"/>
      <c r="EC61" s="20"/>
      <c r="ED61" s="92"/>
      <c r="EE61" s="93"/>
      <c r="EF61" s="92"/>
      <c r="EG61" s="94"/>
      <c r="EH61" s="95"/>
      <c r="EI61" s="17"/>
      <c r="EJ61" s="17"/>
      <c r="EK61" s="17"/>
      <c r="EL61" s="20"/>
      <c r="EM61" s="92"/>
      <c r="EN61" s="93"/>
      <c r="EO61" s="92"/>
      <c r="EP61" s="94"/>
      <c r="EQ61" s="95"/>
      <c r="ER61" s="17"/>
      <c r="ES61" s="17"/>
      <c r="ET61" s="17"/>
      <c r="EU61" s="20"/>
      <c r="EV61" s="92"/>
      <c r="EW61" s="93"/>
      <c r="EX61" s="92"/>
      <c r="EY61" s="94"/>
      <c r="EZ61" s="95"/>
      <c r="FA61" s="17"/>
      <c r="FB61" s="17"/>
      <c r="FC61" s="17"/>
      <c r="FD61" s="20"/>
      <c r="FE61" s="92"/>
      <c r="FF61" s="93"/>
      <c r="FG61" s="92"/>
      <c r="FH61" s="94"/>
      <c r="FI61" s="95"/>
      <c r="FJ61" s="17"/>
      <c r="FK61" s="17"/>
      <c r="FL61" s="17"/>
      <c r="FM61" s="20"/>
      <c r="FN61" s="92"/>
      <c r="FO61" s="93"/>
      <c r="FP61" s="92"/>
      <c r="FQ61" s="94"/>
      <c r="FR61" s="95"/>
      <c r="FS61" s="17"/>
      <c r="FT61" s="17"/>
      <c r="FU61" s="17"/>
      <c r="FV61" s="20"/>
      <c r="FW61" s="92"/>
      <c r="FX61" s="93"/>
      <c r="FY61" s="92"/>
      <c r="FZ61" s="94"/>
      <c r="GA61" s="95"/>
      <c r="GB61" s="17"/>
      <c r="GC61" s="17"/>
      <c r="GD61" s="17"/>
      <c r="GE61" s="20"/>
      <c r="GF61" s="92"/>
      <c r="GG61" s="93"/>
      <c r="GH61" s="92"/>
      <c r="GI61" s="94"/>
      <c r="GJ61" s="95"/>
      <c r="GK61" s="17"/>
      <c r="GL61" s="17"/>
      <c r="GM61" s="17"/>
      <c r="GN61" s="20"/>
      <c r="GO61" s="92"/>
      <c r="GP61" s="93"/>
      <c r="GQ61" s="92"/>
      <c r="GR61" s="94"/>
      <c r="GS61" s="95"/>
      <c r="GT61" s="645"/>
      <c r="GU61" s="98"/>
      <c r="GV61" s="130"/>
      <c r="GW61" s="141"/>
      <c r="GX61" s="141"/>
      <c r="GY61" s="167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407"/>
      <c r="L62" s="70"/>
      <c r="M62" s="71"/>
      <c r="N62" s="56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38"/>
      <c r="V62" s="112"/>
      <c r="W62" s="121"/>
      <c r="X62" s="17"/>
      <c r="Y62" s="20"/>
      <c r="Z62" s="92"/>
      <c r="AA62" s="93"/>
      <c r="AB62" s="92"/>
      <c r="AC62" s="94"/>
      <c r="AD62" s="95"/>
      <c r="AE62" s="17"/>
      <c r="AF62" s="17"/>
      <c r="AG62" s="17"/>
      <c r="AH62" s="20"/>
      <c r="AI62" s="92"/>
      <c r="AJ62" s="93"/>
      <c r="AK62" s="92"/>
      <c r="AL62" s="94"/>
      <c r="AM62" s="95"/>
      <c r="AN62" s="17"/>
      <c r="AO62" s="17"/>
      <c r="AP62" s="17"/>
      <c r="AQ62" s="20"/>
      <c r="AR62" s="92"/>
      <c r="AS62" s="93"/>
      <c r="AT62" s="92"/>
      <c r="AU62" s="94"/>
      <c r="AV62" s="95"/>
      <c r="AW62" s="17"/>
      <c r="AX62" s="17"/>
      <c r="AY62" s="17"/>
      <c r="AZ62" s="20"/>
      <c r="BA62" s="92"/>
      <c r="BB62" s="93"/>
      <c r="BC62" s="92"/>
      <c r="BD62" s="94"/>
      <c r="BE62" s="95"/>
      <c r="BF62" s="17"/>
      <c r="BG62" s="17"/>
      <c r="BH62" s="17"/>
      <c r="BI62" s="20"/>
      <c r="BJ62" s="92"/>
      <c r="BK62" s="93"/>
      <c r="BL62" s="92"/>
      <c r="BM62" s="94"/>
      <c r="BN62" s="95"/>
      <c r="BO62" s="17"/>
      <c r="BP62" s="17"/>
      <c r="BQ62" s="17"/>
      <c r="BR62" s="20"/>
      <c r="BS62" s="92"/>
      <c r="BT62" s="93"/>
      <c r="BU62" s="92"/>
      <c r="BV62" s="94"/>
      <c r="BW62" s="95"/>
      <c r="BX62" s="17"/>
      <c r="BY62" s="17"/>
      <c r="BZ62" s="17"/>
      <c r="CA62" s="20"/>
      <c r="CB62" s="92"/>
      <c r="CC62" s="93"/>
      <c r="CD62" s="92"/>
      <c r="CE62" s="94"/>
      <c r="CF62" s="95"/>
      <c r="CG62" s="17"/>
      <c r="CH62" s="17"/>
      <c r="CI62" s="17"/>
      <c r="CJ62" s="20"/>
      <c r="CK62" s="92"/>
      <c r="CL62" s="93"/>
      <c r="CM62" s="92"/>
      <c r="CN62" s="94"/>
      <c r="CO62" s="95"/>
      <c r="CP62" s="17"/>
      <c r="CQ62" s="17"/>
      <c r="CR62" s="17"/>
      <c r="CS62" s="20"/>
      <c r="CT62" s="92"/>
      <c r="CU62" s="93"/>
      <c r="CV62" s="92"/>
      <c r="CW62" s="94"/>
      <c r="CX62" s="95"/>
      <c r="CY62" s="17"/>
      <c r="CZ62" s="17"/>
      <c r="DA62" s="17"/>
      <c r="DB62" s="20"/>
      <c r="DC62" s="92"/>
      <c r="DD62" s="93"/>
      <c r="DE62" s="92"/>
      <c r="DF62" s="94"/>
      <c r="DG62" s="95"/>
      <c r="DH62" s="17"/>
      <c r="DI62" s="17"/>
      <c r="DJ62" s="17"/>
      <c r="DK62" s="20"/>
      <c r="DL62" s="92"/>
      <c r="DM62" s="93"/>
      <c r="DN62" s="92"/>
      <c r="DO62" s="94"/>
      <c r="DP62" s="95"/>
      <c r="DQ62" s="17"/>
      <c r="DR62" s="17"/>
      <c r="DS62" s="17"/>
      <c r="DT62" s="20"/>
      <c r="DU62" s="92"/>
      <c r="DV62" s="93"/>
      <c r="DW62" s="92"/>
      <c r="DX62" s="94"/>
      <c r="DY62" s="95"/>
      <c r="DZ62" s="17"/>
      <c r="EA62" s="17"/>
      <c r="EB62" s="17"/>
      <c r="EC62" s="20"/>
      <c r="ED62" s="92"/>
      <c r="EE62" s="93"/>
      <c r="EF62" s="92"/>
      <c r="EG62" s="94"/>
      <c r="EH62" s="95"/>
      <c r="EI62" s="17"/>
      <c r="EJ62" s="17"/>
      <c r="EK62" s="17"/>
      <c r="EL62" s="20"/>
      <c r="EM62" s="92"/>
      <c r="EN62" s="93"/>
      <c r="EO62" s="92"/>
      <c r="EP62" s="94"/>
      <c r="EQ62" s="95"/>
      <c r="ER62" s="17"/>
      <c r="ES62" s="17"/>
      <c r="ET62" s="17"/>
      <c r="EU62" s="20"/>
      <c r="EV62" s="92"/>
      <c r="EW62" s="93"/>
      <c r="EX62" s="92"/>
      <c r="EY62" s="94"/>
      <c r="EZ62" s="95"/>
      <c r="FA62" s="17"/>
      <c r="FB62" s="17"/>
      <c r="FC62" s="17"/>
      <c r="FD62" s="20"/>
      <c r="FE62" s="92"/>
      <c r="FF62" s="93"/>
      <c r="FG62" s="92"/>
      <c r="FH62" s="94"/>
      <c r="FI62" s="95"/>
      <c r="FJ62" s="17"/>
      <c r="FK62" s="17"/>
      <c r="FL62" s="17"/>
      <c r="FM62" s="20"/>
      <c r="FN62" s="92"/>
      <c r="FO62" s="93"/>
      <c r="FP62" s="92"/>
      <c r="FQ62" s="94"/>
      <c r="FR62" s="95"/>
      <c r="FS62" s="17"/>
      <c r="FT62" s="17"/>
      <c r="FU62" s="17"/>
      <c r="FV62" s="20"/>
      <c r="FW62" s="92"/>
      <c r="FX62" s="93"/>
      <c r="FY62" s="92"/>
      <c r="FZ62" s="94"/>
      <c r="GA62" s="95"/>
      <c r="GB62" s="17"/>
      <c r="GC62" s="17"/>
      <c r="GD62" s="17"/>
      <c r="GE62" s="20"/>
      <c r="GF62" s="92"/>
      <c r="GG62" s="93"/>
      <c r="GH62" s="92"/>
      <c r="GI62" s="94"/>
      <c r="GJ62" s="95"/>
      <c r="GK62" s="17"/>
      <c r="GL62" s="17"/>
      <c r="GM62" s="17"/>
      <c r="GN62" s="20"/>
      <c r="GO62" s="92"/>
      <c r="GP62" s="93"/>
      <c r="GQ62" s="92"/>
      <c r="GR62" s="94"/>
      <c r="GS62" s="95"/>
      <c r="GT62" s="645"/>
      <c r="GU62" s="98"/>
      <c r="GV62" s="130"/>
      <c r="GW62" s="141"/>
      <c r="GX62" s="141"/>
      <c r="GY62" s="167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76"/>
      <c r="K63" s="407"/>
      <c r="L63" s="70"/>
      <c r="M63" s="71"/>
      <c r="N63" s="142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43"/>
      <c r="V63" s="144"/>
      <c r="W63" s="145"/>
      <c r="X63" s="146"/>
      <c r="Y63" s="147"/>
      <c r="Z63" s="148"/>
      <c r="AA63" s="149"/>
      <c r="AB63" s="148"/>
      <c r="AC63" s="150"/>
      <c r="AD63" s="151"/>
      <c r="AE63" s="146"/>
      <c r="AF63" s="146"/>
      <c r="AG63" s="146"/>
      <c r="AH63" s="147"/>
      <c r="AI63" s="148"/>
      <c r="AJ63" s="149"/>
      <c r="AK63" s="148"/>
      <c r="AL63" s="150"/>
      <c r="AM63" s="151"/>
      <c r="AN63" s="146"/>
      <c r="AO63" s="146"/>
      <c r="AP63" s="146"/>
      <c r="AQ63" s="147"/>
      <c r="AR63" s="148"/>
      <c r="AS63" s="149"/>
      <c r="AT63" s="148"/>
      <c r="AU63" s="150"/>
      <c r="AV63" s="151"/>
      <c r="AW63" s="146"/>
      <c r="AX63" s="146"/>
      <c r="AY63" s="146"/>
      <c r="AZ63" s="147"/>
      <c r="BA63" s="148"/>
      <c r="BB63" s="149"/>
      <c r="BC63" s="148"/>
      <c r="BD63" s="150"/>
      <c r="BE63" s="151"/>
      <c r="BF63" s="146"/>
      <c r="BG63" s="146"/>
      <c r="BH63" s="146"/>
      <c r="BI63" s="147"/>
      <c r="BJ63" s="148"/>
      <c r="BK63" s="149"/>
      <c r="BL63" s="148"/>
      <c r="BM63" s="150"/>
      <c r="BN63" s="151"/>
      <c r="BO63" s="146"/>
      <c r="BP63" s="146"/>
      <c r="BQ63" s="146"/>
      <c r="BR63" s="147"/>
      <c r="BS63" s="148"/>
      <c r="BT63" s="149"/>
      <c r="BU63" s="148"/>
      <c r="BV63" s="150"/>
      <c r="BW63" s="151"/>
      <c r="BX63" s="146"/>
      <c r="BY63" s="146"/>
      <c r="BZ63" s="146"/>
      <c r="CA63" s="147"/>
      <c r="CB63" s="148"/>
      <c r="CC63" s="149"/>
      <c r="CD63" s="148"/>
      <c r="CE63" s="150"/>
      <c r="CF63" s="151"/>
      <c r="CG63" s="146"/>
      <c r="CH63" s="146"/>
      <c r="CI63" s="146"/>
      <c r="CJ63" s="147"/>
      <c r="CK63" s="148"/>
      <c r="CL63" s="149"/>
      <c r="CM63" s="148"/>
      <c r="CN63" s="150"/>
      <c r="CO63" s="151"/>
      <c r="CP63" s="146"/>
      <c r="CQ63" s="146"/>
      <c r="CR63" s="146"/>
      <c r="CS63" s="147"/>
      <c r="CT63" s="148"/>
      <c r="CU63" s="149"/>
      <c r="CV63" s="148"/>
      <c r="CW63" s="150"/>
      <c r="CX63" s="151"/>
      <c r="CY63" s="146"/>
      <c r="CZ63" s="146"/>
      <c r="DA63" s="146"/>
      <c r="DB63" s="147"/>
      <c r="DC63" s="148"/>
      <c r="DD63" s="149"/>
      <c r="DE63" s="148"/>
      <c r="DF63" s="150"/>
      <c r="DG63" s="151"/>
      <c r="DH63" s="146"/>
      <c r="DI63" s="146"/>
      <c r="DJ63" s="146"/>
      <c r="DK63" s="147"/>
      <c r="DL63" s="148"/>
      <c r="DM63" s="149"/>
      <c r="DN63" s="148"/>
      <c r="DO63" s="150"/>
      <c r="DP63" s="151"/>
      <c r="DQ63" s="146"/>
      <c r="DR63" s="146"/>
      <c r="DS63" s="146"/>
      <c r="DT63" s="147"/>
      <c r="DU63" s="148"/>
      <c r="DV63" s="149"/>
      <c r="DW63" s="148"/>
      <c r="DX63" s="150"/>
      <c r="DY63" s="151"/>
      <c r="DZ63" s="146"/>
      <c r="EA63" s="146"/>
      <c r="EB63" s="146"/>
      <c r="EC63" s="147"/>
      <c r="ED63" s="148"/>
      <c r="EE63" s="149"/>
      <c r="EF63" s="148"/>
      <c r="EG63" s="150"/>
      <c r="EH63" s="151"/>
      <c r="EI63" s="146"/>
      <c r="EJ63" s="146"/>
      <c r="EK63" s="146"/>
      <c r="EL63" s="147"/>
      <c r="EM63" s="148"/>
      <c r="EN63" s="149"/>
      <c r="EO63" s="148"/>
      <c r="EP63" s="150"/>
      <c r="EQ63" s="151"/>
      <c r="ER63" s="146"/>
      <c r="ES63" s="146"/>
      <c r="ET63" s="146"/>
      <c r="EU63" s="147"/>
      <c r="EV63" s="148"/>
      <c r="EW63" s="149"/>
      <c r="EX63" s="148"/>
      <c r="EY63" s="150"/>
      <c r="EZ63" s="151"/>
      <c r="FA63" s="146"/>
      <c r="FB63" s="146"/>
      <c r="FC63" s="146"/>
      <c r="FD63" s="147"/>
      <c r="FE63" s="148"/>
      <c r="FF63" s="149"/>
      <c r="FG63" s="148"/>
      <c r="FH63" s="150"/>
      <c r="FI63" s="151"/>
      <c r="FJ63" s="146"/>
      <c r="FK63" s="146"/>
      <c r="FL63" s="146"/>
      <c r="FM63" s="147"/>
      <c r="FN63" s="148"/>
      <c r="FO63" s="149"/>
      <c r="FP63" s="148"/>
      <c r="FQ63" s="150"/>
      <c r="FR63" s="151"/>
      <c r="FS63" s="146"/>
      <c r="FT63" s="146"/>
      <c r="FU63" s="146"/>
      <c r="FV63" s="147"/>
      <c r="FW63" s="148"/>
      <c r="FX63" s="149"/>
      <c r="FY63" s="148"/>
      <c r="FZ63" s="150"/>
      <c r="GA63" s="151"/>
      <c r="GB63" s="146"/>
      <c r="GC63" s="146"/>
      <c r="GD63" s="146"/>
      <c r="GE63" s="147"/>
      <c r="GF63" s="148"/>
      <c r="GG63" s="149"/>
      <c r="GH63" s="148"/>
      <c r="GI63" s="150"/>
      <c r="GJ63" s="151"/>
      <c r="GK63" s="146"/>
      <c r="GL63" s="146"/>
      <c r="GM63" s="146"/>
      <c r="GN63" s="147"/>
      <c r="GO63" s="148"/>
      <c r="GP63" s="149"/>
      <c r="GQ63" s="148"/>
      <c r="GR63" s="150"/>
      <c r="GS63" s="151"/>
      <c r="GT63" s="646"/>
      <c r="GU63" s="131"/>
      <c r="GV63" s="153"/>
      <c r="GW63" s="141"/>
      <c r="GX63" s="141"/>
      <c r="GY63" s="167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407"/>
      <c r="L64" s="70"/>
      <c r="M64" s="71"/>
      <c r="N64" s="142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43"/>
      <c r="V64" s="154"/>
      <c r="W64" s="155"/>
      <c r="X64" s="146"/>
      <c r="Y64" s="147"/>
      <c r="Z64" s="148"/>
      <c r="AA64" s="149"/>
      <c r="AB64" s="148"/>
      <c r="AC64" s="150"/>
      <c r="AD64" s="151"/>
      <c r="AE64" s="146"/>
      <c r="AF64" s="146"/>
      <c r="AG64" s="146"/>
      <c r="AH64" s="147"/>
      <c r="AI64" s="148"/>
      <c r="AJ64" s="149"/>
      <c r="AK64" s="148"/>
      <c r="AL64" s="150"/>
      <c r="AM64" s="151"/>
      <c r="AN64" s="146"/>
      <c r="AO64" s="146"/>
      <c r="AP64" s="146"/>
      <c r="AQ64" s="147"/>
      <c r="AR64" s="148"/>
      <c r="AS64" s="149"/>
      <c r="AT64" s="148"/>
      <c r="AU64" s="150"/>
      <c r="AV64" s="151"/>
      <c r="AW64" s="146"/>
      <c r="AX64" s="146"/>
      <c r="AY64" s="146"/>
      <c r="AZ64" s="147"/>
      <c r="BA64" s="148"/>
      <c r="BB64" s="149"/>
      <c r="BC64" s="148"/>
      <c r="BD64" s="150"/>
      <c r="BE64" s="151"/>
      <c r="BF64" s="146"/>
      <c r="BG64" s="146"/>
      <c r="BH64" s="146"/>
      <c r="BI64" s="147"/>
      <c r="BJ64" s="148"/>
      <c r="BK64" s="149"/>
      <c r="BL64" s="148"/>
      <c r="BM64" s="150"/>
      <c r="BN64" s="151"/>
      <c r="BO64" s="146"/>
      <c r="BP64" s="146"/>
      <c r="BQ64" s="146"/>
      <c r="BR64" s="147"/>
      <c r="BS64" s="148"/>
      <c r="BT64" s="149"/>
      <c r="BU64" s="148"/>
      <c r="BV64" s="150"/>
      <c r="BW64" s="151"/>
      <c r="BX64" s="146"/>
      <c r="BY64" s="146"/>
      <c r="BZ64" s="146"/>
      <c r="CA64" s="147"/>
      <c r="CB64" s="148"/>
      <c r="CC64" s="149"/>
      <c r="CD64" s="148"/>
      <c r="CE64" s="150"/>
      <c r="CF64" s="151"/>
      <c r="CG64" s="146"/>
      <c r="CH64" s="146"/>
      <c r="CI64" s="146"/>
      <c r="CJ64" s="147"/>
      <c r="CK64" s="148"/>
      <c r="CL64" s="149"/>
      <c r="CM64" s="148"/>
      <c r="CN64" s="150"/>
      <c r="CO64" s="151"/>
      <c r="CP64" s="146"/>
      <c r="CQ64" s="146"/>
      <c r="CR64" s="146"/>
      <c r="CS64" s="147"/>
      <c r="CT64" s="148"/>
      <c r="CU64" s="149"/>
      <c r="CV64" s="148"/>
      <c r="CW64" s="150"/>
      <c r="CX64" s="151"/>
      <c r="CY64" s="146"/>
      <c r="CZ64" s="146"/>
      <c r="DA64" s="146"/>
      <c r="DB64" s="147"/>
      <c r="DC64" s="148"/>
      <c r="DD64" s="149"/>
      <c r="DE64" s="148"/>
      <c r="DF64" s="150"/>
      <c r="DG64" s="151"/>
      <c r="DH64" s="146"/>
      <c r="DI64" s="146"/>
      <c r="DJ64" s="146"/>
      <c r="DK64" s="147"/>
      <c r="DL64" s="148"/>
      <c r="DM64" s="149"/>
      <c r="DN64" s="148"/>
      <c r="DO64" s="150"/>
      <c r="DP64" s="151"/>
      <c r="DQ64" s="146"/>
      <c r="DR64" s="146"/>
      <c r="DS64" s="146"/>
      <c r="DT64" s="147"/>
      <c r="DU64" s="148"/>
      <c r="DV64" s="149"/>
      <c r="DW64" s="148"/>
      <c r="DX64" s="150"/>
      <c r="DY64" s="151"/>
      <c r="DZ64" s="146"/>
      <c r="EA64" s="146"/>
      <c r="EB64" s="146"/>
      <c r="EC64" s="147"/>
      <c r="ED64" s="148"/>
      <c r="EE64" s="149"/>
      <c r="EF64" s="148"/>
      <c r="EG64" s="150"/>
      <c r="EH64" s="151"/>
      <c r="EI64" s="146"/>
      <c r="EJ64" s="146"/>
      <c r="EK64" s="146"/>
      <c r="EL64" s="147"/>
      <c r="EM64" s="148"/>
      <c r="EN64" s="149"/>
      <c r="EO64" s="148"/>
      <c r="EP64" s="150"/>
      <c r="EQ64" s="151"/>
      <c r="ER64" s="146"/>
      <c r="ES64" s="146"/>
      <c r="ET64" s="146"/>
      <c r="EU64" s="147"/>
      <c r="EV64" s="148"/>
      <c r="EW64" s="149"/>
      <c r="EX64" s="148"/>
      <c r="EY64" s="150"/>
      <c r="EZ64" s="151"/>
      <c r="FA64" s="146"/>
      <c r="FB64" s="146"/>
      <c r="FC64" s="146"/>
      <c r="FD64" s="147"/>
      <c r="FE64" s="148"/>
      <c r="FF64" s="149"/>
      <c r="FG64" s="148"/>
      <c r="FH64" s="150"/>
      <c r="FI64" s="151"/>
      <c r="FJ64" s="146"/>
      <c r="FK64" s="146"/>
      <c r="FL64" s="146"/>
      <c r="FM64" s="147"/>
      <c r="FN64" s="148"/>
      <c r="FO64" s="149"/>
      <c r="FP64" s="148"/>
      <c r="FQ64" s="150"/>
      <c r="FR64" s="151"/>
      <c r="FS64" s="146"/>
      <c r="FT64" s="146"/>
      <c r="FU64" s="146"/>
      <c r="FV64" s="147"/>
      <c r="FW64" s="148"/>
      <c r="FX64" s="149"/>
      <c r="FY64" s="148"/>
      <c r="FZ64" s="150"/>
      <c r="GA64" s="151"/>
      <c r="GB64" s="146"/>
      <c r="GC64" s="146"/>
      <c r="GD64" s="146"/>
      <c r="GE64" s="147"/>
      <c r="GF64" s="148"/>
      <c r="GG64" s="149"/>
      <c r="GH64" s="148"/>
      <c r="GI64" s="150"/>
      <c r="GJ64" s="151"/>
      <c r="GK64" s="146"/>
      <c r="GL64" s="146"/>
      <c r="GM64" s="146"/>
      <c r="GN64" s="147"/>
      <c r="GO64" s="148"/>
      <c r="GP64" s="149"/>
      <c r="GQ64" s="148"/>
      <c r="GR64" s="150"/>
      <c r="GS64" s="151"/>
      <c r="GT64" s="648"/>
      <c r="GU64" s="156"/>
      <c r="GV64" s="153"/>
      <c r="GW64" s="141"/>
      <c r="GX64" s="141"/>
      <c r="GY64" s="167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407"/>
      <c r="L65" s="70"/>
      <c r="M65" s="71"/>
      <c r="N65" s="142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43"/>
      <c r="V65" s="154"/>
      <c r="W65" s="157"/>
      <c r="X65" s="146"/>
      <c r="Y65" s="147"/>
      <c r="Z65" s="148"/>
      <c r="AA65" s="149"/>
      <c r="AB65" s="148"/>
      <c r="AC65" s="150"/>
      <c r="AD65" s="151"/>
      <c r="AE65" s="146"/>
      <c r="AF65" s="146"/>
      <c r="AG65" s="146"/>
      <c r="AH65" s="147"/>
      <c r="AI65" s="148"/>
      <c r="AJ65" s="149"/>
      <c r="AK65" s="148"/>
      <c r="AL65" s="150"/>
      <c r="AM65" s="151"/>
      <c r="AN65" s="146"/>
      <c r="AO65" s="146"/>
      <c r="AP65" s="146"/>
      <c r="AQ65" s="147"/>
      <c r="AR65" s="148"/>
      <c r="AS65" s="149"/>
      <c r="AT65" s="148"/>
      <c r="AU65" s="150"/>
      <c r="AV65" s="151"/>
      <c r="AW65" s="146"/>
      <c r="AX65" s="146"/>
      <c r="AY65" s="146"/>
      <c r="AZ65" s="147"/>
      <c r="BA65" s="148"/>
      <c r="BB65" s="149"/>
      <c r="BC65" s="148"/>
      <c r="BD65" s="150"/>
      <c r="BE65" s="151"/>
      <c r="BF65" s="146"/>
      <c r="BG65" s="146"/>
      <c r="BH65" s="146"/>
      <c r="BI65" s="147"/>
      <c r="BJ65" s="148"/>
      <c r="BK65" s="149"/>
      <c r="BL65" s="148"/>
      <c r="BM65" s="150"/>
      <c r="BN65" s="151"/>
      <c r="BO65" s="146"/>
      <c r="BP65" s="146"/>
      <c r="BQ65" s="146"/>
      <c r="BR65" s="147"/>
      <c r="BS65" s="148"/>
      <c r="BT65" s="149"/>
      <c r="BU65" s="148"/>
      <c r="BV65" s="150"/>
      <c r="BW65" s="151"/>
      <c r="BX65" s="146"/>
      <c r="BY65" s="146"/>
      <c r="BZ65" s="146"/>
      <c r="CA65" s="147"/>
      <c r="CB65" s="148"/>
      <c r="CC65" s="149"/>
      <c r="CD65" s="148"/>
      <c r="CE65" s="150"/>
      <c r="CF65" s="151"/>
      <c r="CG65" s="146"/>
      <c r="CH65" s="146"/>
      <c r="CI65" s="146"/>
      <c r="CJ65" s="147"/>
      <c r="CK65" s="148"/>
      <c r="CL65" s="149"/>
      <c r="CM65" s="148"/>
      <c r="CN65" s="150"/>
      <c r="CO65" s="151"/>
      <c r="CP65" s="146"/>
      <c r="CQ65" s="146"/>
      <c r="CR65" s="146"/>
      <c r="CS65" s="147"/>
      <c r="CT65" s="148"/>
      <c r="CU65" s="149"/>
      <c r="CV65" s="148"/>
      <c r="CW65" s="150"/>
      <c r="CX65" s="151"/>
      <c r="CY65" s="146"/>
      <c r="CZ65" s="146"/>
      <c r="DA65" s="146"/>
      <c r="DB65" s="147"/>
      <c r="DC65" s="148"/>
      <c r="DD65" s="149"/>
      <c r="DE65" s="148"/>
      <c r="DF65" s="150"/>
      <c r="DG65" s="151"/>
      <c r="DH65" s="146"/>
      <c r="DI65" s="146"/>
      <c r="DJ65" s="146"/>
      <c r="DK65" s="147"/>
      <c r="DL65" s="148"/>
      <c r="DM65" s="149"/>
      <c r="DN65" s="148"/>
      <c r="DO65" s="150"/>
      <c r="DP65" s="151"/>
      <c r="DQ65" s="146"/>
      <c r="DR65" s="146"/>
      <c r="DS65" s="146"/>
      <c r="DT65" s="147"/>
      <c r="DU65" s="148"/>
      <c r="DV65" s="149"/>
      <c r="DW65" s="148"/>
      <c r="DX65" s="150"/>
      <c r="DY65" s="151"/>
      <c r="DZ65" s="146"/>
      <c r="EA65" s="146"/>
      <c r="EB65" s="146"/>
      <c r="EC65" s="147"/>
      <c r="ED65" s="148"/>
      <c r="EE65" s="149"/>
      <c r="EF65" s="148"/>
      <c r="EG65" s="150"/>
      <c r="EH65" s="151"/>
      <c r="EI65" s="146"/>
      <c r="EJ65" s="146"/>
      <c r="EK65" s="146"/>
      <c r="EL65" s="147"/>
      <c r="EM65" s="148"/>
      <c r="EN65" s="149"/>
      <c r="EO65" s="148"/>
      <c r="EP65" s="150"/>
      <c r="EQ65" s="151"/>
      <c r="ER65" s="146"/>
      <c r="ES65" s="146"/>
      <c r="ET65" s="146"/>
      <c r="EU65" s="147"/>
      <c r="EV65" s="148"/>
      <c r="EW65" s="149"/>
      <c r="EX65" s="148"/>
      <c r="EY65" s="150"/>
      <c r="EZ65" s="151"/>
      <c r="FA65" s="146"/>
      <c r="FB65" s="146"/>
      <c r="FC65" s="146"/>
      <c r="FD65" s="147"/>
      <c r="FE65" s="148"/>
      <c r="FF65" s="149"/>
      <c r="FG65" s="148"/>
      <c r="FH65" s="150"/>
      <c r="FI65" s="151"/>
      <c r="FJ65" s="146"/>
      <c r="FK65" s="146"/>
      <c r="FL65" s="146"/>
      <c r="FM65" s="147"/>
      <c r="FN65" s="148"/>
      <c r="FO65" s="149"/>
      <c r="FP65" s="148"/>
      <c r="FQ65" s="150"/>
      <c r="FR65" s="151"/>
      <c r="FS65" s="146"/>
      <c r="FT65" s="146"/>
      <c r="FU65" s="146"/>
      <c r="FV65" s="147"/>
      <c r="FW65" s="148"/>
      <c r="FX65" s="149"/>
      <c r="FY65" s="148"/>
      <c r="FZ65" s="150"/>
      <c r="GA65" s="151"/>
      <c r="GB65" s="146"/>
      <c r="GC65" s="146"/>
      <c r="GD65" s="146"/>
      <c r="GE65" s="147"/>
      <c r="GF65" s="148"/>
      <c r="GG65" s="149"/>
      <c r="GH65" s="148"/>
      <c r="GI65" s="150"/>
      <c r="GJ65" s="151"/>
      <c r="GK65" s="146"/>
      <c r="GL65" s="146"/>
      <c r="GM65" s="146"/>
      <c r="GN65" s="147"/>
      <c r="GO65" s="148"/>
      <c r="GP65" s="149"/>
      <c r="GQ65" s="148"/>
      <c r="GR65" s="150"/>
      <c r="GS65" s="151"/>
      <c r="GT65" s="648"/>
      <c r="GU65" s="156"/>
      <c r="GV65" s="153"/>
      <c r="GW65" s="141"/>
      <c r="GX65" s="141"/>
      <c r="GY65" s="167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407"/>
      <c r="L66" s="70"/>
      <c r="M66" s="71"/>
      <c r="N66" s="142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43"/>
      <c r="V66" s="154"/>
      <c r="W66" s="155"/>
      <c r="X66" s="146"/>
      <c r="Y66" s="147"/>
      <c r="Z66" s="148"/>
      <c r="AA66" s="149"/>
      <c r="AB66" s="148"/>
      <c r="AC66" s="150"/>
      <c r="AD66" s="151"/>
      <c r="AE66" s="146"/>
      <c r="AF66" s="146"/>
      <c r="AG66" s="146"/>
      <c r="AH66" s="147"/>
      <c r="AI66" s="148"/>
      <c r="AJ66" s="149"/>
      <c r="AK66" s="148"/>
      <c r="AL66" s="150"/>
      <c r="AM66" s="151"/>
      <c r="AN66" s="146"/>
      <c r="AO66" s="146"/>
      <c r="AP66" s="146"/>
      <c r="AQ66" s="147"/>
      <c r="AR66" s="148"/>
      <c r="AS66" s="149"/>
      <c r="AT66" s="148"/>
      <c r="AU66" s="150"/>
      <c r="AV66" s="151"/>
      <c r="AW66" s="146"/>
      <c r="AX66" s="146"/>
      <c r="AY66" s="146"/>
      <c r="AZ66" s="147"/>
      <c r="BA66" s="148"/>
      <c r="BB66" s="149"/>
      <c r="BC66" s="148"/>
      <c r="BD66" s="150"/>
      <c r="BE66" s="151"/>
      <c r="BF66" s="146"/>
      <c r="BG66" s="146"/>
      <c r="BH66" s="146"/>
      <c r="BI66" s="147"/>
      <c r="BJ66" s="148"/>
      <c r="BK66" s="149"/>
      <c r="BL66" s="148"/>
      <c r="BM66" s="150"/>
      <c r="BN66" s="151"/>
      <c r="BO66" s="146"/>
      <c r="BP66" s="146"/>
      <c r="BQ66" s="146"/>
      <c r="BR66" s="147"/>
      <c r="BS66" s="148"/>
      <c r="BT66" s="149"/>
      <c r="BU66" s="148"/>
      <c r="BV66" s="150"/>
      <c r="BW66" s="151"/>
      <c r="BX66" s="146"/>
      <c r="BY66" s="146"/>
      <c r="BZ66" s="146"/>
      <c r="CA66" s="147"/>
      <c r="CB66" s="148"/>
      <c r="CC66" s="149"/>
      <c r="CD66" s="148"/>
      <c r="CE66" s="150"/>
      <c r="CF66" s="151"/>
      <c r="CG66" s="146"/>
      <c r="CH66" s="146"/>
      <c r="CI66" s="146"/>
      <c r="CJ66" s="147"/>
      <c r="CK66" s="148"/>
      <c r="CL66" s="149"/>
      <c r="CM66" s="148"/>
      <c r="CN66" s="150"/>
      <c r="CO66" s="151"/>
      <c r="CP66" s="146"/>
      <c r="CQ66" s="146"/>
      <c r="CR66" s="146"/>
      <c r="CS66" s="147"/>
      <c r="CT66" s="148"/>
      <c r="CU66" s="149"/>
      <c r="CV66" s="148"/>
      <c r="CW66" s="150"/>
      <c r="CX66" s="151"/>
      <c r="CY66" s="146"/>
      <c r="CZ66" s="146"/>
      <c r="DA66" s="146"/>
      <c r="DB66" s="147"/>
      <c r="DC66" s="148"/>
      <c r="DD66" s="149"/>
      <c r="DE66" s="148"/>
      <c r="DF66" s="150"/>
      <c r="DG66" s="151"/>
      <c r="DH66" s="146"/>
      <c r="DI66" s="146"/>
      <c r="DJ66" s="146"/>
      <c r="DK66" s="147"/>
      <c r="DL66" s="148"/>
      <c r="DM66" s="149"/>
      <c r="DN66" s="148"/>
      <c r="DO66" s="150"/>
      <c r="DP66" s="151"/>
      <c r="DQ66" s="146"/>
      <c r="DR66" s="146"/>
      <c r="DS66" s="146"/>
      <c r="DT66" s="147"/>
      <c r="DU66" s="148"/>
      <c r="DV66" s="149"/>
      <c r="DW66" s="148"/>
      <c r="DX66" s="150"/>
      <c r="DY66" s="151"/>
      <c r="DZ66" s="146"/>
      <c r="EA66" s="146"/>
      <c r="EB66" s="146"/>
      <c r="EC66" s="147"/>
      <c r="ED66" s="148"/>
      <c r="EE66" s="149"/>
      <c r="EF66" s="148"/>
      <c r="EG66" s="150"/>
      <c r="EH66" s="151"/>
      <c r="EI66" s="146"/>
      <c r="EJ66" s="146"/>
      <c r="EK66" s="146"/>
      <c r="EL66" s="147"/>
      <c r="EM66" s="148"/>
      <c r="EN66" s="149"/>
      <c r="EO66" s="148"/>
      <c r="EP66" s="150"/>
      <c r="EQ66" s="151"/>
      <c r="ER66" s="146"/>
      <c r="ES66" s="146"/>
      <c r="ET66" s="146"/>
      <c r="EU66" s="147"/>
      <c r="EV66" s="148"/>
      <c r="EW66" s="149"/>
      <c r="EX66" s="148"/>
      <c r="EY66" s="150"/>
      <c r="EZ66" s="151"/>
      <c r="FA66" s="146"/>
      <c r="FB66" s="146"/>
      <c r="FC66" s="146"/>
      <c r="FD66" s="147"/>
      <c r="FE66" s="148"/>
      <c r="FF66" s="149"/>
      <c r="FG66" s="148"/>
      <c r="FH66" s="150"/>
      <c r="FI66" s="151"/>
      <c r="FJ66" s="146"/>
      <c r="FK66" s="146"/>
      <c r="FL66" s="146"/>
      <c r="FM66" s="147"/>
      <c r="FN66" s="148"/>
      <c r="FO66" s="149"/>
      <c r="FP66" s="148"/>
      <c r="FQ66" s="150"/>
      <c r="FR66" s="151"/>
      <c r="FS66" s="146"/>
      <c r="FT66" s="146"/>
      <c r="FU66" s="146"/>
      <c r="FV66" s="147"/>
      <c r="FW66" s="148"/>
      <c r="FX66" s="149"/>
      <c r="FY66" s="148"/>
      <c r="FZ66" s="150"/>
      <c r="GA66" s="151"/>
      <c r="GB66" s="146"/>
      <c r="GC66" s="146"/>
      <c r="GD66" s="146"/>
      <c r="GE66" s="147"/>
      <c r="GF66" s="148"/>
      <c r="GG66" s="149"/>
      <c r="GH66" s="148"/>
      <c r="GI66" s="150"/>
      <c r="GJ66" s="151"/>
      <c r="GK66" s="146"/>
      <c r="GL66" s="146"/>
      <c r="GM66" s="146"/>
      <c r="GN66" s="147"/>
      <c r="GO66" s="148"/>
      <c r="GP66" s="149"/>
      <c r="GQ66" s="148"/>
      <c r="GR66" s="150"/>
      <c r="GS66" s="151"/>
      <c r="GT66" s="648"/>
      <c r="GU66" s="156"/>
      <c r="GV66" s="153"/>
      <c r="GW66" s="141"/>
      <c r="GX66" s="141"/>
      <c r="GY66" s="167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407"/>
      <c r="L67" s="70"/>
      <c r="M67" s="71"/>
      <c r="N67" s="142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43"/>
      <c r="V67" s="154"/>
      <c r="W67" s="155"/>
      <c r="X67" s="158"/>
      <c r="Y67" s="159"/>
      <c r="Z67" s="160"/>
      <c r="AA67" s="161"/>
      <c r="AB67" s="160"/>
      <c r="AC67" s="162"/>
      <c r="AD67" s="163"/>
      <c r="AE67" s="158"/>
      <c r="AF67" s="158"/>
      <c r="AG67" s="158"/>
      <c r="AH67" s="159"/>
      <c r="AI67" s="160"/>
      <c r="AJ67" s="161"/>
      <c r="AK67" s="160"/>
      <c r="AL67" s="162"/>
      <c r="AM67" s="163"/>
      <c r="AN67" s="158"/>
      <c r="AO67" s="158"/>
      <c r="AP67" s="158"/>
      <c r="AQ67" s="159"/>
      <c r="AR67" s="160"/>
      <c r="AS67" s="161"/>
      <c r="AT67" s="160"/>
      <c r="AU67" s="162"/>
      <c r="AV67" s="163"/>
      <c r="AW67" s="158"/>
      <c r="AX67" s="158"/>
      <c r="AY67" s="158"/>
      <c r="AZ67" s="159"/>
      <c r="BA67" s="160"/>
      <c r="BB67" s="161"/>
      <c r="BC67" s="160"/>
      <c r="BD67" s="162"/>
      <c r="BE67" s="163"/>
      <c r="BF67" s="158"/>
      <c r="BG67" s="158"/>
      <c r="BH67" s="158"/>
      <c r="BI67" s="159"/>
      <c r="BJ67" s="160"/>
      <c r="BK67" s="161"/>
      <c r="BL67" s="160"/>
      <c r="BM67" s="162"/>
      <c r="BN67" s="163"/>
      <c r="BO67" s="158"/>
      <c r="BP67" s="158"/>
      <c r="BQ67" s="158"/>
      <c r="BR67" s="159"/>
      <c r="BS67" s="160"/>
      <c r="BT67" s="161"/>
      <c r="BU67" s="160"/>
      <c r="BV67" s="162"/>
      <c r="BW67" s="163"/>
      <c r="BX67" s="158"/>
      <c r="BY67" s="158"/>
      <c r="BZ67" s="158"/>
      <c r="CA67" s="159"/>
      <c r="CB67" s="160"/>
      <c r="CC67" s="161"/>
      <c r="CD67" s="160"/>
      <c r="CE67" s="162"/>
      <c r="CF67" s="163"/>
      <c r="CG67" s="158"/>
      <c r="CH67" s="158"/>
      <c r="CI67" s="158"/>
      <c r="CJ67" s="159"/>
      <c r="CK67" s="160"/>
      <c r="CL67" s="161"/>
      <c r="CM67" s="160"/>
      <c r="CN67" s="162"/>
      <c r="CO67" s="163"/>
      <c r="CP67" s="158"/>
      <c r="CQ67" s="158"/>
      <c r="CR67" s="158"/>
      <c r="CS67" s="159"/>
      <c r="CT67" s="160"/>
      <c r="CU67" s="161"/>
      <c r="CV67" s="160"/>
      <c r="CW67" s="162"/>
      <c r="CX67" s="163"/>
      <c r="CY67" s="158"/>
      <c r="CZ67" s="158"/>
      <c r="DA67" s="158"/>
      <c r="DB67" s="159"/>
      <c r="DC67" s="160"/>
      <c r="DD67" s="161"/>
      <c r="DE67" s="160"/>
      <c r="DF67" s="162"/>
      <c r="DG67" s="163"/>
      <c r="DH67" s="158"/>
      <c r="DI67" s="158"/>
      <c r="DJ67" s="158"/>
      <c r="DK67" s="159"/>
      <c r="DL67" s="160"/>
      <c r="DM67" s="161"/>
      <c r="DN67" s="160"/>
      <c r="DO67" s="162"/>
      <c r="DP67" s="163"/>
      <c r="DQ67" s="158"/>
      <c r="DR67" s="158"/>
      <c r="DS67" s="158"/>
      <c r="DT67" s="159"/>
      <c r="DU67" s="160"/>
      <c r="DV67" s="161"/>
      <c r="DW67" s="160"/>
      <c r="DX67" s="162"/>
      <c r="DY67" s="163"/>
      <c r="DZ67" s="158"/>
      <c r="EA67" s="158"/>
      <c r="EB67" s="158"/>
      <c r="EC67" s="159"/>
      <c r="ED67" s="160"/>
      <c r="EE67" s="161"/>
      <c r="EF67" s="160"/>
      <c r="EG67" s="162"/>
      <c r="EH67" s="163"/>
      <c r="EI67" s="158"/>
      <c r="EJ67" s="158"/>
      <c r="EK67" s="158"/>
      <c r="EL67" s="159"/>
      <c r="EM67" s="160"/>
      <c r="EN67" s="161"/>
      <c r="EO67" s="160"/>
      <c r="EP67" s="162"/>
      <c r="EQ67" s="163"/>
      <c r="ER67" s="158"/>
      <c r="ES67" s="158"/>
      <c r="ET67" s="158"/>
      <c r="EU67" s="159"/>
      <c r="EV67" s="160"/>
      <c r="EW67" s="161"/>
      <c r="EX67" s="160"/>
      <c r="EY67" s="162"/>
      <c r="EZ67" s="163"/>
      <c r="FA67" s="158"/>
      <c r="FB67" s="158"/>
      <c r="FC67" s="158"/>
      <c r="FD67" s="159"/>
      <c r="FE67" s="160"/>
      <c r="FF67" s="161"/>
      <c r="FG67" s="160"/>
      <c r="FH67" s="162"/>
      <c r="FI67" s="163"/>
      <c r="FJ67" s="158"/>
      <c r="FK67" s="158"/>
      <c r="FL67" s="158"/>
      <c r="FM67" s="159"/>
      <c r="FN67" s="160"/>
      <c r="FO67" s="161"/>
      <c r="FP67" s="160"/>
      <c r="FQ67" s="162"/>
      <c r="FR67" s="163"/>
      <c r="FS67" s="158"/>
      <c r="FT67" s="158"/>
      <c r="FU67" s="158"/>
      <c r="FV67" s="159"/>
      <c r="FW67" s="160"/>
      <c r="FX67" s="161"/>
      <c r="FY67" s="160"/>
      <c r="FZ67" s="162"/>
      <c r="GA67" s="163"/>
      <c r="GB67" s="158"/>
      <c r="GC67" s="158"/>
      <c r="GD67" s="158"/>
      <c r="GE67" s="159"/>
      <c r="GF67" s="160"/>
      <c r="GG67" s="161"/>
      <c r="GH67" s="160"/>
      <c r="GI67" s="162"/>
      <c r="GJ67" s="163"/>
      <c r="GK67" s="158"/>
      <c r="GL67" s="158"/>
      <c r="GM67" s="158"/>
      <c r="GN67" s="159"/>
      <c r="GO67" s="160"/>
      <c r="GP67" s="161"/>
      <c r="GQ67" s="160"/>
      <c r="GR67" s="162"/>
      <c r="GS67" s="163"/>
      <c r="GT67" s="648"/>
      <c r="GU67" s="156"/>
      <c r="GV67" s="153"/>
      <c r="GW67" s="141"/>
      <c r="GX67" s="141"/>
      <c r="GY67" s="167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407"/>
      <c r="L68" s="70"/>
      <c r="M68" s="71"/>
      <c r="N68" s="164"/>
      <c r="O68" s="72"/>
      <c r="P68" s="113">
        <f t="shared" si="0"/>
        <v>0</v>
      </c>
      <c r="Q68" s="117"/>
      <c r="R68" s="117"/>
      <c r="S68" s="117"/>
      <c r="T68" s="39">
        <f t="shared" si="1"/>
        <v>0</v>
      </c>
      <c r="U68" s="143"/>
      <c r="V68" s="154"/>
      <c r="W68" s="165"/>
      <c r="X68" s="158"/>
      <c r="Y68" s="159"/>
      <c r="Z68" s="160"/>
      <c r="AA68" s="161"/>
      <c r="AB68" s="160"/>
      <c r="AC68" s="162"/>
      <c r="AD68" s="163"/>
      <c r="AE68" s="158"/>
      <c r="AF68" s="158"/>
      <c r="AG68" s="158"/>
      <c r="AH68" s="159"/>
      <c r="AI68" s="160"/>
      <c r="AJ68" s="161"/>
      <c r="AK68" s="160"/>
      <c r="AL68" s="162"/>
      <c r="AM68" s="163"/>
      <c r="AN68" s="158"/>
      <c r="AO68" s="158"/>
      <c r="AP68" s="158"/>
      <c r="AQ68" s="159"/>
      <c r="AR68" s="160"/>
      <c r="AS68" s="161"/>
      <c r="AT68" s="160"/>
      <c r="AU68" s="162"/>
      <c r="AV68" s="163"/>
      <c r="AW68" s="158"/>
      <c r="AX68" s="158"/>
      <c r="AY68" s="158"/>
      <c r="AZ68" s="159"/>
      <c r="BA68" s="160"/>
      <c r="BB68" s="161"/>
      <c r="BC68" s="160"/>
      <c r="BD68" s="162"/>
      <c r="BE68" s="163"/>
      <c r="BF68" s="158"/>
      <c r="BG68" s="158"/>
      <c r="BH68" s="158"/>
      <c r="BI68" s="159"/>
      <c r="BJ68" s="160"/>
      <c r="BK68" s="161"/>
      <c r="BL68" s="160"/>
      <c r="BM68" s="162"/>
      <c r="BN68" s="163"/>
      <c r="BO68" s="158"/>
      <c r="BP68" s="158"/>
      <c r="BQ68" s="158"/>
      <c r="BR68" s="159"/>
      <c r="BS68" s="160"/>
      <c r="BT68" s="161"/>
      <c r="BU68" s="160"/>
      <c r="BV68" s="162"/>
      <c r="BW68" s="163"/>
      <c r="BX68" s="158"/>
      <c r="BY68" s="158"/>
      <c r="BZ68" s="158"/>
      <c r="CA68" s="159"/>
      <c r="CB68" s="160"/>
      <c r="CC68" s="161"/>
      <c r="CD68" s="160"/>
      <c r="CE68" s="162"/>
      <c r="CF68" s="163"/>
      <c r="CG68" s="158"/>
      <c r="CH68" s="158"/>
      <c r="CI68" s="158"/>
      <c r="CJ68" s="159"/>
      <c r="CK68" s="160"/>
      <c r="CL68" s="161"/>
      <c r="CM68" s="160"/>
      <c r="CN68" s="162"/>
      <c r="CO68" s="163"/>
      <c r="CP68" s="158"/>
      <c r="CQ68" s="158"/>
      <c r="CR68" s="158"/>
      <c r="CS68" s="159"/>
      <c r="CT68" s="160"/>
      <c r="CU68" s="161"/>
      <c r="CV68" s="160"/>
      <c r="CW68" s="162"/>
      <c r="CX68" s="163"/>
      <c r="CY68" s="158"/>
      <c r="CZ68" s="158"/>
      <c r="DA68" s="158"/>
      <c r="DB68" s="159"/>
      <c r="DC68" s="160"/>
      <c r="DD68" s="161"/>
      <c r="DE68" s="160"/>
      <c r="DF68" s="162"/>
      <c r="DG68" s="163"/>
      <c r="DH68" s="158"/>
      <c r="DI68" s="158"/>
      <c r="DJ68" s="158"/>
      <c r="DK68" s="159"/>
      <c r="DL68" s="160"/>
      <c r="DM68" s="161"/>
      <c r="DN68" s="160"/>
      <c r="DO68" s="162"/>
      <c r="DP68" s="163"/>
      <c r="DQ68" s="158"/>
      <c r="DR68" s="158"/>
      <c r="DS68" s="158"/>
      <c r="DT68" s="159"/>
      <c r="DU68" s="160"/>
      <c r="DV68" s="161"/>
      <c r="DW68" s="160"/>
      <c r="DX68" s="162"/>
      <c r="DY68" s="163"/>
      <c r="DZ68" s="158"/>
      <c r="EA68" s="158"/>
      <c r="EB68" s="158"/>
      <c r="EC68" s="159"/>
      <c r="ED68" s="160"/>
      <c r="EE68" s="161"/>
      <c r="EF68" s="160"/>
      <c r="EG68" s="162"/>
      <c r="EH68" s="163"/>
      <c r="EI68" s="158"/>
      <c r="EJ68" s="158"/>
      <c r="EK68" s="158"/>
      <c r="EL68" s="159"/>
      <c r="EM68" s="160"/>
      <c r="EN68" s="161"/>
      <c r="EO68" s="160"/>
      <c r="EP68" s="162"/>
      <c r="EQ68" s="163"/>
      <c r="ER68" s="158"/>
      <c r="ES68" s="158"/>
      <c r="ET68" s="158"/>
      <c r="EU68" s="159"/>
      <c r="EV68" s="160"/>
      <c r="EW68" s="161"/>
      <c r="EX68" s="160"/>
      <c r="EY68" s="162"/>
      <c r="EZ68" s="163"/>
      <c r="FA68" s="158"/>
      <c r="FB68" s="158"/>
      <c r="FC68" s="158"/>
      <c r="FD68" s="159"/>
      <c r="FE68" s="160"/>
      <c r="FF68" s="161"/>
      <c r="FG68" s="160"/>
      <c r="FH68" s="162"/>
      <c r="FI68" s="163"/>
      <c r="FJ68" s="158"/>
      <c r="FK68" s="158"/>
      <c r="FL68" s="158"/>
      <c r="FM68" s="159"/>
      <c r="FN68" s="160"/>
      <c r="FO68" s="161"/>
      <c r="FP68" s="160"/>
      <c r="FQ68" s="162"/>
      <c r="FR68" s="163"/>
      <c r="FS68" s="158"/>
      <c r="FT68" s="158"/>
      <c r="FU68" s="158"/>
      <c r="FV68" s="159"/>
      <c r="FW68" s="160"/>
      <c r="FX68" s="161"/>
      <c r="FY68" s="160"/>
      <c r="FZ68" s="162"/>
      <c r="GA68" s="163"/>
      <c r="GB68" s="158"/>
      <c r="GC68" s="158"/>
      <c r="GD68" s="158"/>
      <c r="GE68" s="159"/>
      <c r="GF68" s="160"/>
      <c r="GG68" s="161"/>
      <c r="GH68" s="160"/>
      <c r="GI68" s="162"/>
      <c r="GJ68" s="163"/>
      <c r="GK68" s="158"/>
      <c r="GL68" s="158"/>
      <c r="GM68" s="158"/>
      <c r="GN68" s="159"/>
      <c r="GO68" s="160"/>
      <c r="GP68" s="161"/>
      <c r="GQ68" s="160"/>
      <c r="GR68" s="162"/>
      <c r="GS68" s="163"/>
      <c r="GT68" s="648"/>
      <c r="GU68" s="156"/>
      <c r="GV68" s="153"/>
      <c r="GW68" s="66"/>
      <c r="GX68" s="66"/>
      <c r="GY68" s="167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407"/>
      <c r="L69" s="70"/>
      <c r="M69" s="71"/>
      <c r="N69" s="56"/>
      <c r="O69" s="72"/>
      <c r="P69" s="113">
        <f t="shared" si="0"/>
        <v>0</v>
      </c>
      <c r="Q69" s="117"/>
      <c r="R69" s="117"/>
      <c r="S69" s="117"/>
      <c r="T69" s="39">
        <f t="shared" si="1"/>
        <v>0</v>
      </c>
      <c r="U69" s="138"/>
      <c r="V69" s="166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66"/>
      <c r="GU69" s="64"/>
      <c r="GV69" s="65"/>
      <c r="GW69" s="66"/>
      <c r="GX69" s="66"/>
      <c r="GY69" s="167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68"/>
      <c r="K70" s="407"/>
      <c r="L70" s="70"/>
      <c r="M70" s="71"/>
      <c r="N70" s="56"/>
      <c r="O70" s="72"/>
      <c r="P70" s="113">
        <f t="shared" si="0"/>
        <v>0</v>
      </c>
      <c r="Q70" s="117"/>
      <c r="R70" s="117"/>
      <c r="S70" s="117"/>
      <c r="T70" s="39">
        <f t="shared" si="1"/>
        <v>0</v>
      </c>
      <c r="U70" s="138"/>
      <c r="V70" s="166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66"/>
      <c r="GU70" s="64"/>
      <c r="GV70" s="65"/>
      <c r="GW70" s="66"/>
      <c r="GX70" s="66"/>
      <c r="GY70" s="167"/>
      <c r="GZ70" s="86"/>
    </row>
    <row r="71" spans="1:208" x14ac:dyDescent="0.25">
      <c r="A71"/>
      <c r="D71" s="35"/>
      <c r="E71" s="36"/>
      <c r="F71" s="37"/>
      <c r="G71" s="38"/>
      <c r="H71" s="39"/>
      <c r="I71" s="40"/>
      <c r="J71" s="68"/>
      <c r="K71" s="407"/>
      <c r="L71" s="70"/>
      <c r="M71" s="71"/>
      <c r="N71" s="56"/>
      <c r="O71" s="72"/>
      <c r="P71" s="113">
        <f t="shared" si="0"/>
        <v>0</v>
      </c>
      <c r="Q71" s="117"/>
      <c r="R71" s="117"/>
      <c r="S71" s="117"/>
      <c r="T71" s="39">
        <f t="shared" si="1"/>
        <v>0</v>
      </c>
      <c r="U71" s="138"/>
      <c r="V71" s="166"/>
      <c r="W71" s="86"/>
      <c r="X71" s="68"/>
      <c r="Y71" s="167"/>
      <c r="Z71" s="168"/>
      <c r="AA71" s="169"/>
      <c r="AB71" s="168"/>
      <c r="AC71" s="170"/>
      <c r="AD71" s="171"/>
      <c r="AE71" s="68"/>
      <c r="AF71" s="68"/>
      <c r="AG71" s="68"/>
      <c r="AH71" s="167"/>
      <c r="AI71" s="168"/>
      <c r="AJ71" s="169"/>
      <c r="AK71" s="168"/>
      <c r="AL71" s="170"/>
      <c r="AM71" s="171"/>
      <c r="AN71" s="68"/>
      <c r="AO71" s="68"/>
      <c r="AP71" s="68"/>
      <c r="AQ71" s="167"/>
      <c r="AR71" s="168"/>
      <c r="AS71" s="169"/>
      <c r="AT71" s="168"/>
      <c r="AU71" s="170"/>
      <c r="AV71" s="171"/>
      <c r="AW71" s="68"/>
      <c r="AX71" s="68"/>
      <c r="AY71" s="68"/>
      <c r="AZ71" s="167"/>
      <c r="BA71" s="168"/>
      <c r="BB71" s="169"/>
      <c r="BC71" s="168"/>
      <c r="BD71" s="170"/>
      <c r="BE71" s="171"/>
      <c r="BF71" s="68"/>
      <c r="BG71" s="68"/>
      <c r="BH71" s="68"/>
      <c r="BI71" s="167"/>
      <c r="BJ71" s="168"/>
      <c r="BK71" s="169"/>
      <c r="BL71" s="168"/>
      <c r="BM71" s="170"/>
      <c r="BN71" s="171"/>
      <c r="BO71" s="68"/>
      <c r="BP71" s="68"/>
      <c r="BQ71" s="68"/>
      <c r="BR71" s="167"/>
      <c r="BS71" s="168"/>
      <c r="BT71" s="169"/>
      <c r="BU71" s="168"/>
      <c r="BV71" s="170"/>
      <c r="BW71" s="171"/>
      <c r="BX71" s="68"/>
      <c r="BY71" s="68"/>
      <c r="BZ71" s="68"/>
      <c r="CA71" s="167"/>
      <c r="CB71" s="168"/>
      <c r="CC71" s="169"/>
      <c r="CD71" s="168"/>
      <c r="CE71" s="170"/>
      <c r="CF71" s="171"/>
      <c r="CG71" s="68"/>
      <c r="CH71" s="68"/>
      <c r="CI71" s="68"/>
      <c r="CJ71" s="167"/>
      <c r="CK71" s="168"/>
      <c r="CL71" s="169"/>
      <c r="CM71" s="168"/>
      <c r="CN71" s="170"/>
      <c r="CO71" s="171"/>
      <c r="CP71" s="68"/>
      <c r="CQ71" s="68"/>
      <c r="CR71" s="68"/>
      <c r="CS71" s="167"/>
      <c r="CT71" s="168"/>
      <c r="CU71" s="169"/>
      <c r="CV71" s="168"/>
      <c r="CW71" s="170"/>
      <c r="CX71" s="171"/>
      <c r="CY71" s="68"/>
      <c r="CZ71" s="68"/>
      <c r="DA71" s="68"/>
      <c r="DB71" s="167"/>
      <c r="DC71" s="168"/>
      <c r="DD71" s="169"/>
      <c r="DE71" s="168"/>
      <c r="DF71" s="170"/>
      <c r="DG71" s="171"/>
      <c r="DH71" s="68"/>
      <c r="DI71" s="68"/>
      <c r="DJ71" s="68"/>
      <c r="DK71" s="167"/>
      <c r="DL71" s="168"/>
      <c r="DM71" s="169"/>
      <c r="DN71" s="168"/>
      <c r="DO71" s="170"/>
      <c r="DP71" s="171"/>
      <c r="DQ71" s="68"/>
      <c r="DR71" s="68"/>
      <c r="DS71" s="68"/>
      <c r="DT71" s="167"/>
      <c r="DU71" s="168"/>
      <c r="DV71" s="169"/>
      <c r="DW71" s="168"/>
      <c r="DX71" s="170"/>
      <c r="DY71" s="171"/>
      <c r="DZ71" s="68"/>
      <c r="EA71" s="68"/>
      <c r="EB71" s="68"/>
      <c r="EC71" s="167"/>
      <c r="ED71" s="168"/>
      <c r="EE71" s="169"/>
      <c r="EF71" s="168"/>
      <c r="EG71" s="170"/>
      <c r="EH71" s="171"/>
      <c r="EI71" s="68"/>
      <c r="EJ71" s="68"/>
      <c r="EK71" s="68"/>
      <c r="EL71" s="167"/>
      <c r="EM71" s="168"/>
      <c r="EN71" s="169"/>
      <c r="EO71" s="168"/>
      <c r="EP71" s="170"/>
      <c r="EQ71" s="171"/>
      <c r="ER71" s="68"/>
      <c r="ES71" s="68"/>
      <c r="ET71" s="68"/>
      <c r="EU71" s="167"/>
      <c r="EV71" s="168"/>
      <c r="EW71" s="169"/>
      <c r="EX71" s="168"/>
      <c r="EY71" s="170"/>
      <c r="EZ71" s="171"/>
      <c r="FA71" s="68"/>
      <c r="FB71" s="68"/>
      <c r="FC71" s="68"/>
      <c r="FD71" s="167"/>
      <c r="FE71" s="168"/>
      <c r="FF71" s="169"/>
      <c r="FG71" s="168"/>
      <c r="FH71" s="170"/>
      <c r="FI71" s="171"/>
      <c r="FJ71" s="68"/>
      <c r="FK71" s="68"/>
      <c r="FL71" s="68"/>
      <c r="FM71" s="167"/>
      <c r="FN71" s="168"/>
      <c r="FO71" s="169"/>
      <c r="FP71" s="168"/>
      <c r="FQ71" s="170"/>
      <c r="FR71" s="171"/>
      <c r="FS71" s="68"/>
      <c r="FT71" s="68"/>
      <c r="FU71" s="68"/>
      <c r="FV71" s="167"/>
      <c r="FW71" s="168"/>
      <c r="FX71" s="169"/>
      <c r="FY71" s="168"/>
      <c r="FZ71" s="170"/>
      <c r="GA71" s="171"/>
      <c r="GB71" s="68"/>
      <c r="GC71" s="68"/>
      <c r="GD71" s="68"/>
      <c r="GE71" s="167"/>
      <c r="GF71" s="168"/>
      <c r="GG71" s="169"/>
      <c r="GH71" s="168"/>
      <c r="GI71" s="170"/>
      <c r="GJ71" s="171"/>
      <c r="GK71" s="68"/>
      <c r="GL71" s="68"/>
      <c r="GM71" s="68"/>
      <c r="GN71" s="167"/>
      <c r="GO71" s="168"/>
      <c r="GP71" s="169"/>
      <c r="GQ71" s="168"/>
      <c r="GR71" s="170"/>
      <c r="GS71" s="171"/>
      <c r="GT71" s="649"/>
      <c r="GU71" s="64"/>
      <c r="GV71" s="65"/>
      <c r="GW71" s="66"/>
      <c r="GX71" s="66"/>
      <c r="GY71" s="167"/>
      <c r="GZ71" s="86"/>
    </row>
    <row r="72" spans="1:208" x14ac:dyDescent="0.25">
      <c r="A72"/>
      <c r="D72" s="35"/>
      <c r="E72" s="36"/>
      <c r="F72" s="37"/>
      <c r="G72" s="38"/>
      <c r="H72" s="39"/>
      <c r="I72" s="40"/>
      <c r="J72" s="68"/>
      <c r="K72" s="407"/>
      <c r="L72" s="70"/>
      <c r="M72" s="71"/>
      <c r="N72" s="56"/>
      <c r="O72" s="72"/>
      <c r="P72" s="113">
        <f t="shared" si="0"/>
        <v>0</v>
      </c>
      <c r="Q72" s="117"/>
      <c r="R72" s="117"/>
      <c r="S72" s="117"/>
      <c r="T72" s="39">
        <f t="shared" si="1"/>
        <v>0</v>
      </c>
      <c r="U72" s="138"/>
      <c r="V72" s="166"/>
      <c r="W72" s="86"/>
      <c r="X72" s="68"/>
      <c r="Y72" s="167"/>
      <c r="Z72" s="168"/>
      <c r="AA72" s="169"/>
      <c r="AB72" s="168"/>
      <c r="AC72" s="170"/>
      <c r="AD72" s="171"/>
      <c r="AE72" s="68"/>
      <c r="AF72" s="68"/>
      <c r="AG72" s="68"/>
      <c r="AH72" s="167"/>
      <c r="AI72" s="168"/>
      <c r="AJ72" s="169"/>
      <c r="AK72" s="168"/>
      <c r="AL72" s="170"/>
      <c r="AM72" s="171"/>
      <c r="AN72" s="68"/>
      <c r="AO72" s="68"/>
      <c r="AP72" s="68"/>
      <c r="AQ72" s="167"/>
      <c r="AR72" s="168"/>
      <c r="AS72" s="169"/>
      <c r="AT72" s="168"/>
      <c r="AU72" s="170"/>
      <c r="AV72" s="171"/>
      <c r="AW72" s="68"/>
      <c r="AX72" s="68"/>
      <c r="AY72" s="68"/>
      <c r="AZ72" s="167"/>
      <c r="BA72" s="168"/>
      <c r="BB72" s="169"/>
      <c r="BC72" s="168"/>
      <c r="BD72" s="170"/>
      <c r="BE72" s="171"/>
      <c r="BF72" s="68"/>
      <c r="BG72" s="68"/>
      <c r="BH72" s="68"/>
      <c r="BI72" s="167"/>
      <c r="BJ72" s="168"/>
      <c r="BK72" s="169"/>
      <c r="BL72" s="168"/>
      <c r="BM72" s="170"/>
      <c r="BN72" s="171"/>
      <c r="BO72" s="68"/>
      <c r="BP72" s="68"/>
      <c r="BQ72" s="68"/>
      <c r="BR72" s="167"/>
      <c r="BS72" s="168"/>
      <c r="BT72" s="169"/>
      <c r="BU72" s="168"/>
      <c r="BV72" s="170"/>
      <c r="BW72" s="171"/>
      <c r="BX72" s="68"/>
      <c r="BY72" s="68"/>
      <c r="BZ72" s="68"/>
      <c r="CA72" s="167"/>
      <c r="CB72" s="168"/>
      <c r="CC72" s="169"/>
      <c r="CD72" s="168"/>
      <c r="CE72" s="170"/>
      <c r="CF72" s="171"/>
      <c r="CG72" s="68"/>
      <c r="CH72" s="68"/>
      <c r="CI72" s="68"/>
      <c r="CJ72" s="167"/>
      <c r="CK72" s="168"/>
      <c r="CL72" s="169"/>
      <c r="CM72" s="168"/>
      <c r="CN72" s="170"/>
      <c r="CO72" s="171"/>
      <c r="CP72" s="68"/>
      <c r="CQ72" s="68"/>
      <c r="CR72" s="68"/>
      <c r="CS72" s="167"/>
      <c r="CT72" s="168"/>
      <c r="CU72" s="169"/>
      <c r="CV72" s="168"/>
      <c r="CW72" s="170"/>
      <c r="CX72" s="171"/>
      <c r="CY72" s="68"/>
      <c r="CZ72" s="68"/>
      <c r="DA72" s="68"/>
      <c r="DB72" s="167"/>
      <c r="DC72" s="168"/>
      <c r="DD72" s="169"/>
      <c r="DE72" s="168"/>
      <c r="DF72" s="170"/>
      <c r="DG72" s="171"/>
      <c r="DH72" s="68"/>
      <c r="DI72" s="68"/>
      <c r="DJ72" s="68"/>
      <c r="DK72" s="167"/>
      <c r="DL72" s="168"/>
      <c r="DM72" s="169"/>
      <c r="DN72" s="168"/>
      <c r="DO72" s="170"/>
      <c r="DP72" s="171"/>
      <c r="DQ72" s="68"/>
      <c r="DR72" s="68"/>
      <c r="DS72" s="68"/>
      <c r="DT72" s="167"/>
      <c r="DU72" s="168"/>
      <c r="DV72" s="169"/>
      <c r="DW72" s="168"/>
      <c r="DX72" s="170"/>
      <c r="DY72" s="171"/>
      <c r="DZ72" s="68"/>
      <c r="EA72" s="68"/>
      <c r="EB72" s="68"/>
      <c r="EC72" s="167"/>
      <c r="ED72" s="168"/>
      <c r="EE72" s="169"/>
      <c r="EF72" s="168"/>
      <c r="EG72" s="170"/>
      <c r="EH72" s="171"/>
      <c r="EI72" s="68"/>
      <c r="EJ72" s="68"/>
      <c r="EK72" s="68"/>
      <c r="EL72" s="167"/>
      <c r="EM72" s="168"/>
      <c r="EN72" s="169"/>
      <c r="EO72" s="168"/>
      <c r="EP72" s="170"/>
      <c r="EQ72" s="171"/>
      <c r="ER72" s="68"/>
      <c r="ES72" s="68"/>
      <c r="ET72" s="68"/>
      <c r="EU72" s="167"/>
      <c r="EV72" s="168"/>
      <c r="EW72" s="169"/>
      <c r="EX72" s="168"/>
      <c r="EY72" s="170"/>
      <c r="EZ72" s="171"/>
      <c r="FA72" s="68"/>
      <c r="FB72" s="68"/>
      <c r="FC72" s="68"/>
      <c r="FD72" s="167"/>
      <c r="FE72" s="168"/>
      <c r="FF72" s="169"/>
      <c r="FG72" s="168"/>
      <c r="FH72" s="170"/>
      <c r="FI72" s="171"/>
      <c r="FJ72" s="68"/>
      <c r="FK72" s="68"/>
      <c r="FL72" s="68"/>
      <c r="FM72" s="167"/>
      <c r="FN72" s="168"/>
      <c r="FO72" s="169"/>
      <c r="FP72" s="168"/>
      <c r="FQ72" s="170"/>
      <c r="FR72" s="171"/>
      <c r="FS72" s="68"/>
      <c r="FT72" s="68"/>
      <c r="FU72" s="68"/>
      <c r="FV72" s="167"/>
      <c r="FW72" s="168"/>
      <c r="FX72" s="169"/>
      <c r="FY72" s="168"/>
      <c r="FZ72" s="170"/>
      <c r="GA72" s="171"/>
      <c r="GB72" s="68"/>
      <c r="GC72" s="68"/>
      <c r="GD72" s="68"/>
      <c r="GE72" s="167"/>
      <c r="GF72" s="168"/>
      <c r="GG72" s="169"/>
      <c r="GH72" s="168"/>
      <c r="GI72" s="170"/>
      <c r="GJ72" s="171"/>
      <c r="GK72" s="68"/>
      <c r="GL72" s="68"/>
      <c r="GM72" s="68"/>
      <c r="GN72" s="167"/>
      <c r="GO72" s="168"/>
      <c r="GP72" s="169"/>
      <c r="GQ72" s="168"/>
      <c r="GR72" s="170"/>
      <c r="GS72" s="171"/>
      <c r="GT72" s="649"/>
      <c r="GU72" s="64"/>
      <c r="GV72" s="65"/>
      <c r="GW72" s="66"/>
      <c r="GX72" s="66"/>
      <c r="GY72" s="167"/>
      <c r="GZ72" s="86"/>
    </row>
    <row r="73" spans="1:208" x14ac:dyDescent="0.25">
      <c r="A73"/>
      <c r="D73" s="35"/>
      <c r="E73" s="36"/>
      <c r="F73" s="37"/>
      <c r="G73" s="38"/>
      <c r="H73" s="39"/>
      <c r="I73" s="40"/>
      <c r="J73" s="68"/>
      <c r="K73" s="407"/>
      <c r="L73" s="70"/>
      <c r="M73" s="71"/>
      <c r="N73" s="56"/>
      <c r="O73" s="72"/>
      <c r="P73" s="113">
        <f t="shared" si="0"/>
        <v>0</v>
      </c>
      <c r="Q73" s="117"/>
      <c r="R73" s="117"/>
      <c r="S73" s="117"/>
      <c r="T73" s="39">
        <f t="shared" si="1"/>
        <v>0</v>
      </c>
      <c r="U73" s="138"/>
      <c r="V73" s="166"/>
      <c r="W73" s="86"/>
      <c r="X73" s="68"/>
      <c r="Y73" s="167"/>
      <c r="Z73" s="168"/>
      <c r="AA73" s="169"/>
      <c r="AB73" s="168"/>
      <c r="AC73" s="170"/>
      <c r="AD73" s="171"/>
      <c r="AE73" s="68"/>
      <c r="AF73" s="68"/>
      <c r="AG73" s="68"/>
      <c r="AH73" s="167"/>
      <c r="AI73" s="168"/>
      <c r="AJ73" s="169"/>
      <c r="AK73" s="168"/>
      <c r="AL73" s="170"/>
      <c r="AM73" s="171"/>
      <c r="AN73" s="68"/>
      <c r="AO73" s="68"/>
      <c r="AP73" s="68"/>
      <c r="AQ73" s="167"/>
      <c r="AR73" s="168"/>
      <c r="AS73" s="169"/>
      <c r="AT73" s="168"/>
      <c r="AU73" s="170"/>
      <c r="AV73" s="171"/>
      <c r="AW73" s="68"/>
      <c r="AX73" s="68"/>
      <c r="AY73" s="68"/>
      <c r="AZ73" s="167"/>
      <c r="BA73" s="168"/>
      <c r="BB73" s="169"/>
      <c r="BC73" s="168"/>
      <c r="BD73" s="170"/>
      <c r="BE73" s="171"/>
      <c r="BF73" s="68"/>
      <c r="BG73" s="68"/>
      <c r="BH73" s="68"/>
      <c r="BI73" s="167"/>
      <c r="BJ73" s="168"/>
      <c r="BK73" s="169"/>
      <c r="BL73" s="168"/>
      <c r="BM73" s="170"/>
      <c r="BN73" s="171"/>
      <c r="BO73" s="68"/>
      <c r="BP73" s="68"/>
      <c r="BQ73" s="68"/>
      <c r="BR73" s="167"/>
      <c r="BS73" s="168"/>
      <c r="BT73" s="169"/>
      <c r="BU73" s="168"/>
      <c r="BV73" s="170"/>
      <c r="BW73" s="171"/>
      <c r="BX73" s="68"/>
      <c r="BY73" s="68"/>
      <c r="BZ73" s="68"/>
      <c r="CA73" s="167"/>
      <c r="CB73" s="168"/>
      <c r="CC73" s="169"/>
      <c r="CD73" s="168"/>
      <c r="CE73" s="170"/>
      <c r="CF73" s="171"/>
      <c r="CG73" s="68"/>
      <c r="CH73" s="68"/>
      <c r="CI73" s="68"/>
      <c r="CJ73" s="167"/>
      <c r="CK73" s="168"/>
      <c r="CL73" s="169"/>
      <c r="CM73" s="168"/>
      <c r="CN73" s="170"/>
      <c r="CO73" s="171"/>
      <c r="CP73" s="68"/>
      <c r="CQ73" s="68"/>
      <c r="CR73" s="68"/>
      <c r="CS73" s="167"/>
      <c r="CT73" s="168"/>
      <c r="CU73" s="169"/>
      <c r="CV73" s="168"/>
      <c r="CW73" s="170"/>
      <c r="CX73" s="171"/>
      <c r="CY73" s="68"/>
      <c r="CZ73" s="68"/>
      <c r="DA73" s="68"/>
      <c r="DB73" s="167"/>
      <c r="DC73" s="168"/>
      <c r="DD73" s="169"/>
      <c r="DE73" s="168"/>
      <c r="DF73" s="170"/>
      <c r="DG73" s="171"/>
      <c r="DH73" s="68"/>
      <c r="DI73" s="68"/>
      <c r="DJ73" s="68"/>
      <c r="DK73" s="167"/>
      <c r="DL73" s="168"/>
      <c r="DM73" s="169"/>
      <c r="DN73" s="168"/>
      <c r="DO73" s="170"/>
      <c r="DP73" s="171"/>
      <c r="DQ73" s="68"/>
      <c r="DR73" s="68"/>
      <c r="DS73" s="68"/>
      <c r="DT73" s="167"/>
      <c r="DU73" s="168"/>
      <c r="DV73" s="169"/>
      <c r="DW73" s="168"/>
      <c r="DX73" s="170"/>
      <c r="DY73" s="171"/>
      <c r="DZ73" s="68"/>
      <c r="EA73" s="68"/>
      <c r="EB73" s="68"/>
      <c r="EC73" s="167"/>
      <c r="ED73" s="168"/>
      <c r="EE73" s="169"/>
      <c r="EF73" s="168"/>
      <c r="EG73" s="170"/>
      <c r="EH73" s="171"/>
      <c r="EI73" s="68"/>
      <c r="EJ73" s="68"/>
      <c r="EK73" s="68"/>
      <c r="EL73" s="167"/>
      <c r="EM73" s="168"/>
      <c r="EN73" s="169"/>
      <c r="EO73" s="168"/>
      <c r="EP73" s="170"/>
      <c r="EQ73" s="171"/>
      <c r="ER73" s="68"/>
      <c r="ES73" s="68"/>
      <c r="ET73" s="68"/>
      <c r="EU73" s="167"/>
      <c r="EV73" s="168"/>
      <c r="EW73" s="169"/>
      <c r="EX73" s="168"/>
      <c r="EY73" s="170"/>
      <c r="EZ73" s="171"/>
      <c r="FA73" s="68"/>
      <c r="FB73" s="68"/>
      <c r="FC73" s="68"/>
      <c r="FD73" s="167"/>
      <c r="FE73" s="168"/>
      <c r="FF73" s="169"/>
      <c r="FG73" s="168"/>
      <c r="FH73" s="170"/>
      <c r="FI73" s="171"/>
      <c r="FJ73" s="68"/>
      <c r="FK73" s="68"/>
      <c r="FL73" s="68"/>
      <c r="FM73" s="167"/>
      <c r="FN73" s="168"/>
      <c r="FO73" s="169"/>
      <c r="FP73" s="168"/>
      <c r="FQ73" s="170"/>
      <c r="FR73" s="171"/>
      <c r="FS73" s="68"/>
      <c r="FT73" s="68"/>
      <c r="FU73" s="68"/>
      <c r="FV73" s="167"/>
      <c r="FW73" s="168"/>
      <c r="FX73" s="169"/>
      <c r="FY73" s="168"/>
      <c r="FZ73" s="170"/>
      <c r="GA73" s="171"/>
      <c r="GB73" s="68"/>
      <c r="GC73" s="68"/>
      <c r="GD73" s="68"/>
      <c r="GE73" s="167"/>
      <c r="GF73" s="168"/>
      <c r="GG73" s="169"/>
      <c r="GH73" s="168"/>
      <c r="GI73" s="170"/>
      <c r="GJ73" s="171"/>
      <c r="GK73" s="68"/>
      <c r="GL73" s="68"/>
      <c r="GM73" s="68"/>
      <c r="GN73" s="167"/>
      <c r="GO73" s="168"/>
      <c r="GP73" s="169"/>
      <c r="GQ73" s="168"/>
      <c r="GR73" s="170"/>
      <c r="GS73" s="171"/>
      <c r="GT73" s="649"/>
      <c r="GU73" s="64"/>
      <c r="GV73" s="65"/>
      <c r="GW73" s="66"/>
      <c r="GX73" s="66"/>
      <c r="GY73" s="167"/>
      <c r="GZ73" s="86"/>
    </row>
    <row r="74" spans="1:208" x14ac:dyDescent="0.25">
      <c r="A74"/>
      <c r="D74" s="35"/>
      <c r="E74" s="36"/>
      <c r="F74" s="37"/>
      <c r="G74" s="38"/>
      <c r="H74" s="39"/>
      <c r="I74" s="40"/>
      <c r="J74" s="68"/>
      <c r="K74" s="407"/>
      <c r="L74" s="70"/>
      <c r="M74" s="71"/>
      <c r="N74" s="56"/>
      <c r="O74" s="72"/>
      <c r="P74" s="113">
        <f t="shared" si="0"/>
        <v>0</v>
      </c>
      <c r="Q74" s="117"/>
      <c r="R74" s="117"/>
      <c r="S74" s="117"/>
      <c r="T74" s="39">
        <f t="shared" si="1"/>
        <v>0</v>
      </c>
      <c r="U74" s="138"/>
      <c r="V74" s="166"/>
      <c r="W74" s="86"/>
      <c r="X74" s="68"/>
      <c r="Y74" s="167"/>
      <c r="Z74" s="168"/>
      <c r="AA74" s="169"/>
      <c r="AB74" s="168"/>
      <c r="AC74" s="170"/>
      <c r="AD74" s="171"/>
      <c r="AE74" s="68"/>
      <c r="AF74" s="68"/>
      <c r="AG74" s="68"/>
      <c r="AH74" s="167"/>
      <c r="AI74" s="168"/>
      <c r="AJ74" s="169"/>
      <c r="AK74" s="168"/>
      <c r="AL74" s="170"/>
      <c r="AM74" s="171"/>
      <c r="AN74" s="68"/>
      <c r="AO74" s="68"/>
      <c r="AP74" s="68"/>
      <c r="AQ74" s="167"/>
      <c r="AR74" s="168"/>
      <c r="AS74" s="169"/>
      <c r="AT74" s="168"/>
      <c r="AU74" s="170"/>
      <c r="AV74" s="171"/>
      <c r="AW74" s="68"/>
      <c r="AX74" s="68"/>
      <c r="AY74" s="68"/>
      <c r="AZ74" s="167"/>
      <c r="BA74" s="168"/>
      <c r="BB74" s="169"/>
      <c r="BC74" s="168"/>
      <c r="BD74" s="170"/>
      <c r="BE74" s="171"/>
      <c r="BF74" s="68"/>
      <c r="BG74" s="68"/>
      <c r="BH74" s="68"/>
      <c r="BI74" s="167"/>
      <c r="BJ74" s="168"/>
      <c r="BK74" s="169"/>
      <c r="BL74" s="168"/>
      <c r="BM74" s="170"/>
      <c r="BN74" s="171"/>
      <c r="BO74" s="68"/>
      <c r="BP74" s="68"/>
      <c r="BQ74" s="68"/>
      <c r="BR74" s="167"/>
      <c r="BS74" s="168"/>
      <c r="BT74" s="169"/>
      <c r="BU74" s="168"/>
      <c r="BV74" s="170"/>
      <c r="BW74" s="171"/>
      <c r="BX74" s="68"/>
      <c r="BY74" s="68"/>
      <c r="BZ74" s="68"/>
      <c r="CA74" s="167"/>
      <c r="CB74" s="168"/>
      <c r="CC74" s="169"/>
      <c r="CD74" s="168"/>
      <c r="CE74" s="170"/>
      <c r="CF74" s="171"/>
      <c r="CG74" s="68"/>
      <c r="CH74" s="68"/>
      <c r="CI74" s="68"/>
      <c r="CJ74" s="167"/>
      <c r="CK74" s="168"/>
      <c r="CL74" s="169"/>
      <c r="CM74" s="168"/>
      <c r="CN74" s="170"/>
      <c r="CO74" s="171"/>
      <c r="CP74" s="68"/>
      <c r="CQ74" s="68"/>
      <c r="CR74" s="68"/>
      <c r="CS74" s="167"/>
      <c r="CT74" s="168"/>
      <c r="CU74" s="169"/>
      <c r="CV74" s="168"/>
      <c r="CW74" s="170"/>
      <c r="CX74" s="171"/>
      <c r="CY74" s="68"/>
      <c r="CZ74" s="68"/>
      <c r="DA74" s="68"/>
      <c r="DB74" s="167"/>
      <c r="DC74" s="168"/>
      <c r="DD74" s="169"/>
      <c r="DE74" s="168"/>
      <c r="DF74" s="170"/>
      <c r="DG74" s="171"/>
      <c r="DH74" s="68"/>
      <c r="DI74" s="68"/>
      <c r="DJ74" s="68"/>
      <c r="DK74" s="167"/>
      <c r="DL74" s="168"/>
      <c r="DM74" s="169"/>
      <c r="DN74" s="168"/>
      <c r="DO74" s="170"/>
      <c r="DP74" s="171"/>
      <c r="DQ74" s="68"/>
      <c r="DR74" s="68"/>
      <c r="DS74" s="68"/>
      <c r="DT74" s="167"/>
      <c r="DU74" s="168"/>
      <c r="DV74" s="169"/>
      <c r="DW74" s="168"/>
      <c r="DX74" s="170"/>
      <c r="DY74" s="171"/>
      <c r="DZ74" s="68"/>
      <c r="EA74" s="68"/>
      <c r="EB74" s="68"/>
      <c r="EC74" s="167"/>
      <c r="ED74" s="168"/>
      <c r="EE74" s="169"/>
      <c r="EF74" s="168"/>
      <c r="EG74" s="170"/>
      <c r="EH74" s="171"/>
      <c r="EI74" s="68"/>
      <c r="EJ74" s="68"/>
      <c r="EK74" s="68"/>
      <c r="EL74" s="167"/>
      <c r="EM74" s="168"/>
      <c r="EN74" s="169"/>
      <c r="EO74" s="168"/>
      <c r="EP74" s="170"/>
      <c r="EQ74" s="171"/>
      <c r="ER74" s="68"/>
      <c r="ES74" s="68"/>
      <c r="ET74" s="68"/>
      <c r="EU74" s="167"/>
      <c r="EV74" s="168"/>
      <c r="EW74" s="169"/>
      <c r="EX74" s="168"/>
      <c r="EY74" s="170"/>
      <c r="EZ74" s="171"/>
      <c r="FA74" s="68"/>
      <c r="FB74" s="68"/>
      <c r="FC74" s="68"/>
      <c r="FD74" s="167"/>
      <c r="FE74" s="168"/>
      <c r="FF74" s="169"/>
      <c r="FG74" s="168"/>
      <c r="FH74" s="170"/>
      <c r="FI74" s="171"/>
      <c r="FJ74" s="68"/>
      <c r="FK74" s="68"/>
      <c r="FL74" s="68"/>
      <c r="FM74" s="167"/>
      <c r="FN74" s="168"/>
      <c r="FO74" s="169"/>
      <c r="FP74" s="168"/>
      <c r="FQ74" s="170"/>
      <c r="FR74" s="171"/>
      <c r="FS74" s="68"/>
      <c r="FT74" s="68"/>
      <c r="FU74" s="68"/>
      <c r="FV74" s="167"/>
      <c r="FW74" s="168"/>
      <c r="FX74" s="169"/>
      <c r="FY74" s="168"/>
      <c r="FZ74" s="170"/>
      <c r="GA74" s="171"/>
      <c r="GB74" s="68"/>
      <c r="GC74" s="68"/>
      <c r="GD74" s="68"/>
      <c r="GE74" s="167"/>
      <c r="GF74" s="168"/>
      <c r="GG74" s="169"/>
      <c r="GH74" s="168"/>
      <c r="GI74" s="170"/>
      <c r="GJ74" s="171"/>
      <c r="GK74" s="68"/>
      <c r="GL74" s="68"/>
      <c r="GM74" s="68"/>
      <c r="GN74" s="167"/>
      <c r="GO74" s="168"/>
      <c r="GP74" s="169"/>
      <c r="GQ74" s="168"/>
      <c r="GR74" s="170"/>
      <c r="GS74" s="171"/>
      <c r="GT74" s="649"/>
      <c r="GU74" s="64"/>
      <c r="GV74" s="65"/>
      <c r="GW74" s="66"/>
      <c r="GX74" s="66"/>
      <c r="GY74" s="167"/>
      <c r="GZ74" s="86"/>
    </row>
    <row r="75" spans="1:208" x14ac:dyDescent="0.25">
      <c r="A75"/>
      <c r="D75" s="35"/>
      <c r="E75" s="36"/>
      <c r="F75" s="37"/>
      <c r="G75" s="38"/>
      <c r="H75" s="39"/>
      <c r="I75" s="40"/>
      <c r="J75" s="68"/>
      <c r="K75" s="407"/>
      <c r="L75" s="70"/>
      <c r="M75" s="71"/>
      <c r="N75" s="56"/>
      <c r="O75" s="72"/>
      <c r="P75" s="113">
        <f t="shared" ref="P75:P77" si="5">O75-L75</f>
        <v>0</v>
      </c>
      <c r="Q75" s="117"/>
      <c r="R75" s="117"/>
      <c r="S75" s="117"/>
      <c r="T75" s="39">
        <f t="shared" si="1"/>
        <v>0</v>
      </c>
      <c r="U75" s="138"/>
      <c r="V75" s="172"/>
      <c r="W75" s="86"/>
      <c r="X75" s="68"/>
      <c r="Y75" s="167"/>
      <c r="Z75" s="168"/>
      <c r="AA75" s="169"/>
      <c r="AB75" s="168"/>
      <c r="AC75" s="170"/>
      <c r="AD75" s="171"/>
      <c r="AE75" s="68"/>
      <c r="AF75" s="68"/>
      <c r="AG75" s="68"/>
      <c r="AH75" s="167"/>
      <c r="AI75" s="168"/>
      <c r="AJ75" s="169"/>
      <c r="AK75" s="168"/>
      <c r="AL75" s="170"/>
      <c r="AM75" s="171"/>
      <c r="AN75" s="68"/>
      <c r="AO75" s="68"/>
      <c r="AP75" s="68"/>
      <c r="AQ75" s="167"/>
      <c r="AR75" s="168"/>
      <c r="AS75" s="169"/>
      <c r="AT75" s="168"/>
      <c r="AU75" s="170"/>
      <c r="AV75" s="171"/>
      <c r="AW75" s="68"/>
      <c r="AX75" s="68"/>
      <c r="AY75" s="68"/>
      <c r="AZ75" s="167"/>
      <c r="BA75" s="168"/>
      <c r="BB75" s="169"/>
      <c r="BC75" s="168"/>
      <c r="BD75" s="170"/>
      <c r="BE75" s="171"/>
      <c r="BF75" s="68"/>
      <c r="BG75" s="68"/>
      <c r="BH75" s="68"/>
      <c r="BI75" s="167"/>
      <c r="BJ75" s="168"/>
      <c r="BK75" s="169"/>
      <c r="BL75" s="168"/>
      <c r="BM75" s="170"/>
      <c r="BN75" s="171"/>
      <c r="BO75" s="68"/>
      <c r="BP75" s="68"/>
      <c r="BQ75" s="68"/>
      <c r="BR75" s="167"/>
      <c r="BS75" s="168"/>
      <c r="BT75" s="169"/>
      <c r="BU75" s="168"/>
      <c r="BV75" s="170"/>
      <c r="BW75" s="171"/>
      <c r="BX75" s="68"/>
      <c r="BY75" s="68"/>
      <c r="BZ75" s="68"/>
      <c r="CA75" s="167"/>
      <c r="CB75" s="168"/>
      <c r="CC75" s="169"/>
      <c r="CD75" s="168"/>
      <c r="CE75" s="170"/>
      <c r="CF75" s="171"/>
      <c r="CG75" s="68"/>
      <c r="CH75" s="68"/>
      <c r="CI75" s="68"/>
      <c r="CJ75" s="167"/>
      <c r="CK75" s="168"/>
      <c r="CL75" s="169"/>
      <c r="CM75" s="168"/>
      <c r="CN75" s="170"/>
      <c r="CO75" s="171"/>
      <c r="CP75" s="68"/>
      <c r="CQ75" s="68"/>
      <c r="CR75" s="68"/>
      <c r="CS75" s="167"/>
      <c r="CT75" s="168"/>
      <c r="CU75" s="169"/>
      <c r="CV75" s="168"/>
      <c r="CW75" s="170"/>
      <c r="CX75" s="171"/>
      <c r="CY75" s="68"/>
      <c r="CZ75" s="68"/>
      <c r="DA75" s="68"/>
      <c r="DB75" s="167"/>
      <c r="DC75" s="168"/>
      <c r="DD75" s="169"/>
      <c r="DE75" s="168"/>
      <c r="DF75" s="170"/>
      <c r="DG75" s="171"/>
      <c r="DH75" s="68"/>
      <c r="DI75" s="68"/>
      <c r="DJ75" s="68"/>
      <c r="DK75" s="167"/>
      <c r="DL75" s="168"/>
      <c r="DM75" s="169"/>
      <c r="DN75" s="168"/>
      <c r="DO75" s="170"/>
      <c r="DP75" s="171"/>
      <c r="DQ75" s="68"/>
      <c r="DR75" s="68"/>
      <c r="DS75" s="68"/>
      <c r="DT75" s="167"/>
      <c r="DU75" s="168"/>
      <c r="DV75" s="169"/>
      <c r="DW75" s="168"/>
      <c r="DX75" s="170"/>
      <c r="DY75" s="171"/>
      <c r="DZ75" s="68"/>
      <c r="EA75" s="68"/>
      <c r="EB75" s="68"/>
      <c r="EC75" s="167"/>
      <c r="ED75" s="168"/>
      <c r="EE75" s="169"/>
      <c r="EF75" s="168"/>
      <c r="EG75" s="170"/>
      <c r="EH75" s="171"/>
      <c r="EI75" s="68"/>
      <c r="EJ75" s="68"/>
      <c r="EK75" s="68"/>
      <c r="EL75" s="167"/>
      <c r="EM75" s="168"/>
      <c r="EN75" s="169"/>
      <c r="EO75" s="168"/>
      <c r="EP75" s="170"/>
      <c r="EQ75" s="171"/>
      <c r="ER75" s="68"/>
      <c r="ES75" s="68"/>
      <c r="ET75" s="68"/>
      <c r="EU75" s="167"/>
      <c r="EV75" s="168"/>
      <c r="EW75" s="169"/>
      <c r="EX75" s="168"/>
      <c r="EY75" s="170"/>
      <c r="EZ75" s="171"/>
      <c r="FA75" s="68"/>
      <c r="FB75" s="68"/>
      <c r="FC75" s="68"/>
      <c r="FD75" s="167"/>
      <c r="FE75" s="168"/>
      <c r="FF75" s="169"/>
      <c r="FG75" s="168"/>
      <c r="FH75" s="170"/>
      <c r="FI75" s="171"/>
      <c r="FJ75" s="68"/>
      <c r="FK75" s="68"/>
      <c r="FL75" s="68"/>
      <c r="FM75" s="167"/>
      <c r="FN75" s="168"/>
      <c r="FO75" s="169"/>
      <c r="FP75" s="168"/>
      <c r="FQ75" s="170"/>
      <c r="FR75" s="171"/>
      <c r="FS75" s="68"/>
      <c r="FT75" s="68"/>
      <c r="FU75" s="68"/>
      <c r="FV75" s="167"/>
      <c r="FW75" s="168"/>
      <c r="FX75" s="169"/>
      <c r="FY75" s="168"/>
      <c r="FZ75" s="170"/>
      <c r="GA75" s="171"/>
      <c r="GB75" s="68"/>
      <c r="GC75" s="68"/>
      <c r="GD75" s="68"/>
      <c r="GE75" s="167"/>
      <c r="GF75" s="168"/>
      <c r="GG75" s="169"/>
      <c r="GH75" s="168"/>
      <c r="GI75" s="170"/>
      <c r="GJ75" s="171"/>
      <c r="GK75" s="68"/>
      <c r="GL75" s="68"/>
      <c r="GM75" s="68"/>
      <c r="GN75" s="167"/>
      <c r="GO75" s="168"/>
      <c r="GP75" s="169"/>
      <c r="GQ75" s="168"/>
      <c r="GR75" s="170"/>
      <c r="GS75" s="171"/>
      <c r="GT75" s="649"/>
      <c r="GU75" s="64"/>
      <c r="GV75" s="65"/>
      <c r="GW75" s="66"/>
      <c r="GX75" s="66"/>
      <c r="GY75" s="167"/>
      <c r="GZ75" s="86"/>
    </row>
    <row r="76" spans="1:208" x14ac:dyDescent="0.25">
      <c r="A76"/>
      <c r="D76" s="35"/>
      <c r="E76" s="36"/>
      <c r="F76" s="37"/>
      <c r="G76" s="38"/>
      <c r="H76" s="39"/>
      <c r="I76" s="40"/>
      <c r="J76" s="68"/>
      <c r="K76" s="407"/>
      <c r="L76" s="70"/>
      <c r="M76" s="71"/>
      <c r="N76" s="173"/>
      <c r="O76" s="72"/>
      <c r="P76" s="113">
        <f t="shared" si="5"/>
        <v>0</v>
      </c>
      <c r="Q76" s="117"/>
      <c r="R76" s="117"/>
      <c r="S76" s="117"/>
      <c r="T76" s="39">
        <f t="shared" si="1"/>
        <v>0</v>
      </c>
      <c r="U76" s="138"/>
      <c r="V76" s="172"/>
      <c r="W76" s="86"/>
      <c r="X76" s="68"/>
      <c r="Y76" s="167"/>
      <c r="Z76" s="168"/>
      <c r="AA76" s="169"/>
      <c r="AB76" s="168"/>
      <c r="AC76" s="170"/>
      <c r="AD76" s="171"/>
      <c r="AE76" s="68"/>
      <c r="AF76" s="68"/>
      <c r="AG76" s="68"/>
      <c r="AH76" s="167"/>
      <c r="AI76" s="168"/>
      <c r="AJ76" s="169"/>
      <c r="AK76" s="168"/>
      <c r="AL76" s="170"/>
      <c r="AM76" s="171"/>
      <c r="AN76" s="68"/>
      <c r="AO76" s="68"/>
      <c r="AP76" s="68"/>
      <c r="AQ76" s="167"/>
      <c r="AR76" s="168"/>
      <c r="AS76" s="169"/>
      <c r="AT76" s="168"/>
      <c r="AU76" s="170"/>
      <c r="AV76" s="171"/>
      <c r="AW76" s="68"/>
      <c r="AX76" s="68"/>
      <c r="AY76" s="68"/>
      <c r="AZ76" s="167"/>
      <c r="BA76" s="168"/>
      <c r="BB76" s="169"/>
      <c r="BC76" s="168"/>
      <c r="BD76" s="170"/>
      <c r="BE76" s="171"/>
      <c r="BF76" s="68"/>
      <c r="BG76" s="68"/>
      <c r="BH76" s="68"/>
      <c r="BI76" s="167"/>
      <c r="BJ76" s="168"/>
      <c r="BK76" s="169"/>
      <c r="BL76" s="168"/>
      <c r="BM76" s="170"/>
      <c r="BN76" s="171"/>
      <c r="BO76" s="68"/>
      <c r="BP76" s="68"/>
      <c r="BQ76" s="68"/>
      <c r="BR76" s="167"/>
      <c r="BS76" s="168"/>
      <c r="BT76" s="169"/>
      <c r="BU76" s="168"/>
      <c r="BV76" s="170"/>
      <c r="BW76" s="171"/>
      <c r="BX76" s="68"/>
      <c r="BY76" s="68"/>
      <c r="BZ76" s="68"/>
      <c r="CA76" s="167"/>
      <c r="CB76" s="168"/>
      <c r="CC76" s="169"/>
      <c r="CD76" s="168"/>
      <c r="CE76" s="170"/>
      <c r="CF76" s="171"/>
      <c r="CG76" s="68"/>
      <c r="CH76" s="68"/>
      <c r="CI76" s="68"/>
      <c r="CJ76" s="167"/>
      <c r="CK76" s="168"/>
      <c r="CL76" s="169"/>
      <c r="CM76" s="168"/>
      <c r="CN76" s="170"/>
      <c r="CO76" s="171"/>
      <c r="CP76" s="68"/>
      <c r="CQ76" s="68"/>
      <c r="CR76" s="68"/>
      <c r="CS76" s="167"/>
      <c r="CT76" s="168"/>
      <c r="CU76" s="169"/>
      <c r="CV76" s="168"/>
      <c r="CW76" s="170"/>
      <c r="CX76" s="171"/>
      <c r="CY76" s="68"/>
      <c r="CZ76" s="68"/>
      <c r="DA76" s="68"/>
      <c r="DB76" s="167"/>
      <c r="DC76" s="168"/>
      <c r="DD76" s="169"/>
      <c r="DE76" s="168"/>
      <c r="DF76" s="170"/>
      <c r="DG76" s="171"/>
      <c r="DH76" s="68"/>
      <c r="DI76" s="68"/>
      <c r="DJ76" s="68"/>
      <c r="DK76" s="167"/>
      <c r="DL76" s="168"/>
      <c r="DM76" s="169"/>
      <c r="DN76" s="168"/>
      <c r="DO76" s="170"/>
      <c r="DP76" s="171"/>
      <c r="DQ76" s="68"/>
      <c r="DR76" s="68"/>
      <c r="DS76" s="68"/>
      <c r="DT76" s="167"/>
      <c r="DU76" s="168"/>
      <c r="DV76" s="169"/>
      <c r="DW76" s="168"/>
      <c r="DX76" s="170"/>
      <c r="DY76" s="171"/>
      <c r="DZ76" s="68"/>
      <c r="EA76" s="68"/>
      <c r="EB76" s="68"/>
      <c r="EC76" s="167"/>
      <c r="ED76" s="168"/>
      <c r="EE76" s="169"/>
      <c r="EF76" s="168"/>
      <c r="EG76" s="170"/>
      <c r="EH76" s="171"/>
      <c r="EI76" s="68"/>
      <c r="EJ76" s="68"/>
      <c r="EK76" s="68"/>
      <c r="EL76" s="167"/>
      <c r="EM76" s="168"/>
      <c r="EN76" s="169"/>
      <c r="EO76" s="168"/>
      <c r="EP76" s="170"/>
      <c r="EQ76" s="171"/>
      <c r="ER76" s="68"/>
      <c r="ES76" s="68"/>
      <c r="ET76" s="68"/>
      <c r="EU76" s="167"/>
      <c r="EV76" s="168"/>
      <c r="EW76" s="169"/>
      <c r="EX76" s="168"/>
      <c r="EY76" s="170"/>
      <c r="EZ76" s="171"/>
      <c r="FA76" s="68"/>
      <c r="FB76" s="68"/>
      <c r="FC76" s="68"/>
      <c r="FD76" s="167"/>
      <c r="FE76" s="168"/>
      <c r="FF76" s="169"/>
      <c r="FG76" s="168"/>
      <c r="FH76" s="170"/>
      <c r="FI76" s="171"/>
      <c r="FJ76" s="68"/>
      <c r="FK76" s="68"/>
      <c r="FL76" s="68"/>
      <c r="FM76" s="167"/>
      <c r="FN76" s="168"/>
      <c r="FO76" s="169"/>
      <c r="FP76" s="168"/>
      <c r="FQ76" s="170"/>
      <c r="FR76" s="171"/>
      <c r="FS76" s="68"/>
      <c r="FT76" s="68"/>
      <c r="FU76" s="68"/>
      <c r="FV76" s="167"/>
      <c r="FW76" s="168"/>
      <c r="FX76" s="169"/>
      <c r="FY76" s="168"/>
      <c r="FZ76" s="170"/>
      <c r="GA76" s="171"/>
      <c r="GB76" s="68"/>
      <c r="GC76" s="68"/>
      <c r="GD76" s="68"/>
      <c r="GE76" s="167"/>
      <c r="GF76" s="168"/>
      <c r="GG76" s="169"/>
      <c r="GH76" s="168"/>
      <c r="GI76" s="170"/>
      <c r="GJ76" s="171"/>
      <c r="GK76" s="68"/>
      <c r="GL76" s="68"/>
      <c r="GM76" s="68"/>
      <c r="GN76" s="167"/>
      <c r="GO76" s="168"/>
      <c r="GP76" s="169"/>
      <c r="GQ76" s="168"/>
      <c r="GR76" s="170"/>
      <c r="GS76" s="171"/>
      <c r="GT76" s="649"/>
      <c r="GU76" s="64"/>
      <c r="GV76" s="65"/>
      <c r="GW76" s="66"/>
      <c r="GX76" s="66"/>
      <c r="GY76" s="167"/>
      <c r="GZ76" s="86"/>
    </row>
    <row r="77" spans="1:208" x14ac:dyDescent="0.25">
      <c r="A77"/>
      <c r="D77" s="35"/>
      <c r="E77" s="36"/>
      <c r="F77" s="37"/>
      <c r="G77" s="38"/>
      <c r="H77" s="39"/>
      <c r="I77" s="40"/>
      <c r="J77" s="174"/>
      <c r="K77" s="407"/>
      <c r="L77" s="70"/>
      <c r="M77" s="71"/>
      <c r="N77" s="175"/>
      <c r="O77" s="72"/>
      <c r="P77" s="113">
        <f t="shared" si="5"/>
        <v>0</v>
      </c>
      <c r="Q77" s="117"/>
      <c r="R77" s="117"/>
      <c r="S77" s="117"/>
      <c r="T77" s="39">
        <f t="shared" ref="T77:T84" si="6">Q77*O77</f>
        <v>0</v>
      </c>
      <c r="U77" s="138"/>
      <c r="V77" s="172"/>
      <c r="W77" s="86"/>
      <c r="X77" s="68"/>
      <c r="Y77" s="167"/>
      <c r="Z77" s="168"/>
      <c r="AA77" s="169"/>
      <c r="AB77" s="168"/>
      <c r="AC77" s="170"/>
      <c r="AD77" s="171"/>
      <c r="AE77" s="68"/>
      <c r="AF77" s="68"/>
      <c r="AG77" s="68"/>
      <c r="AH77" s="167"/>
      <c r="AI77" s="168"/>
      <c r="AJ77" s="169"/>
      <c r="AK77" s="168"/>
      <c r="AL77" s="170"/>
      <c r="AM77" s="171"/>
      <c r="AN77" s="68"/>
      <c r="AO77" s="68"/>
      <c r="AP77" s="68"/>
      <c r="AQ77" s="167"/>
      <c r="AR77" s="168"/>
      <c r="AS77" s="169"/>
      <c r="AT77" s="168"/>
      <c r="AU77" s="170"/>
      <c r="AV77" s="171"/>
      <c r="AW77" s="68"/>
      <c r="AX77" s="68"/>
      <c r="AY77" s="68"/>
      <c r="AZ77" s="167"/>
      <c r="BA77" s="168"/>
      <c r="BB77" s="169"/>
      <c r="BC77" s="168"/>
      <c r="BD77" s="170"/>
      <c r="BE77" s="171"/>
      <c r="BF77" s="68"/>
      <c r="BG77" s="68"/>
      <c r="BH77" s="68"/>
      <c r="BI77" s="167"/>
      <c r="BJ77" s="168"/>
      <c r="BK77" s="169"/>
      <c r="BL77" s="168"/>
      <c r="BM77" s="170"/>
      <c r="BN77" s="171"/>
      <c r="BO77" s="68"/>
      <c r="BP77" s="68"/>
      <c r="BQ77" s="68"/>
      <c r="BR77" s="167"/>
      <c r="BS77" s="168"/>
      <c r="BT77" s="169"/>
      <c r="BU77" s="168"/>
      <c r="BV77" s="170"/>
      <c r="BW77" s="171"/>
      <c r="BX77" s="68"/>
      <c r="BY77" s="68"/>
      <c r="BZ77" s="68"/>
      <c r="CA77" s="167"/>
      <c r="CB77" s="168"/>
      <c r="CC77" s="169"/>
      <c r="CD77" s="168"/>
      <c r="CE77" s="170"/>
      <c r="CF77" s="171"/>
      <c r="CG77" s="68"/>
      <c r="CH77" s="68"/>
      <c r="CI77" s="68"/>
      <c r="CJ77" s="167"/>
      <c r="CK77" s="168"/>
      <c r="CL77" s="169"/>
      <c r="CM77" s="168"/>
      <c r="CN77" s="170"/>
      <c r="CO77" s="171"/>
      <c r="CP77" s="68"/>
      <c r="CQ77" s="68"/>
      <c r="CR77" s="68"/>
      <c r="CS77" s="167"/>
      <c r="CT77" s="168"/>
      <c r="CU77" s="169"/>
      <c r="CV77" s="168"/>
      <c r="CW77" s="170"/>
      <c r="CX77" s="171"/>
      <c r="CY77" s="68"/>
      <c r="CZ77" s="68"/>
      <c r="DA77" s="68"/>
      <c r="DB77" s="167"/>
      <c r="DC77" s="168"/>
      <c r="DD77" s="169"/>
      <c r="DE77" s="168"/>
      <c r="DF77" s="170"/>
      <c r="DG77" s="171"/>
      <c r="DH77" s="68"/>
      <c r="DI77" s="68"/>
      <c r="DJ77" s="68"/>
      <c r="DK77" s="167"/>
      <c r="DL77" s="168"/>
      <c r="DM77" s="169"/>
      <c r="DN77" s="168"/>
      <c r="DO77" s="170"/>
      <c r="DP77" s="171"/>
      <c r="DQ77" s="68"/>
      <c r="DR77" s="68"/>
      <c r="DS77" s="68"/>
      <c r="DT77" s="167"/>
      <c r="DU77" s="168"/>
      <c r="DV77" s="169"/>
      <c r="DW77" s="168"/>
      <c r="DX77" s="170"/>
      <c r="DY77" s="171"/>
      <c r="DZ77" s="68"/>
      <c r="EA77" s="68"/>
      <c r="EB77" s="68"/>
      <c r="EC77" s="167"/>
      <c r="ED77" s="168"/>
      <c r="EE77" s="169"/>
      <c r="EF77" s="168"/>
      <c r="EG77" s="170"/>
      <c r="EH77" s="171"/>
      <c r="EI77" s="68"/>
      <c r="EJ77" s="68"/>
      <c r="EK77" s="68"/>
      <c r="EL77" s="167"/>
      <c r="EM77" s="168"/>
      <c r="EN77" s="169"/>
      <c r="EO77" s="168"/>
      <c r="EP77" s="170"/>
      <c r="EQ77" s="171"/>
      <c r="ER77" s="68"/>
      <c r="ES77" s="68"/>
      <c r="ET77" s="68"/>
      <c r="EU77" s="167"/>
      <c r="EV77" s="168"/>
      <c r="EW77" s="169"/>
      <c r="EX77" s="168"/>
      <c r="EY77" s="170"/>
      <c r="EZ77" s="171"/>
      <c r="FA77" s="68"/>
      <c r="FB77" s="68"/>
      <c r="FC77" s="68"/>
      <c r="FD77" s="167"/>
      <c r="FE77" s="168"/>
      <c r="FF77" s="169"/>
      <c r="FG77" s="168"/>
      <c r="FH77" s="170"/>
      <c r="FI77" s="171"/>
      <c r="FJ77" s="68"/>
      <c r="FK77" s="68"/>
      <c r="FL77" s="68"/>
      <c r="FM77" s="167"/>
      <c r="FN77" s="168"/>
      <c r="FO77" s="169"/>
      <c r="FP77" s="168"/>
      <c r="FQ77" s="170"/>
      <c r="FR77" s="171"/>
      <c r="FS77" s="68"/>
      <c r="FT77" s="68"/>
      <c r="FU77" s="68"/>
      <c r="FV77" s="167"/>
      <c r="FW77" s="168"/>
      <c r="FX77" s="169"/>
      <c r="FY77" s="168"/>
      <c r="FZ77" s="170"/>
      <c r="GA77" s="171"/>
      <c r="GB77" s="68"/>
      <c r="GC77" s="68"/>
      <c r="GD77" s="68"/>
      <c r="GE77" s="167"/>
      <c r="GF77" s="168"/>
      <c r="GG77" s="169"/>
      <c r="GH77" s="168"/>
      <c r="GI77" s="170"/>
      <c r="GJ77" s="171"/>
      <c r="GK77" s="68"/>
      <c r="GL77" s="68"/>
      <c r="GM77" s="68"/>
      <c r="GN77" s="167"/>
      <c r="GO77" s="168"/>
      <c r="GP77" s="169"/>
      <c r="GQ77" s="168"/>
      <c r="GR77" s="170"/>
      <c r="GS77" s="171"/>
      <c r="GT77" s="649"/>
      <c r="GU77" s="64"/>
      <c r="GV77" s="65"/>
      <c r="GW77" s="66"/>
      <c r="GX77" s="66"/>
      <c r="GY77" s="391"/>
      <c r="GZ77" s="67"/>
    </row>
    <row r="78" spans="1:208" x14ac:dyDescent="0.25">
      <c r="A78"/>
      <c r="D78" s="35"/>
      <c r="E78" s="36"/>
      <c r="F78" s="37"/>
      <c r="G78" s="38"/>
      <c r="H78" s="39"/>
      <c r="I78" s="40"/>
      <c r="J78" s="177"/>
      <c r="K78" s="452"/>
      <c r="N78" s="179"/>
      <c r="P78" s="27"/>
      <c r="Q78" s="180"/>
      <c r="R78" s="180"/>
      <c r="S78" s="180"/>
      <c r="T78" s="39">
        <f t="shared" si="6"/>
        <v>0</v>
      </c>
      <c r="U78" s="181"/>
      <c r="V78" s="182"/>
      <c r="W78" s="30"/>
      <c r="X78" s="8"/>
      <c r="Y78" s="183"/>
      <c r="Z78" s="184"/>
      <c r="AA78" s="185"/>
      <c r="AB78" s="184"/>
      <c r="AC78" s="186"/>
      <c r="AD78" s="187"/>
      <c r="AE78" s="8"/>
      <c r="AF78" s="8"/>
      <c r="AG78" s="188"/>
      <c r="AH78" s="183"/>
      <c r="AI78" s="184"/>
      <c r="AJ78" s="185"/>
      <c r="AK78" s="28"/>
      <c r="AL78" s="186"/>
      <c r="AM78" s="187"/>
      <c r="AN78" s="8"/>
      <c r="AO78" s="8"/>
      <c r="AP78" s="188"/>
      <c r="AQ78" s="183"/>
      <c r="AR78" s="184"/>
      <c r="AS78" s="185"/>
      <c r="AT78" s="184"/>
      <c r="AU78" s="186"/>
      <c r="AV78" s="187"/>
      <c r="AW78" s="8"/>
      <c r="AX78" s="8"/>
      <c r="AY78" s="188"/>
      <c r="AZ78" s="183"/>
      <c r="BA78" s="184"/>
      <c r="BB78" s="185"/>
      <c r="BC78" s="28"/>
      <c r="BD78" s="186"/>
      <c r="BE78" s="187"/>
      <c r="BF78" s="8"/>
      <c r="BG78" s="8"/>
      <c r="BH78" s="188"/>
      <c r="BI78" s="183"/>
      <c r="BJ78" s="184"/>
      <c r="BK78" s="185"/>
      <c r="BL78" s="28"/>
      <c r="BM78" s="186"/>
      <c r="BN78" s="187"/>
      <c r="BO78" s="8"/>
      <c r="BP78" s="8"/>
      <c r="BQ78" s="188"/>
      <c r="BR78" s="183"/>
      <c r="BS78" s="184"/>
      <c r="BT78" s="185"/>
      <c r="BU78" s="184"/>
      <c r="BV78" s="186"/>
      <c r="BW78" s="187"/>
      <c r="BX78" s="8"/>
      <c r="BY78" s="8"/>
      <c r="BZ78" s="188"/>
      <c r="CA78" s="183"/>
      <c r="CB78" s="184"/>
      <c r="CC78" s="185"/>
      <c r="CD78" s="184"/>
      <c r="CE78" s="186"/>
      <c r="CF78" s="187"/>
      <c r="CG78" s="8"/>
      <c r="CH78" s="8"/>
      <c r="CI78" s="188"/>
      <c r="CJ78" s="183"/>
      <c r="CK78" s="184"/>
      <c r="CL78" s="185"/>
      <c r="CM78" s="184"/>
      <c r="CN78" s="186"/>
      <c r="CO78" s="187"/>
      <c r="CP78" s="8"/>
      <c r="CQ78" s="8"/>
      <c r="CR78" s="188"/>
      <c r="CS78" s="183"/>
      <c r="CT78" s="184"/>
      <c r="CU78" s="189"/>
      <c r="CV78" s="28"/>
      <c r="CW78" s="190"/>
      <c r="CX78" s="187"/>
      <c r="CY78" s="8"/>
      <c r="CZ78" s="8"/>
      <c r="DA78" s="188"/>
      <c r="DB78" s="183"/>
      <c r="DC78" s="184"/>
      <c r="DD78" s="185"/>
      <c r="DE78" s="184"/>
      <c r="DF78" s="186"/>
      <c r="DG78" s="187"/>
      <c r="DH78" s="8"/>
      <c r="DI78" s="8"/>
      <c r="DJ78" s="188"/>
      <c r="DK78" s="183"/>
      <c r="DL78" s="184"/>
      <c r="DM78" s="189"/>
      <c r="DN78" s="28"/>
      <c r="DO78" s="190"/>
      <c r="DP78" s="187"/>
      <c r="DQ78" s="8"/>
      <c r="DR78" s="8"/>
      <c r="DS78" s="188"/>
      <c r="DT78" s="183"/>
      <c r="DU78" s="184"/>
      <c r="DV78" s="185"/>
      <c r="DW78" s="184"/>
      <c r="DX78" s="186"/>
      <c r="DY78" s="187"/>
      <c r="DZ78" s="8"/>
      <c r="EA78" s="8"/>
      <c r="EB78" s="188"/>
      <c r="EC78" s="183"/>
      <c r="ED78" s="184"/>
      <c r="EE78" s="189"/>
      <c r="EF78" s="28"/>
      <c r="EG78" s="190"/>
      <c r="EH78" s="187"/>
      <c r="EI78" s="8"/>
      <c r="EJ78" s="8"/>
      <c r="EK78" s="188"/>
      <c r="EL78" s="183"/>
      <c r="EM78" s="184"/>
      <c r="EN78" s="189"/>
      <c r="EO78" s="28"/>
      <c r="EP78" s="190"/>
      <c r="EQ78" s="187"/>
      <c r="ER78" s="8"/>
      <c r="ES78" s="8"/>
      <c r="ET78" s="188"/>
      <c r="EU78" s="183"/>
      <c r="EV78" s="184"/>
      <c r="EW78" s="185"/>
      <c r="EX78" s="184"/>
      <c r="EY78" s="186"/>
      <c r="EZ78" s="187"/>
      <c r="FA78" s="8"/>
      <c r="FB78" s="8"/>
      <c r="FC78" s="188"/>
      <c r="FD78" s="183"/>
      <c r="FE78" s="184"/>
      <c r="FF78" s="185"/>
      <c r="FG78" s="184"/>
      <c r="FH78" s="186"/>
      <c r="FI78" s="187"/>
      <c r="FJ78" s="8"/>
      <c r="FK78" s="8"/>
      <c r="FL78" s="188"/>
      <c r="FM78" s="183"/>
      <c r="FN78" s="184"/>
      <c r="FO78" s="185"/>
      <c r="FP78" s="184"/>
      <c r="FQ78" s="186"/>
      <c r="FR78" s="187"/>
      <c r="FS78" s="8"/>
      <c r="FT78" s="8"/>
      <c r="FU78" s="188"/>
      <c r="FV78" s="183"/>
      <c r="FW78" s="184"/>
      <c r="FX78" s="185"/>
      <c r="FY78" s="184"/>
      <c r="FZ78" s="186"/>
      <c r="GA78" s="187"/>
      <c r="GB78" s="8"/>
      <c r="GC78" s="8"/>
      <c r="GD78" s="188"/>
      <c r="GE78" s="183"/>
      <c r="GF78" s="184"/>
      <c r="GG78" s="185"/>
      <c r="GH78" s="184"/>
      <c r="GI78" s="186"/>
      <c r="GJ78" s="187"/>
      <c r="GK78" s="8"/>
      <c r="GL78" s="8"/>
      <c r="GM78" s="188"/>
      <c r="GN78" s="183"/>
      <c r="GO78" s="184"/>
      <c r="GP78" s="185"/>
      <c r="GQ78" s="184"/>
      <c r="GR78" s="186"/>
      <c r="GS78" s="187"/>
      <c r="GT78" s="315"/>
      <c r="GU78" s="29"/>
      <c r="GV78" s="191"/>
      <c r="GW78" s="31"/>
      <c r="GX78" s="31"/>
      <c r="GY78" s="387"/>
      <c r="GZ78" s="33"/>
    </row>
    <row r="79" spans="1:208" x14ac:dyDescent="0.25">
      <c r="A79"/>
      <c r="D79" s="35"/>
      <c r="E79" s="36"/>
      <c r="F79" s="37"/>
      <c r="G79" s="38"/>
      <c r="H79" s="39"/>
      <c r="I79" s="40"/>
      <c r="J79" s="177"/>
      <c r="K79" s="452"/>
      <c r="P79" s="27"/>
      <c r="Q79" s="180"/>
      <c r="R79" s="180"/>
      <c r="S79" s="180"/>
      <c r="T79" s="39">
        <f t="shared" si="6"/>
        <v>0</v>
      </c>
      <c r="U79" s="181"/>
      <c r="V79" s="182"/>
      <c r="W79" s="30"/>
      <c r="X79" s="8"/>
      <c r="Y79" s="183"/>
      <c r="Z79" s="184"/>
      <c r="AA79" s="185"/>
      <c r="AB79" s="184"/>
      <c r="AC79" s="186"/>
      <c r="AD79" s="187"/>
      <c r="AE79" s="8"/>
      <c r="AF79" s="8"/>
      <c r="AG79" s="188"/>
      <c r="AH79" s="183"/>
      <c r="AI79" s="184"/>
      <c r="AJ79" s="185"/>
      <c r="AK79" s="28"/>
      <c r="AL79" s="186"/>
      <c r="AM79" s="187"/>
      <c r="AN79" s="8"/>
      <c r="AO79" s="8"/>
      <c r="AP79" s="188"/>
      <c r="AQ79" s="183"/>
      <c r="AR79" s="184"/>
      <c r="AS79" s="185"/>
      <c r="AT79" s="184"/>
      <c r="AU79" s="186"/>
      <c r="AV79" s="187"/>
      <c r="AW79" s="8"/>
      <c r="AX79" s="8"/>
      <c r="AY79" s="188"/>
      <c r="AZ79" s="183"/>
      <c r="BA79" s="184"/>
      <c r="BB79" s="185"/>
      <c r="BC79" s="28"/>
      <c r="BD79" s="186"/>
      <c r="BE79" s="187"/>
      <c r="BF79" s="8"/>
      <c r="BG79" s="8"/>
      <c r="BH79" s="188"/>
      <c r="BI79" s="183"/>
      <c r="BJ79" s="184"/>
      <c r="BK79" s="185"/>
      <c r="BL79" s="28"/>
      <c r="BM79" s="186"/>
      <c r="BN79" s="187"/>
      <c r="BO79" s="8"/>
      <c r="BP79" s="8"/>
      <c r="BQ79" s="188"/>
      <c r="BR79" s="183"/>
      <c r="BS79" s="184"/>
      <c r="BT79" s="185"/>
      <c r="BU79" s="184"/>
      <c r="BV79" s="186"/>
      <c r="BW79" s="187"/>
      <c r="BX79" s="8"/>
      <c r="BY79" s="8"/>
      <c r="BZ79" s="188"/>
      <c r="CA79" s="183"/>
      <c r="CB79" s="184"/>
      <c r="CC79" s="185"/>
      <c r="CD79" s="184"/>
      <c r="CE79" s="186"/>
      <c r="CF79" s="187"/>
      <c r="CG79" s="8"/>
      <c r="CH79" s="8"/>
      <c r="CI79" s="188"/>
      <c r="CJ79" s="183"/>
      <c r="CK79" s="184"/>
      <c r="CL79" s="185"/>
      <c r="CM79" s="184"/>
      <c r="CN79" s="186"/>
      <c r="CO79" s="187"/>
      <c r="CP79" s="8"/>
      <c r="CQ79" s="8"/>
      <c r="CR79" s="188"/>
      <c r="CS79" s="183"/>
      <c r="CT79" s="184"/>
      <c r="CU79" s="189"/>
      <c r="CV79" s="28"/>
      <c r="CW79" s="190"/>
      <c r="CX79" s="187"/>
      <c r="CY79" s="8"/>
      <c r="CZ79" s="8"/>
      <c r="DA79" s="188"/>
      <c r="DB79" s="183"/>
      <c r="DC79" s="184"/>
      <c r="DD79" s="185"/>
      <c r="DE79" s="184"/>
      <c r="DF79" s="186"/>
      <c r="DG79" s="187"/>
      <c r="DH79" s="8"/>
      <c r="DI79" s="8"/>
      <c r="DJ79" s="188"/>
      <c r="DK79" s="183"/>
      <c r="DL79" s="184"/>
      <c r="DM79" s="189"/>
      <c r="DN79" s="28"/>
      <c r="DO79" s="190"/>
      <c r="DP79" s="187"/>
      <c r="DQ79" s="8"/>
      <c r="DR79" s="8"/>
      <c r="DS79" s="188"/>
      <c r="DT79" s="183"/>
      <c r="DU79" s="184"/>
      <c r="DV79" s="185"/>
      <c r="DW79" s="184"/>
      <c r="DX79" s="186"/>
      <c r="DY79" s="187"/>
      <c r="DZ79" s="8"/>
      <c r="EA79" s="8"/>
      <c r="EB79" s="188"/>
      <c r="EC79" s="183"/>
      <c r="ED79" s="184"/>
      <c r="EE79" s="189"/>
      <c r="EF79" s="28"/>
      <c r="EG79" s="190"/>
      <c r="EH79" s="187"/>
      <c r="EI79" s="8"/>
      <c r="EJ79" s="8"/>
      <c r="EK79" s="188"/>
      <c r="EL79" s="183"/>
      <c r="EM79" s="184"/>
      <c r="EN79" s="189"/>
      <c r="EO79" s="28"/>
      <c r="EP79" s="190"/>
      <c r="EQ79" s="187"/>
      <c r="ER79" s="8"/>
      <c r="ES79" s="8"/>
      <c r="ET79" s="188"/>
      <c r="EU79" s="183"/>
      <c r="EV79" s="184"/>
      <c r="EW79" s="185"/>
      <c r="EX79" s="184"/>
      <c r="EY79" s="186"/>
      <c r="EZ79" s="187"/>
      <c r="FA79" s="8"/>
      <c r="FB79" s="8"/>
      <c r="FC79" s="188"/>
      <c r="FD79" s="183"/>
      <c r="FE79" s="184"/>
      <c r="FF79" s="185"/>
      <c r="FG79" s="184"/>
      <c r="FH79" s="186"/>
      <c r="FI79" s="187"/>
      <c r="FJ79" s="8"/>
      <c r="FK79" s="8"/>
      <c r="FL79" s="188"/>
      <c r="FM79" s="183"/>
      <c r="FN79" s="184"/>
      <c r="FO79" s="185"/>
      <c r="FP79" s="184"/>
      <c r="FQ79" s="186"/>
      <c r="FR79" s="187"/>
      <c r="FS79" s="8"/>
      <c r="FT79" s="8"/>
      <c r="FU79" s="188"/>
      <c r="FV79" s="183"/>
      <c r="FW79" s="184"/>
      <c r="FX79" s="185"/>
      <c r="FY79" s="184"/>
      <c r="FZ79" s="186"/>
      <c r="GA79" s="187"/>
      <c r="GB79" s="8"/>
      <c r="GC79" s="8"/>
      <c r="GD79" s="188"/>
      <c r="GE79" s="183"/>
      <c r="GF79" s="184"/>
      <c r="GG79" s="185"/>
      <c r="GH79" s="184"/>
      <c r="GI79" s="186"/>
      <c r="GJ79" s="187"/>
      <c r="GK79" s="8"/>
      <c r="GL79" s="8"/>
      <c r="GM79" s="188"/>
      <c r="GN79" s="183"/>
      <c r="GO79" s="184"/>
      <c r="GP79" s="185"/>
      <c r="GQ79" s="184"/>
      <c r="GR79" s="186"/>
      <c r="GS79" s="187"/>
      <c r="GT79" s="315"/>
      <c r="GU79" s="29"/>
      <c r="GV79" s="191"/>
      <c r="GW79" s="31"/>
      <c r="GX79" s="31"/>
      <c r="GY79" s="387"/>
      <c r="GZ79" s="33"/>
    </row>
    <row r="80" spans="1:208" ht="16.5" thickBot="1" x14ac:dyDescent="0.3">
      <c r="A80"/>
      <c r="D80" s="35"/>
      <c r="E80" s="36"/>
      <c r="F80" s="37"/>
      <c r="G80" s="38"/>
      <c r="H80" s="39"/>
      <c r="I80" s="40"/>
      <c r="J80" s="177"/>
      <c r="K80" s="452"/>
      <c r="O80" s="192"/>
      <c r="P80" s="27"/>
      <c r="Q80" s="180"/>
      <c r="R80" s="180"/>
      <c r="S80" s="180"/>
      <c r="T80" s="39">
        <f t="shared" si="6"/>
        <v>0</v>
      </c>
      <c r="U80" s="181"/>
      <c r="V80" s="182"/>
      <c r="W80" s="30"/>
      <c r="X80" s="8"/>
      <c r="Y80" s="183"/>
      <c r="Z80" s="184"/>
      <c r="AA80" s="185"/>
      <c r="AB80" s="184"/>
      <c r="AC80" s="186"/>
      <c r="AD80" s="187"/>
      <c r="AE80" s="8"/>
      <c r="AF80" s="8"/>
      <c r="AG80" s="188"/>
      <c r="AH80" s="183"/>
      <c r="AI80" s="184"/>
      <c r="AJ80" s="185"/>
      <c r="AK80" s="28"/>
      <c r="AL80" s="186"/>
      <c r="AM80" s="187"/>
      <c r="AN80" s="8"/>
      <c r="AO80" s="8"/>
      <c r="AP80" s="188"/>
      <c r="AQ80" s="183"/>
      <c r="AR80" s="184"/>
      <c r="AS80" s="185"/>
      <c r="AT80" s="184"/>
      <c r="AU80" s="186"/>
      <c r="AV80" s="187"/>
      <c r="AW80" s="8"/>
      <c r="AX80" s="8"/>
      <c r="AY80" s="188"/>
      <c r="AZ80" s="183"/>
      <c r="BA80" s="184"/>
      <c r="BB80" s="185"/>
      <c r="BC80" s="28"/>
      <c r="BD80" s="186"/>
      <c r="BE80" s="187"/>
      <c r="BF80" s="8"/>
      <c r="BG80" s="8"/>
      <c r="BH80" s="188"/>
      <c r="BI80" s="183"/>
      <c r="BJ80" s="184"/>
      <c r="BK80" s="185"/>
      <c r="BL80" s="28"/>
      <c r="BM80" s="186"/>
      <c r="BN80" s="187"/>
      <c r="BO80" s="8"/>
      <c r="BP80" s="8"/>
      <c r="BQ80" s="188"/>
      <c r="BR80" s="183"/>
      <c r="BS80" s="184"/>
      <c r="BT80" s="185"/>
      <c r="BU80" s="184"/>
      <c r="BV80" s="186"/>
      <c r="BW80" s="187"/>
      <c r="BX80" s="8"/>
      <c r="BY80" s="8"/>
      <c r="BZ80" s="188"/>
      <c r="CA80" s="183"/>
      <c r="CB80" s="184"/>
      <c r="CC80" s="185"/>
      <c r="CD80" s="184"/>
      <c r="CE80" s="186"/>
      <c r="CF80" s="187"/>
      <c r="CG80" s="8"/>
      <c r="CH80" s="8"/>
      <c r="CI80" s="188"/>
      <c r="CJ80" s="183"/>
      <c r="CK80" s="184"/>
      <c r="CL80" s="185"/>
      <c r="CM80" s="184"/>
      <c r="CN80" s="186"/>
      <c r="CO80" s="187"/>
      <c r="CP80" s="8"/>
      <c r="CQ80" s="8"/>
      <c r="CR80" s="188"/>
      <c r="CS80" s="183"/>
      <c r="CT80" s="184"/>
      <c r="CU80" s="189"/>
      <c r="CV80" s="28"/>
      <c r="CW80" s="190"/>
      <c r="CX80" s="187"/>
      <c r="CY80" s="8"/>
      <c r="CZ80" s="8"/>
      <c r="DA80" s="188"/>
      <c r="DB80" s="183"/>
      <c r="DC80" s="184"/>
      <c r="DD80" s="185"/>
      <c r="DE80" s="184"/>
      <c r="DF80" s="186"/>
      <c r="DG80" s="187"/>
      <c r="DH80" s="8"/>
      <c r="DI80" s="8"/>
      <c r="DJ80" s="188"/>
      <c r="DK80" s="183"/>
      <c r="DL80" s="184"/>
      <c r="DM80" s="189"/>
      <c r="DN80" s="28"/>
      <c r="DO80" s="190"/>
      <c r="DP80" s="187"/>
      <c r="DQ80" s="8"/>
      <c r="DR80" s="8"/>
      <c r="DS80" s="188"/>
      <c r="DT80" s="183"/>
      <c r="DU80" s="184"/>
      <c r="DV80" s="185"/>
      <c r="DW80" s="184"/>
      <c r="DX80" s="186"/>
      <c r="DY80" s="187"/>
      <c r="DZ80" s="8"/>
      <c r="EA80" s="8"/>
      <c r="EB80" s="188"/>
      <c r="EC80" s="183"/>
      <c r="ED80" s="184"/>
      <c r="EE80" s="189"/>
      <c r="EF80" s="28"/>
      <c r="EG80" s="190"/>
      <c r="EH80" s="187"/>
      <c r="EI80" s="8"/>
      <c r="EJ80" s="8"/>
      <c r="EK80" s="188"/>
      <c r="EL80" s="183"/>
      <c r="EM80" s="184"/>
      <c r="EN80" s="189"/>
      <c r="EO80" s="28"/>
      <c r="EP80" s="190"/>
      <c r="EQ80" s="187"/>
      <c r="ER80" s="8"/>
      <c r="ES80" s="8"/>
      <c r="ET80" s="188"/>
      <c r="EU80" s="183"/>
      <c r="EV80" s="184"/>
      <c r="EW80" s="185"/>
      <c r="EX80" s="184"/>
      <c r="EY80" s="186"/>
      <c r="EZ80" s="187"/>
      <c r="FA80" s="8"/>
      <c r="FB80" s="8"/>
      <c r="FC80" s="188"/>
      <c r="FD80" s="183"/>
      <c r="FE80" s="184"/>
      <c r="FF80" s="185"/>
      <c r="FG80" s="184"/>
      <c r="FH80" s="186"/>
      <c r="FI80" s="187"/>
      <c r="FJ80" s="8"/>
      <c r="FK80" s="8"/>
      <c r="FL80" s="188"/>
      <c r="FM80" s="183"/>
      <c r="FN80" s="184"/>
      <c r="FO80" s="185"/>
      <c r="FP80" s="184"/>
      <c r="FQ80" s="186"/>
      <c r="FR80" s="187"/>
      <c r="FS80" s="8"/>
      <c r="FT80" s="8"/>
      <c r="FU80" s="188"/>
      <c r="FV80" s="183"/>
      <c r="FW80" s="184"/>
      <c r="FX80" s="185"/>
      <c r="FY80" s="184"/>
      <c r="FZ80" s="186"/>
      <c r="GA80" s="187"/>
      <c r="GB80" s="8"/>
      <c r="GC80" s="8"/>
      <c r="GD80" s="188"/>
      <c r="GE80" s="183"/>
      <c r="GF80" s="184"/>
      <c r="GG80" s="185"/>
      <c r="GH80" s="184"/>
      <c r="GI80" s="186"/>
      <c r="GJ80" s="187"/>
      <c r="GK80" s="8"/>
      <c r="GL80" s="8"/>
      <c r="GM80" s="188"/>
      <c r="GN80" s="183"/>
      <c r="GO80" s="184"/>
      <c r="GP80" s="185"/>
      <c r="GQ80" s="184"/>
      <c r="GR80" s="186"/>
      <c r="GS80" s="187"/>
      <c r="GT80" s="315"/>
      <c r="GU80" s="29"/>
      <c r="GV80" s="191"/>
      <c r="GW80" s="31"/>
      <c r="GX80" s="31"/>
      <c r="GY80" s="387"/>
      <c r="GZ80" s="33"/>
    </row>
    <row r="81" spans="1:208" ht="20.25" thickTop="1" thickBot="1" x14ac:dyDescent="0.35">
      <c r="A81"/>
      <c r="D81" s="35"/>
      <c r="E81" s="36"/>
      <c r="F81" s="37"/>
      <c r="G81" s="38"/>
      <c r="H81" s="39"/>
      <c r="I81" s="40"/>
      <c r="J81" s="177"/>
      <c r="K81" s="452"/>
      <c r="M81" s="870" t="s">
        <v>28</v>
      </c>
      <c r="N81" s="871"/>
      <c r="O81" s="872">
        <f>SUM(O9:O80)</f>
        <v>899680.3</v>
      </c>
      <c r="P81" s="193"/>
      <c r="Q81" s="180"/>
      <c r="R81" s="194"/>
      <c r="S81" s="180"/>
      <c r="T81" s="39">
        <f t="shared" si="6"/>
        <v>0</v>
      </c>
      <c r="U81" s="181"/>
      <c r="V81" s="182"/>
      <c r="W81" s="30"/>
      <c r="X81" s="195"/>
      <c r="Y81" s="196"/>
      <c r="Z81" s="197"/>
      <c r="AA81" s="198"/>
      <c r="AB81" s="197"/>
      <c r="AC81" s="199"/>
      <c r="AD81" s="200"/>
      <c r="AE81" s="195"/>
      <c r="AF81" s="195"/>
      <c r="AG81" s="201"/>
      <c r="AH81" s="196"/>
      <c r="AI81" s="197"/>
      <c r="AJ81" s="198"/>
      <c r="AK81" s="202"/>
      <c r="AL81" s="199"/>
      <c r="AM81" s="200"/>
      <c r="AN81" s="195"/>
      <c r="AO81" s="195"/>
      <c r="AP81" s="201"/>
      <c r="AQ81" s="196"/>
      <c r="AR81" s="197"/>
      <c r="AS81" s="198"/>
      <c r="AT81" s="197"/>
      <c r="AU81" s="199"/>
      <c r="AV81" s="200"/>
      <c r="AW81" s="195"/>
      <c r="AX81" s="195"/>
      <c r="AY81" s="201"/>
      <c r="AZ81" s="196"/>
      <c r="BA81" s="197"/>
      <c r="BB81" s="198"/>
      <c r="BC81" s="202"/>
      <c r="BD81" s="199"/>
      <c r="BE81" s="200"/>
      <c r="BF81" s="195"/>
      <c r="BG81" s="195"/>
      <c r="BH81" s="201"/>
      <c r="BI81" s="196"/>
      <c r="BJ81" s="197"/>
      <c r="BK81" s="198"/>
      <c r="BL81" s="202"/>
      <c r="BM81" s="199"/>
      <c r="BN81" s="200"/>
      <c r="BO81" s="195"/>
      <c r="BP81" s="195"/>
      <c r="BQ81" s="201"/>
      <c r="BR81" s="196"/>
      <c r="BS81" s="197"/>
      <c r="BT81" s="198"/>
      <c r="BU81" s="197"/>
      <c r="BV81" s="199"/>
      <c r="BW81" s="200"/>
      <c r="BX81" s="195"/>
      <c r="BY81" s="195"/>
      <c r="BZ81" s="201"/>
      <c r="CA81" s="196"/>
      <c r="CB81" s="197"/>
      <c r="CC81" s="198"/>
      <c r="CD81" s="197"/>
      <c r="CE81" s="199"/>
      <c r="CF81" s="200"/>
      <c r="CG81" s="195"/>
      <c r="CH81" s="195"/>
      <c r="CI81" s="201"/>
      <c r="CJ81" s="196"/>
      <c r="CK81" s="197"/>
      <c r="CL81" s="198"/>
      <c r="CM81" s="197"/>
      <c r="CN81" s="199"/>
      <c r="CO81" s="200"/>
      <c r="CP81" s="195"/>
      <c r="CQ81" s="195"/>
      <c r="CR81" s="201"/>
      <c r="CS81" s="196"/>
      <c r="CT81" s="197"/>
      <c r="CU81" s="203"/>
      <c r="CV81" s="202"/>
      <c r="CW81" s="204"/>
      <c r="CX81" s="200"/>
      <c r="CY81" s="195"/>
      <c r="CZ81" s="195"/>
      <c r="DA81" s="201"/>
      <c r="DB81" s="196"/>
      <c r="DC81" s="197"/>
      <c r="DD81" s="198"/>
      <c r="DE81" s="197"/>
      <c r="DF81" s="199"/>
      <c r="DG81" s="200"/>
      <c r="DH81" s="195"/>
      <c r="DI81" s="195"/>
      <c r="DJ81" s="201"/>
      <c r="DK81" s="196"/>
      <c r="DL81" s="197"/>
      <c r="DM81" s="203"/>
      <c r="DN81" s="202"/>
      <c r="DO81" s="204"/>
      <c r="DP81" s="200"/>
      <c r="DQ81" s="195"/>
      <c r="DR81" s="195"/>
      <c r="DS81" s="201"/>
      <c r="DT81" s="196"/>
      <c r="DU81" s="197"/>
      <c r="DV81" s="198"/>
      <c r="DW81" s="197"/>
      <c r="DX81" s="199"/>
      <c r="DY81" s="200"/>
      <c r="DZ81" s="195"/>
      <c r="EA81" s="195"/>
      <c r="EB81" s="201"/>
      <c r="EC81" s="196"/>
      <c r="ED81" s="197"/>
      <c r="EE81" s="203"/>
      <c r="EF81" s="202"/>
      <c r="EG81" s="204"/>
      <c r="EH81" s="200"/>
      <c r="EI81" s="195"/>
      <c r="EJ81" s="195"/>
      <c r="EK81" s="201"/>
      <c r="EL81" s="196"/>
      <c r="EM81" s="197"/>
      <c r="EN81" s="203"/>
      <c r="EO81" s="202"/>
      <c r="EP81" s="204"/>
      <c r="EQ81" s="200"/>
      <c r="ER81" s="195"/>
      <c r="ES81" s="195"/>
      <c r="ET81" s="201"/>
      <c r="EU81" s="196"/>
      <c r="EV81" s="197"/>
      <c r="EW81" s="198"/>
      <c r="EX81" s="197"/>
      <c r="EY81" s="199"/>
      <c r="EZ81" s="200"/>
      <c r="FA81" s="195"/>
      <c r="FB81" s="195"/>
      <c r="FC81" s="201"/>
      <c r="FD81" s="196"/>
      <c r="FE81" s="197"/>
      <c r="FF81" s="198"/>
      <c r="FG81" s="197"/>
      <c r="FH81" s="199"/>
      <c r="FI81" s="200"/>
      <c r="FJ81" s="195"/>
      <c r="FK81" s="195"/>
      <c r="FL81" s="201"/>
      <c r="FM81" s="196"/>
      <c r="FN81" s="197"/>
      <c r="FO81" s="198"/>
      <c r="FP81" s="197"/>
      <c r="FQ81" s="199"/>
      <c r="FR81" s="200"/>
      <c r="FS81" s="195"/>
      <c r="FT81" s="195"/>
      <c r="FU81" s="201"/>
      <c r="FV81" s="196"/>
      <c r="FW81" s="197"/>
      <c r="FX81" s="198"/>
      <c r="FY81" s="197"/>
      <c r="FZ81" s="199"/>
      <c r="GA81" s="200"/>
      <c r="GB81" s="195"/>
      <c r="GC81" s="195"/>
      <c r="GD81" s="201"/>
      <c r="GE81" s="196"/>
      <c r="GF81" s="197"/>
      <c r="GG81" s="198"/>
      <c r="GH81" s="197"/>
      <c r="GI81" s="199"/>
      <c r="GJ81" s="200"/>
      <c r="GK81" s="195"/>
      <c r="GL81" s="195"/>
      <c r="GM81" s="201"/>
      <c r="GN81" s="196"/>
      <c r="GO81" s="197"/>
      <c r="GP81" s="198"/>
      <c r="GQ81" s="197"/>
      <c r="GR81" s="199"/>
      <c r="GS81" s="200"/>
      <c r="GT81" s="315"/>
      <c r="GU81" s="29"/>
      <c r="GV81" s="205"/>
      <c r="GY81" s="196"/>
      <c r="GZ81" s="33"/>
    </row>
    <row r="82" spans="1:208" ht="19.5" thickBot="1" x14ac:dyDescent="0.3">
      <c r="A82"/>
      <c r="D82" s="35"/>
      <c r="E82" s="36"/>
      <c r="F82" s="37"/>
      <c r="G82" s="38"/>
      <c r="H82" s="39"/>
      <c r="I82" s="40"/>
      <c r="J82" s="208"/>
      <c r="K82" s="452"/>
      <c r="O82" s="873"/>
      <c r="P82" s="193"/>
      <c r="Q82" s="180"/>
      <c r="R82" s="194"/>
      <c r="S82" s="180"/>
      <c r="T82" s="39">
        <f t="shared" si="6"/>
        <v>0</v>
      </c>
      <c r="U82" s="181"/>
      <c r="V82" s="182"/>
      <c r="W82" s="30"/>
      <c r="X82" s="195"/>
      <c r="Y82" s="196"/>
      <c r="Z82" s="197"/>
      <c r="AA82" s="198"/>
      <c r="AB82" s="197"/>
      <c r="AC82" s="199"/>
      <c r="AD82" s="200"/>
      <c r="AE82" s="195"/>
      <c r="AF82" s="195"/>
      <c r="AG82" s="201"/>
      <c r="AH82" s="196"/>
      <c r="AI82" s="197"/>
      <c r="AJ82" s="198"/>
      <c r="AK82" s="202"/>
      <c r="AL82" s="199"/>
      <c r="AM82" s="200"/>
      <c r="AN82" s="195"/>
      <c r="AO82" s="195"/>
      <c r="AP82" s="201"/>
      <c r="AQ82" s="196"/>
      <c r="AR82" s="197"/>
      <c r="AS82" s="198"/>
      <c r="AT82" s="197"/>
      <c r="AU82" s="199"/>
      <c r="AV82" s="200"/>
      <c r="AW82" s="195"/>
      <c r="AX82" s="195"/>
      <c r="AY82" s="201"/>
      <c r="AZ82" s="196"/>
      <c r="BA82" s="197"/>
      <c r="BB82" s="198"/>
      <c r="BC82" s="202"/>
      <c r="BD82" s="199"/>
      <c r="BE82" s="200"/>
      <c r="BF82" s="195"/>
      <c r="BG82" s="195"/>
      <c r="BH82" s="201"/>
      <c r="BI82" s="196"/>
      <c r="BJ82" s="197"/>
      <c r="BK82" s="198"/>
      <c r="BL82" s="202"/>
      <c r="BM82" s="199"/>
      <c r="BN82" s="200"/>
      <c r="BO82" s="195"/>
      <c r="BP82" s="195"/>
      <c r="BQ82" s="201"/>
      <c r="BR82" s="196"/>
      <c r="BS82" s="197"/>
      <c r="BT82" s="198"/>
      <c r="BU82" s="197"/>
      <c r="BV82" s="199"/>
      <c r="BW82" s="200"/>
      <c r="BX82" s="195"/>
      <c r="BY82" s="195"/>
      <c r="BZ82" s="201"/>
      <c r="CA82" s="196"/>
      <c r="CB82" s="197"/>
      <c r="CC82" s="198"/>
      <c r="CD82" s="197"/>
      <c r="CE82" s="199"/>
      <c r="CF82" s="200"/>
      <c r="CG82" s="195"/>
      <c r="CH82" s="195"/>
      <c r="CI82" s="201"/>
      <c r="CJ82" s="196"/>
      <c r="CK82" s="197"/>
      <c r="CL82" s="198"/>
      <c r="CM82" s="197"/>
      <c r="CN82" s="199"/>
      <c r="CO82" s="200"/>
      <c r="CP82" s="195"/>
      <c r="CQ82" s="195"/>
      <c r="CR82" s="201"/>
      <c r="CS82" s="196"/>
      <c r="CT82" s="197"/>
      <c r="CU82" s="203"/>
      <c r="CV82" s="202"/>
      <c r="CW82" s="204"/>
      <c r="CX82" s="200"/>
      <c r="CY82" s="195"/>
      <c r="CZ82" s="195"/>
      <c r="DA82" s="201"/>
      <c r="DB82" s="196"/>
      <c r="DC82" s="197"/>
      <c r="DD82" s="198"/>
      <c r="DE82" s="197"/>
      <c r="DF82" s="199"/>
      <c r="DG82" s="200"/>
      <c r="DH82" s="195"/>
      <c r="DI82" s="195"/>
      <c r="DJ82" s="201"/>
      <c r="DK82" s="196"/>
      <c r="DL82" s="197"/>
      <c r="DM82" s="203"/>
      <c r="DN82" s="202"/>
      <c r="DO82" s="204"/>
      <c r="DP82" s="200"/>
      <c r="DQ82" s="195"/>
      <c r="DR82" s="195"/>
      <c r="DS82" s="201"/>
      <c r="DT82" s="196"/>
      <c r="DU82" s="197"/>
      <c r="DV82" s="198"/>
      <c r="DW82" s="197"/>
      <c r="DX82" s="199"/>
      <c r="DY82" s="200"/>
      <c r="DZ82" s="195"/>
      <c r="EA82" s="195"/>
      <c r="EB82" s="201"/>
      <c r="EC82" s="196"/>
      <c r="ED82" s="197"/>
      <c r="EE82" s="203"/>
      <c r="EF82" s="202"/>
      <c r="EG82" s="204"/>
      <c r="EH82" s="200"/>
      <c r="EI82" s="195"/>
      <c r="EJ82" s="195"/>
      <c r="EK82" s="201"/>
      <c r="EL82" s="196"/>
      <c r="EM82" s="197"/>
      <c r="EN82" s="203"/>
      <c r="EO82" s="202"/>
      <c r="EP82" s="204"/>
      <c r="EQ82" s="200"/>
      <c r="ER82" s="195"/>
      <c r="ES82" s="195"/>
      <c r="ET82" s="201"/>
      <c r="EU82" s="196"/>
      <c r="EV82" s="197"/>
      <c r="EW82" s="198"/>
      <c r="EX82" s="197"/>
      <c r="EY82" s="199"/>
      <c r="EZ82" s="200"/>
      <c r="FA82" s="195"/>
      <c r="FB82" s="195"/>
      <c r="FC82" s="201"/>
      <c r="FD82" s="196"/>
      <c r="FE82" s="197"/>
      <c r="FF82" s="198"/>
      <c r="FG82" s="197"/>
      <c r="FH82" s="199"/>
      <c r="FI82" s="200"/>
      <c r="FJ82" s="195"/>
      <c r="FK82" s="195"/>
      <c r="FL82" s="201"/>
      <c r="FM82" s="196"/>
      <c r="FN82" s="197"/>
      <c r="FO82" s="198"/>
      <c r="FP82" s="197"/>
      <c r="FQ82" s="199"/>
      <c r="FR82" s="200"/>
      <c r="FS82" s="195"/>
      <c r="FT82" s="195"/>
      <c r="FU82" s="201"/>
      <c r="FV82" s="196"/>
      <c r="FW82" s="197"/>
      <c r="FX82" s="198"/>
      <c r="FY82" s="197"/>
      <c r="FZ82" s="199"/>
      <c r="GA82" s="200"/>
      <c r="GB82" s="195"/>
      <c r="GC82" s="195"/>
      <c r="GD82" s="201"/>
      <c r="GE82" s="196"/>
      <c r="GF82" s="197"/>
      <c r="GG82" s="198"/>
      <c r="GH82" s="197"/>
      <c r="GI82" s="199"/>
      <c r="GJ82" s="200"/>
      <c r="GK82" s="195"/>
      <c r="GL82" s="195"/>
      <c r="GM82" s="201"/>
      <c r="GN82" s="196"/>
      <c r="GO82" s="197"/>
      <c r="GP82" s="198"/>
      <c r="GQ82" s="197"/>
      <c r="GR82" s="199"/>
      <c r="GS82" s="200"/>
      <c r="GT82" s="315"/>
      <c r="GU82" s="29"/>
      <c r="GV82" s="205"/>
      <c r="GY82" s="196"/>
      <c r="GZ82" s="33"/>
    </row>
    <row r="83" spans="1:208" ht="16.5" thickTop="1" x14ac:dyDescent="0.25">
      <c r="A83"/>
      <c r="D83" s="35"/>
      <c r="E83" s="36"/>
      <c r="F83" s="37"/>
      <c r="G83" s="38"/>
      <c r="H83" s="39"/>
      <c r="I83" s="40"/>
      <c r="J83" s="177"/>
      <c r="K83" s="452"/>
      <c r="P83" s="27"/>
      <c r="Q83" s="180"/>
      <c r="R83" s="180"/>
      <c r="S83" s="180"/>
      <c r="T83" s="39">
        <f t="shared" si="6"/>
        <v>0</v>
      </c>
      <c r="U83" s="181"/>
      <c r="V83" s="182"/>
      <c r="W83" s="30"/>
      <c r="X83" s="195"/>
      <c r="Y83" s="196"/>
      <c r="Z83" s="197"/>
      <c r="AA83" s="198"/>
      <c r="AB83" s="197"/>
      <c r="AC83" s="199"/>
      <c r="AD83" s="200"/>
      <c r="AE83" s="195"/>
      <c r="AF83" s="195"/>
      <c r="AG83" s="201"/>
      <c r="AH83" s="196"/>
      <c r="AI83" s="197"/>
      <c r="AJ83" s="198"/>
      <c r="AK83" s="202"/>
      <c r="AL83" s="199"/>
      <c r="AM83" s="200"/>
      <c r="AN83" s="195"/>
      <c r="AO83" s="195"/>
      <c r="AP83" s="201"/>
      <c r="AQ83" s="196"/>
      <c r="AR83" s="197"/>
      <c r="AS83" s="198"/>
      <c r="AT83" s="197"/>
      <c r="AU83" s="199"/>
      <c r="AV83" s="200"/>
      <c r="AW83" s="195"/>
      <c r="AX83" s="195"/>
      <c r="AY83" s="201"/>
      <c r="AZ83" s="196"/>
      <c r="BA83" s="197"/>
      <c r="BB83" s="198"/>
      <c r="BC83" s="202"/>
      <c r="BD83" s="199"/>
      <c r="BE83" s="200"/>
      <c r="BF83" s="195"/>
      <c r="BG83" s="195"/>
      <c r="BH83" s="201"/>
      <c r="BI83" s="196"/>
      <c r="BJ83" s="197"/>
      <c r="BK83" s="198"/>
      <c r="BL83" s="202"/>
      <c r="BM83" s="199"/>
      <c r="BN83" s="200"/>
      <c r="BO83" s="195"/>
      <c r="BP83" s="195"/>
      <c r="BQ83" s="201"/>
      <c r="BR83" s="196"/>
      <c r="BS83" s="197"/>
      <c r="BT83" s="198"/>
      <c r="BU83" s="197"/>
      <c r="BV83" s="199"/>
      <c r="BW83" s="200"/>
      <c r="BX83" s="195"/>
      <c r="BY83" s="195"/>
      <c r="BZ83" s="201"/>
      <c r="CA83" s="196"/>
      <c r="CB83" s="197"/>
      <c r="CC83" s="198"/>
      <c r="CD83" s="197"/>
      <c r="CE83" s="199"/>
      <c r="CF83" s="200"/>
      <c r="CG83" s="195"/>
      <c r="CH83" s="195"/>
      <c r="CI83" s="201"/>
      <c r="CJ83" s="196"/>
      <c r="CK83" s="197"/>
      <c r="CL83" s="198"/>
      <c r="CM83" s="197"/>
      <c r="CN83" s="199"/>
      <c r="CO83" s="200"/>
      <c r="CP83" s="195"/>
      <c r="CQ83" s="195"/>
      <c r="CR83" s="201"/>
      <c r="CS83" s="196"/>
      <c r="CT83" s="197"/>
      <c r="CU83" s="203"/>
      <c r="CV83" s="202"/>
      <c r="CW83" s="204"/>
      <c r="CX83" s="200"/>
      <c r="CY83" s="195"/>
      <c r="CZ83" s="195"/>
      <c r="DA83" s="201"/>
      <c r="DB83" s="196"/>
      <c r="DC83" s="197"/>
      <c r="DD83" s="198"/>
      <c r="DE83" s="197"/>
      <c r="DF83" s="199"/>
      <c r="DG83" s="200"/>
      <c r="DH83" s="195"/>
      <c r="DI83" s="195"/>
      <c r="DJ83" s="201"/>
      <c r="DK83" s="196"/>
      <c r="DL83" s="197"/>
      <c r="DM83" s="203"/>
      <c r="DN83" s="202"/>
      <c r="DO83" s="204"/>
      <c r="DP83" s="200"/>
      <c r="DQ83" s="195"/>
      <c r="DR83" s="195"/>
      <c r="DS83" s="201"/>
      <c r="DT83" s="196"/>
      <c r="DU83" s="197"/>
      <c r="DV83" s="198"/>
      <c r="DW83" s="197"/>
      <c r="DX83" s="199"/>
      <c r="DY83" s="200"/>
      <c r="DZ83" s="195"/>
      <c r="EA83" s="195"/>
      <c r="EB83" s="201"/>
      <c r="EC83" s="196"/>
      <c r="ED83" s="197"/>
      <c r="EE83" s="203"/>
      <c r="EF83" s="202"/>
      <c r="EG83" s="204"/>
      <c r="EH83" s="200"/>
      <c r="EI83" s="195"/>
      <c r="EJ83" s="195"/>
      <c r="EK83" s="201"/>
      <c r="EL83" s="196"/>
      <c r="EM83" s="197"/>
      <c r="EN83" s="203"/>
      <c r="EO83" s="202"/>
      <c r="EP83" s="204"/>
      <c r="EQ83" s="200"/>
      <c r="ER83" s="195"/>
      <c r="ES83" s="195"/>
      <c r="ET83" s="201"/>
      <c r="EU83" s="196"/>
      <c r="EV83" s="197"/>
      <c r="EW83" s="198"/>
      <c r="EX83" s="197"/>
      <c r="EY83" s="199"/>
      <c r="EZ83" s="200"/>
      <c r="FA83" s="195"/>
      <c r="FB83" s="195"/>
      <c r="FC83" s="201"/>
      <c r="FD83" s="196"/>
      <c r="FE83" s="197"/>
      <c r="FF83" s="198"/>
      <c r="FG83" s="197"/>
      <c r="FH83" s="199"/>
      <c r="FI83" s="200"/>
      <c r="FJ83" s="195"/>
      <c r="FK83" s="195"/>
      <c r="FL83" s="201"/>
      <c r="FM83" s="196"/>
      <c r="FN83" s="197"/>
      <c r="FO83" s="198"/>
      <c r="FP83" s="197"/>
      <c r="FQ83" s="199"/>
      <c r="FR83" s="200"/>
      <c r="FS83" s="195"/>
      <c r="FT83" s="195"/>
      <c r="FU83" s="201"/>
      <c r="FV83" s="196"/>
      <c r="FW83" s="197"/>
      <c r="FX83" s="198"/>
      <c r="FY83" s="197"/>
      <c r="FZ83" s="199"/>
      <c r="GA83" s="200"/>
      <c r="GB83" s="195"/>
      <c r="GC83" s="195"/>
      <c r="GD83" s="201"/>
      <c r="GE83" s="196"/>
      <c r="GF83" s="197"/>
      <c r="GG83" s="198"/>
      <c r="GH83" s="197"/>
      <c r="GI83" s="199"/>
      <c r="GJ83" s="200"/>
      <c r="GK83" s="195"/>
      <c r="GL83" s="195"/>
      <c r="GM83" s="201"/>
      <c r="GN83" s="196"/>
      <c r="GO83" s="197"/>
      <c r="GP83" s="198"/>
      <c r="GQ83" s="197"/>
      <c r="GR83" s="199"/>
      <c r="GS83" s="200"/>
      <c r="GT83" s="315"/>
      <c r="GU83" s="29"/>
      <c r="GV83" s="205"/>
      <c r="GY83" s="196"/>
      <c r="GZ83" s="33"/>
    </row>
    <row r="84" spans="1:208" ht="16.5" thickBot="1" x14ac:dyDescent="0.3">
      <c r="A84"/>
      <c r="D84" s="35"/>
      <c r="E84" s="36"/>
      <c r="F84" s="37"/>
      <c r="G84" s="38"/>
      <c r="H84" s="39"/>
      <c r="I84" s="40"/>
      <c r="J84" s="177"/>
      <c r="K84" s="452"/>
      <c r="P84" s="27"/>
      <c r="Q84" s="209"/>
      <c r="T84" s="39">
        <f t="shared" si="6"/>
        <v>0</v>
      </c>
      <c r="U84" s="210"/>
      <c r="W84" s="30"/>
      <c r="X84" s="195"/>
      <c r="Y84" s="183"/>
      <c r="Z84" s="197"/>
      <c r="AA84" s="198"/>
      <c r="AB84" s="197"/>
      <c r="AC84" s="199"/>
      <c r="AD84" s="200"/>
      <c r="AE84" s="195"/>
      <c r="AF84" s="195"/>
      <c r="AG84" s="201"/>
      <c r="AH84" s="183"/>
      <c r="AI84" s="197"/>
      <c r="AJ84" s="198"/>
      <c r="AK84" s="202"/>
      <c r="AL84" s="199"/>
      <c r="AM84" s="200"/>
      <c r="AN84" s="195"/>
      <c r="AO84" s="195"/>
      <c r="AP84" s="201"/>
      <c r="AQ84" s="183"/>
      <c r="AR84" s="197"/>
      <c r="AS84" s="198"/>
      <c r="AT84" s="197"/>
      <c r="AU84" s="199"/>
      <c r="AV84" s="200"/>
      <c r="AW84" s="195"/>
      <c r="AX84" s="195"/>
      <c r="AY84" s="201"/>
      <c r="AZ84" s="183"/>
      <c r="BA84" s="197"/>
      <c r="BB84" s="198"/>
      <c r="BC84" s="202"/>
      <c r="BD84" s="199"/>
      <c r="BE84" s="200"/>
      <c r="BF84" s="195"/>
      <c r="BG84" s="195"/>
      <c r="BH84" s="201"/>
      <c r="BI84" s="183"/>
      <c r="BJ84" s="197"/>
      <c r="BK84" s="198"/>
      <c r="BL84" s="202"/>
      <c r="BM84" s="199"/>
      <c r="BN84" s="200"/>
      <c r="BO84" s="195"/>
      <c r="BP84" s="195"/>
      <c r="BQ84" s="201"/>
      <c r="BR84" s="183"/>
      <c r="BS84" s="197"/>
      <c r="BT84" s="198"/>
      <c r="BU84" s="197"/>
      <c r="BV84" s="199"/>
      <c r="BW84" s="200"/>
      <c r="BX84" s="195"/>
      <c r="BY84" s="195"/>
      <c r="BZ84" s="201"/>
      <c r="CA84" s="183"/>
      <c r="CB84" s="197"/>
      <c r="CC84" s="198"/>
      <c r="CD84" s="197"/>
      <c r="CE84" s="199"/>
      <c r="CF84" s="200"/>
      <c r="CG84" s="195"/>
      <c r="CH84" s="195"/>
      <c r="CI84" s="201"/>
      <c r="CJ84" s="183"/>
      <c r="CK84" s="197"/>
      <c r="CL84" s="198"/>
      <c r="CM84" s="197"/>
      <c r="CN84" s="199"/>
      <c r="CO84" s="200"/>
      <c r="CP84" s="195"/>
      <c r="CQ84" s="195"/>
      <c r="CR84" s="201"/>
      <c r="CS84" s="183"/>
      <c r="CT84" s="197"/>
      <c r="CU84" s="203"/>
      <c r="CV84" s="202"/>
      <c r="CW84" s="204"/>
      <c r="CX84" s="200"/>
      <c r="CY84" s="195"/>
      <c r="CZ84" s="195"/>
      <c r="DA84" s="201"/>
      <c r="DB84" s="183"/>
      <c r="DC84" s="197"/>
      <c r="DD84" s="198"/>
      <c r="DE84" s="197"/>
      <c r="DF84" s="199"/>
      <c r="DG84" s="200"/>
      <c r="DH84" s="195"/>
      <c r="DI84" s="195"/>
      <c r="DJ84" s="201"/>
      <c r="DK84" s="183"/>
      <c r="DL84" s="197"/>
      <c r="DM84" s="203"/>
      <c r="DN84" s="202"/>
      <c r="DO84" s="204"/>
      <c r="DP84" s="200"/>
      <c r="DQ84" s="195"/>
      <c r="DR84" s="195"/>
      <c r="DS84" s="201"/>
      <c r="DT84" s="183"/>
      <c r="DU84" s="197"/>
      <c r="DV84" s="198"/>
      <c r="DW84" s="197"/>
      <c r="DX84" s="199"/>
      <c r="DY84" s="200"/>
      <c r="DZ84" s="195"/>
      <c r="EA84" s="195"/>
      <c r="EB84" s="201"/>
      <c r="EC84" s="183"/>
      <c r="ED84" s="197"/>
      <c r="EE84" s="203"/>
      <c r="EF84" s="202"/>
      <c r="EG84" s="204"/>
      <c r="EH84" s="200"/>
      <c r="EI84" s="195"/>
      <c r="EJ84" s="195"/>
      <c r="EK84" s="201"/>
      <c r="EL84" s="183"/>
      <c r="EM84" s="197"/>
      <c r="EN84" s="203"/>
      <c r="EO84" s="202"/>
      <c r="EP84" s="204"/>
      <c r="EQ84" s="200"/>
      <c r="ER84" s="195"/>
      <c r="ES84" s="195"/>
      <c r="ET84" s="201"/>
      <c r="EU84" s="183"/>
      <c r="EV84" s="197"/>
      <c r="EW84" s="198"/>
      <c r="EX84" s="197"/>
      <c r="EY84" s="199"/>
      <c r="EZ84" s="200"/>
      <c r="FA84" s="195"/>
      <c r="FB84" s="195"/>
      <c r="FC84" s="201"/>
      <c r="FD84" s="183"/>
      <c r="FE84" s="197"/>
      <c r="FF84" s="198"/>
      <c r="FG84" s="197"/>
      <c r="FH84" s="199"/>
      <c r="FI84" s="200"/>
      <c r="FJ84" s="195"/>
      <c r="FK84" s="195"/>
      <c r="FL84" s="201"/>
      <c r="FM84" s="183"/>
      <c r="FN84" s="197"/>
      <c r="FO84" s="198"/>
      <c r="FP84" s="197"/>
      <c r="FQ84" s="199"/>
      <c r="FR84" s="200"/>
      <c r="FS84" s="195"/>
      <c r="FT84" s="195"/>
      <c r="FU84" s="201"/>
      <c r="FV84" s="183"/>
      <c r="FW84" s="197"/>
      <c r="FX84" s="198"/>
      <c r="FY84" s="197"/>
      <c r="FZ84" s="199"/>
      <c r="GA84" s="200"/>
      <c r="GB84" s="195"/>
      <c r="GC84" s="195"/>
      <c r="GD84" s="201"/>
      <c r="GE84" s="183"/>
      <c r="GF84" s="197"/>
      <c r="GG84" s="198"/>
      <c r="GH84" s="197"/>
      <c r="GI84" s="199"/>
      <c r="GJ84" s="200"/>
      <c r="GK84" s="195"/>
      <c r="GL84" s="195"/>
      <c r="GM84" s="201"/>
      <c r="GN84" s="183"/>
      <c r="GO84" s="197"/>
      <c r="GP84" s="198"/>
      <c r="GQ84" s="197"/>
      <c r="GR84" s="199"/>
      <c r="GS84" s="200"/>
      <c r="GT84" s="315"/>
      <c r="GU84" s="29"/>
      <c r="GV84" s="211"/>
      <c r="GY84" s="196"/>
      <c r="GZ84" s="33"/>
    </row>
    <row r="85" spans="1:208" ht="17.25" thickTop="1" thickBot="1" x14ac:dyDescent="0.3">
      <c r="A85"/>
      <c r="D85" s="35"/>
      <c r="E85" s="36"/>
      <c r="F85" s="37"/>
      <c r="G85" s="38"/>
      <c r="H85" s="39"/>
      <c r="I85" s="40"/>
      <c r="J85" s="177"/>
      <c r="M85" s="212"/>
      <c r="N85" s="213"/>
      <c r="O85" s="874" t="s">
        <v>29</v>
      </c>
      <c r="P85" s="875"/>
      <c r="Q85" s="875"/>
      <c r="R85" s="214">
        <f>SUM(R9:R84)</f>
        <v>0</v>
      </c>
      <c r="S85" s="215"/>
      <c r="T85" s="216">
        <f>SUM(T9:T84)</f>
        <v>25319004</v>
      </c>
      <c r="U85" s="217"/>
      <c r="W85" s="218">
        <f t="shared" ref="W85:CH85" si="7">SUM(W9:W84)</f>
        <v>626875.6</v>
      </c>
      <c r="X85" s="219">
        <f t="shared" si="7"/>
        <v>0</v>
      </c>
      <c r="Y85" s="219">
        <f t="shared" si="7"/>
        <v>0</v>
      </c>
      <c r="Z85" s="219">
        <f t="shared" si="7"/>
        <v>0</v>
      </c>
      <c r="AA85" s="219">
        <f t="shared" si="7"/>
        <v>0</v>
      </c>
      <c r="AB85" s="219">
        <f t="shared" si="7"/>
        <v>0</v>
      </c>
      <c r="AC85" s="219">
        <f t="shared" si="7"/>
        <v>0</v>
      </c>
      <c r="AD85" s="219">
        <f t="shared" si="7"/>
        <v>0</v>
      </c>
      <c r="AE85" s="219">
        <f t="shared" si="7"/>
        <v>0</v>
      </c>
      <c r="AF85" s="219">
        <f t="shared" si="7"/>
        <v>0</v>
      </c>
      <c r="AG85" s="219">
        <f t="shared" si="7"/>
        <v>0</v>
      </c>
      <c r="AH85" s="219">
        <f t="shared" si="7"/>
        <v>0</v>
      </c>
      <c r="AI85" s="219">
        <f t="shared" si="7"/>
        <v>0</v>
      </c>
      <c r="AJ85" s="219">
        <f t="shared" si="7"/>
        <v>0</v>
      </c>
      <c r="AK85" s="219">
        <f t="shared" si="7"/>
        <v>0</v>
      </c>
      <c r="AL85" s="219">
        <f t="shared" si="7"/>
        <v>0</v>
      </c>
      <c r="AM85" s="219">
        <f t="shared" si="7"/>
        <v>0</v>
      </c>
      <c r="AN85" s="219">
        <f t="shared" si="7"/>
        <v>0</v>
      </c>
      <c r="AO85" s="219">
        <f t="shared" si="7"/>
        <v>0</v>
      </c>
      <c r="AP85" s="219">
        <f t="shared" si="7"/>
        <v>0</v>
      </c>
      <c r="AQ85" s="219">
        <f t="shared" si="7"/>
        <v>0</v>
      </c>
      <c r="AR85" s="219">
        <f t="shared" si="7"/>
        <v>0</v>
      </c>
      <c r="AS85" s="219">
        <f t="shared" si="7"/>
        <v>0</v>
      </c>
      <c r="AT85" s="219">
        <f t="shared" si="7"/>
        <v>0</v>
      </c>
      <c r="AU85" s="219">
        <f t="shared" si="7"/>
        <v>0</v>
      </c>
      <c r="AV85" s="219">
        <f t="shared" si="7"/>
        <v>0</v>
      </c>
      <c r="AW85" s="219">
        <f t="shared" si="7"/>
        <v>0</v>
      </c>
      <c r="AX85" s="219">
        <f t="shared" si="7"/>
        <v>0</v>
      </c>
      <c r="AY85" s="219">
        <f t="shared" si="7"/>
        <v>0</v>
      </c>
      <c r="AZ85" s="219">
        <f t="shared" si="7"/>
        <v>0</v>
      </c>
      <c r="BA85" s="219">
        <f t="shared" si="7"/>
        <v>0</v>
      </c>
      <c r="BB85" s="219">
        <f t="shared" si="7"/>
        <v>0</v>
      </c>
      <c r="BC85" s="219">
        <f t="shared" si="7"/>
        <v>0</v>
      </c>
      <c r="BD85" s="219">
        <f t="shared" si="7"/>
        <v>0</v>
      </c>
      <c r="BE85" s="219">
        <f t="shared" si="7"/>
        <v>0</v>
      </c>
      <c r="BF85" s="219">
        <f t="shared" si="7"/>
        <v>0</v>
      </c>
      <c r="BG85" s="219">
        <f t="shared" si="7"/>
        <v>0</v>
      </c>
      <c r="BH85" s="219">
        <f t="shared" si="7"/>
        <v>0</v>
      </c>
      <c r="BI85" s="219">
        <f t="shared" si="7"/>
        <v>0</v>
      </c>
      <c r="BJ85" s="219">
        <f t="shared" si="7"/>
        <v>0</v>
      </c>
      <c r="BK85" s="219">
        <f t="shared" si="7"/>
        <v>0</v>
      </c>
      <c r="BL85" s="219">
        <f t="shared" si="7"/>
        <v>0</v>
      </c>
      <c r="BM85" s="219">
        <f t="shared" si="7"/>
        <v>0</v>
      </c>
      <c r="BN85" s="219">
        <f t="shared" si="7"/>
        <v>0</v>
      </c>
      <c r="BO85" s="219">
        <f t="shared" si="7"/>
        <v>0</v>
      </c>
      <c r="BP85" s="219">
        <f t="shared" si="7"/>
        <v>0</v>
      </c>
      <c r="BQ85" s="219">
        <f t="shared" si="7"/>
        <v>0</v>
      </c>
      <c r="BR85" s="219">
        <f t="shared" si="7"/>
        <v>0</v>
      </c>
      <c r="BS85" s="219">
        <f t="shared" si="7"/>
        <v>0</v>
      </c>
      <c r="BT85" s="219">
        <f t="shared" si="7"/>
        <v>0</v>
      </c>
      <c r="BU85" s="219">
        <f t="shared" si="7"/>
        <v>0</v>
      </c>
      <c r="BV85" s="219">
        <f t="shared" si="7"/>
        <v>0</v>
      </c>
      <c r="BW85" s="219">
        <f t="shared" si="7"/>
        <v>0</v>
      </c>
      <c r="BX85" s="219">
        <f t="shared" si="7"/>
        <v>0</v>
      </c>
      <c r="BY85" s="219">
        <f t="shared" si="7"/>
        <v>0</v>
      </c>
      <c r="BZ85" s="219">
        <f t="shared" si="7"/>
        <v>0</v>
      </c>
      <c r="CA85" s="219">
        <f t="shared" si="7"/>
        <v>0</v>
      </c>
      <c r="CB85" s="219">
        <f t="shared" si="7"/>
        <v>0</v>
      </c>
      <c r="CC85" s="219">
        <f t="shared" si="7"/>
        <v>0</v>
      </c>
      <c r="CD85" s="219">
        <f t="shared" si="7"/>
        <v>0</v>
      </c>
      <c r="CE85" s="219">
        <f t="shared" si="7"/>
        <v>0</v>
      </c>
      <c r="CF85" s="219">
        <f t="shared" si="7"/>
        <v>0</v>
      </c>
      <c r="CG85" s="219">
        <f t="shared" si="7"/>
        <v>0</v>
      </c>
      <c r="CH85" s="219">
        <f t="shared" si="7"/>
        <v>0</v>
      </c>
      <c r="CI85" s="219">
        <f t="shared" ref="CI85:ET85" si="8">SUM(CI9:CI84)</f>
        <v>0</v>
      </c>
      <c r="CJ85" s="219">
        <f t="shared" si="8"/>
        <v>0</v>
      </c>
      <c r="CK85" s="219">
        <f t="shared" si="8"/>
        <v>0</v>
      </c>
      <c r="CL85" s="219">
        <f t="shared" si="8"/>
        <v>0</v>
      </c>
      <c r="CM85" s="219">
        <f t="shared" si="8"/>
        <v>0</v>
      </c>
      <c r="CN85" s="219">
        <f t="shared" si="8"/>
        <v>0</v>
      </c>
      <c r="CO85" s="219">
        <f t="shared" si="8"/>
        <v>0</v>
      </c>
      <c r="CP85" s="219">
        <f t="shared" si="8"/>
        <v>0</v>
      </c>
      <c r="CQ85" s="219">
        <f t="shared" si="8"/>
        <v>0</v>
      </c>
      <c r="CR85" s="219">
        <f t="shared" si="8"/>
        <v>0</v>
      </c>
      <c r="CS85" s="219">
        <f t="shared" si="8"/>
        <v>0</v>
      </c>
      <c r="CT85" s="219">
        <f t="shared" si="8"/>
        <v>0</v>
      </c>
      <c r="CU85" s="219">
        <f t="shared" si="8"/>
        <v>0</v>
      </c>
      <c r="CV85" s="219">
        <f t="shared" si="8"/>
        <v>0</v>
      </c>
      <c r="CW85" s="219">
        <f t="shared" si="8"/>
        <v>0</v>
      </c>
      <c r="CX85" s="219">
        <f t="shared" si="8"/>
        <v>0</v>
      </c>
      <c r="CY85" s="219">
        <f t="shared" si="8"/>
        <v>0</v>
      </c>
      <c r="CZ85" s="219">
        <f t="shared" si="8"/>
        <v>0</v>
      </c>
      <c r="DA85" s="219">
        <f t="shared" si="8"/>
        <v>0</v>
      </c>
      <c r="DB85" s="219">
        <f t="shared" si="8"/>
        <v>0</v>
      </c>
      <c r="DC85" s="219">
        <f t="shared" si="8"/>
        <v>0</v>
      </c>
      <c r="DD85" s="219">
        <f t="shared" si="8"/>
        <v>0</v>
      </c>
      <c r="DE85" s="219">
        <f t="shared" si="8"/>
        <v>0</v>
      </c>
      <c r="DF85" s="219">
        <f t="shared" si="8"/>
        <v>0</v>
      </c>
      <c r="DG85" s="219">
        <f t="shared" si="8"/>
        <v>0</v>
      </c>
      <c r="DH85" s="219">
        <f t="shared" si="8"/>
        <v>0</v>
      </c>
      <c r="DI85" s="219">
        <f t="shared" si="8"/>
        <v>0</v>
      </c>
      <c r="DJ85" s="219">
        <f t="shared" si="8"/>
        <v>0</v>
      </c>
      <c r="DK85" s="219">
        <f t="shared" si="8"/>
        <v>0</v>
      </c>
      <c r="DL85" s="219">
        <f t="shared" si="8"/>
        <v>0</v>
      </c>
      <c r="DM85" s="219">
        <f t="shared" si="8"/>
        <v>0</v>
      </c>
      <c r="DN85" s="219">
        <f t="shared" si="8"/>
        <v>0</v>
      </c>
      <c r="DO85" s="219">
        <f t="shared" si="8"/>
        <v>0</v>
      </c>
      <c r="DP85" s="219">
        <f t="shared" si="8"/>
        <v>0</v>
      </c>
      <c r="DQ85" s="219">
        <f t="shared" si="8"/>
        <v>0</v>
      </c>
      <c r="DR85" s="219">
        <f t="shared" si="8"/>
        <v>0</v>
      </c>
      <c r="DS85" s="219">
        <f t="shared" si="8"/>
        <v>0</v>
      </c>
      <c r="DT85" s="219">
        <f t="shared" si="8"/>
        <v>0</v>
      </c>
      <c r="DU85" s="219">
        <f t="shared" si="8"/>
        <v>0</v>
      </c>
      <c r="DV85" s="219">
        <f t="shared" si="8"/>
        <v>0</v>
      </c>
      <c r="DW85" s="219">
        <f t="shared" si="8"/>
        <v>0</v>
      </c>
      <c r="DX85" s="219">
        <f t="shared" si="8"/>
        <v>0</v>
      </c>
      <c r="DY85" s="219">
        <f t="shared" si="8"/>
        <v>0</v>
      </c>
      <c r="DZ85" s="219">
        <f t="shared" si="8"/>
        <v>0</v>
      </c>
      <c r="EA85" s="219">
        <f t="shared" si="8"/>
        <v>0</v>
      </c>
      <c r="EB85" s="219">
        <f t="shared" si="8"/>
        <v>0</v>
      </c>
      <c r="EC85" s="219">
        <f t="shared" si="8"/>
        <v>0</v>
      </c>
      <c r="ED85" s="219">
        <f t="shared" si="8"/>
        <v>0</v>
      </c>
      <c r="EE85" s="219">
        <f t="shared" si="8"/>
        <v>0</v>
      </c>
      <c r="EF85" s="219">
        <f t="shared" si="8"/>
        <v>0</v>
      </c>
      <c r="EG85" s="219">
        <f t="shared" si="8"/>
        <v>0</v>
      </c>
      <c r="EH85" s="219">
        <f t="shared" si="8"/>
        <v>0</v>
      </c>
      <c r="EI85" s="219">
        <f t="shared" si="8"/>
        <v>0</v>
      </c>
      <c r="EJ85" s="219">
        <f t="shared" si="8"/>
        <v>0</v>
      </c>
      <c r="EK85" s="219">
        <f t="shared" si="8"/>
        <v>0</v>
      </c>
      <c r="EL85" s="219">
        <f t="shared" si="8"/>
        <v>0</v>
      </c>
      <c r="EM85" s="219">
        <f t="shared" si="8"/>
        <v>0</v>
      </c>
      <c r="EN85" s="219">
        <f t="shared" si="8"/>
        <v>0</v>
      </c>
      <c r="EO85" s="219">
        <f t="shared" si="8"/>
        <v>0</v>
      </c>
      <c r="EP85" s="219">
        <f t="shared" si="8"/>
        <v>0</v>
      </c>
      <c r="EQ85" s="219">
        <f t="shared" si="8"/>
        <v>0</v>
      </c>
      <c r="ER85" s="219">
        <f t="shared" si="8"/>
        <v>0</v>
      </c>
      <c r="ES85" s="219">
        <f t="shared" si="8"/>
        <v>0</v>
      </c>
      <c r="ET85" s="219">
        <f t="shared" si="8"/>
        <v>0</v>
      </c>
      <c r="EU85" s="219">
        <f t="shared" ref="EU85:GS85" si="9">SUM(EU9:EU84)</f>
        <v>0</v>
      </c>
      <c r="EV85" s="219">
        <f t="shared" si="9"/>
        <v>0</v>
      </c>
      <c r="EW85" s="219">
        <f t="shared" si="9"/>
        <v>0</v>
      </c>
      <c r="EX85" s="219">
        <f t="shared" si="9"/>
        <v>0</v>
      </c>
      <c r="EY85" s="219">
        <f t="shared" si="9"/>
        <v>0</v>
      </c>
      <c r="EZ85" s="219">
        <f t="shared" si="9"/>
        <v>0</v>
      </c>
      <c r="FA85" s="219">
        <f t="shared" si="9"/>
        <v>0</v>
      </c>
      <c r="FB85" s="219">
        <f t="shared" si="9"/>
        <v>0</v>
      </c>
      <c r="FC85" s="219">
        <f t="shared" si="9"/>
        <v>0</v>
      </c>
      <c r="FD85" s="219">
        <f t="shared" si="9"/>
        <v>0</v>
      </c>
      <c r="FE85" s="219">
        <f t="shared" si="9"/>
        <v>0</v>
      </c>
      <c r="FF85" s="219">
        <f t="shared" si="9"/>
        <v>0</v>
      </c>
      <c r="FG85" s="219">
        <f t="shared" si="9"/>
        <v>0</v>
      </c>
      <c r="FH85" s="219">
        <f t="shared" si="9"/>
        <v>0</v>
      </c>
      <c r="FI85" s="219">
        <f t="shared" si="9"/>
        <v>0</v>
      </c>
      <c r="FJ85" s="219">
        <f t="shared" si="9"/>
        <v>0</v>
      </c>
      <c r="FK85" s="219">
        <f t="shared" si="9"/>
        <v>0</v>
      </c>
      <c r="FL85" s="219">
        <f t="shared" si="9"/>
        <v>0</v>
      </c>
      <c r="FM85" s="219">
        <f t="shared" si="9"/>
        <v>0</v>
      </c>
      <c r="FN85" s="219">
        <f t="shared" si="9"/>
        <v>0</v>
      </c>
      <c r="FO85" s="219">
        <f t="shared" si="9"/>
        <v>0</v>
      </c>
      <c r="FP85" s="219">
        <f t="shared" si="9"/>
        <v>0</v>
      </c>
      <c r="FQ85" s="219">
        <f t="shared" si="9"/>
        <v>0</v>
      </c>
      <c r="FR85" s="219">
        <f t="shared" si="9"/>
        <v>0</v>
      </c>
      <c r="FS85" s="219">
        <f t="shared" si="9"/>
        <v>0</v>
      </c>
      <c r="FT85" s="219">
        <f t="shared" si="9"/>
        <v>0</v>
      </c>
      <c r="FU85" s="219">
        <f t="shared" si="9"/>
        <v>0</v>
      </c>
      <c r="FV85" s="219">
        <f t="shared" si="9"/>
        <v>0</v>
      </c>
      <c r="FW85" s="219">
        <f t="shared" si="9"/>
        <v>0</v>
      </c>
      <c r="FX85" s="219">
        <f t="shared" si="9"/>
        <v>0</v>
      </c>
      <c r="FY85" s="219">
        <f t="shared" si="9"/>
        <v>0</v>
      </c>
      <c r="FZ85" s="219">
        <f t="shared" si="9"/>
        <v>0</v>
      </c>
      <c r="GA85" s="219">
        <f t="shared" si="9"/>
        <v>0</v>
      </c>
      <c r="GB85" s="219">
        <f t="shared" si="9"/>
        <v>0</v>
      </c>
      <c r="GC85" s="219">
        <f t="shared" si="9"/>
        <v>0</v>
      </c>
      <c r="GD85" s="219">
        <f t="shared" si="9"/>
        <v>0</v>
      </c>
      <c r="GE85" s="219">
        <f t="shared" si="9"/>
        <v>0</v>
      </c>
      <c r="GF85" s="219">
        <f t="shared" si="9"/>
        <v>0</v>
      </c>
      <c r="GG85" s="219">
        <f t="shared" si="9"/>
        <v>0</v>
      </c>
      <c r="GH85" s="219">
        <f t="shared" si="9"/>
        <v>0</v>
      </c>
      <c r="GI85" s="219">
        <f t="shared" si="9"/>
        <v>0</v>
      </c>
      <c r="GJ85" s="219">
        <f t="shared" si="9"/>
        <v>0</v>
      </c>
      <c r="GK85" s="219">
        <f t="shared" si="9"/>
        <v>0</v>
      </c>
      <c r="GL85" s="219">
        <f t="shared" si="9"/>
        <v>0</v>
      </c>
      <c r="GM85" s="219">
        <f t="shared" si="9"/>
        <v>0</v>
      </c>
      <c r="GN85" s="219">
        <f t="shared" si="9"/>
        <v>0</v>
      </c>
      <c r="GO85" s="219">
        <f t="shared" si="9"/>
        <v>0</v>
      </c>
      <c r="GP85" s="219">
        <f t="shared" si="9"/>
        <v>0</v>
      </c>
      <c r="GQ85" s="219">
        <f t="shared" si="9"/>
        <v>0</v>
      </c>
      <c r="GR85" s="219">
        <f t="shared" si="9"/>
        <v>0</v>
      </c>
      <c r="GS85" s="219">
        <f t="shared" si="9"/>
        <v>0</v>
      </c>
      <c r="GT85" s="29"/>
      <c r="GU85" s="220">
        <f>SUM(GU9:GU84)</f>
        <v>0</v>
      </c>
      <c r="GV85" s="221"/>
      <c r="GW85" s="62"/>
      <c r="GX85" s="62"/>
      <c r="GY85" s="219"/>
      <c r="GZ85" s="223">
        <f>SUM(GZ9:GZ84)</f>
        <v>145928</v>
      </c>
    </row>
    <row r="86" spans="1:208" x14ac:dyDescent="0.25">
      <c r="D86" s="35"/>
      <c r="E86" s="36"/>
      <c r="F86" s="37"/>
      <c r="G86" s="38"/>
      <c r="H86" s="39"/>
      <c r="I86" s="40"/>
      <c r="J86" s="177"/>
      <c r="M86" s="212"/>
      <c r="N86" s="213"/>
      <c r="O86" s="224"/>
      <c r="P86" s="225"/>
      <c r="Q86" s="226"/>
      <c r="R86" s="226"/>
      <c r="S86" s="226"/>
      <c r="T86" s="39"/>
      <c r="U86" s="217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36"/>
      <c r="AK86" s="231"/>
      <c r="AL86" s="230"/>
      <c r="AM86" s="87"/>
      <c r="AP86" s="227"/>
      <c r="AQ86" s="228"/>
      <c r="AR86" s="229"/>
      <c r="AS86" s="36"/>
      <c r="AT86" s="229"/>
      <c r="AU86" s="230"/>
      <c r="AV86" s="87"/>
      <c r="AY86" s="227"/>
      <c r="AZ86" s="228"/>
      <c r="BA86" s="229"/>
      <c r="BB86" s="36"/>
      <c r="BC86" s="231"/>
      <c r="BD86" s="230"/>
      <c r="BE86" s="87"/>
      <c r="BH86" s="227"/>
      <c r="BI86" s="228"/>
      <c r="BJ86" s="229"/>
      <c r="BK86" s="36"/>
      <c r="BL86" s="231"/>
      <c r="BM86" s="230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/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/>
      <c r="DC86" s="229"/>
      <c r="DD86" s="36"/>
      <c r="DE86" s="229"/>
      <c r="DF86" s="230"/>
      <c r="DG86" s="87"/>
      <c r="DJ86" s="227"/>
      <c r="DK86" s="228"/>
      <c r="DL86" s="229"/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/>
      <c r="ED86" s="229"/>
      <c r="EE86" s="232"/>
      <c r="EF86" s="231"/>
      <c r="EG86" s="233"/>
      <c r="EH86" s="87"/>
      <c r="EK86" s="227"/>
      <c r="EL86" s="228"/>
      <c r="EM86" s="229"/>
      <c r="EN86" s="232"/>
      <c r="EO86" s="231"/>
      <c r="EP86" s="233"/>
      <c r="EQ86" s="87"/>
      <c r="ET86" s="227"/>
      <c r="EU86" s="228"/>
      <c r="EV86" s="229"/>
      <c r="EW86" s="36"/>
      <c r="EX86" s="229"/>
      <c r="EY86" s="230"/>
      <c r="EZ86" s="87"/>
      <c r="FC86" s="227"/>
      <c r="FD86" s="228"/>
      <c r="FE86" s="229"/>
      <c r="FF86" s="36"/>
      <c r="FG86" s="229"/>
      <c r="FH86" s="230"/>
      <c r="FI86" s="87"/>
      <c r="FL86" s="227"/>
      <c r="FM86" s="228"/>
      <c r="FN86" s="229"/>
      <c r="FO86" s="36"/>
      <c r="FP86" s="229"/>
      <c r="FQ86" s="230"/>
      <c r="FR86" s="87"/>
      <c r="FU86" s="227"/>
      <c r="FV86" s="228"/>
      <c r="FW86" s="229"/>
      <c r="FX86" s="36"/>
      <c r="FY86" s="229"/>
      <c r="FZ86" s="230"/>
      <c r="GA86" s="87"/>
      <c r="GD86" s="227"/>
      <c r="GE86" s="228"/>
      <c r="GF86" s="229"/>
      <c r="GG86" s="36"/>
      <c r="GH86" s="229"/>
      <c r="GI86" s="230"/>
      <c r="GJ86" s="87"/>
      <c r="GM86" s="227"/>
      <c r="GN86" s="228"/>
      <c r="GO86" s="229"/>
      <c r="GP86" s="36"/>
      <c r="GQ86" s="229"/>
      <c r="GR86" s="230"/>
      <c r="GS86" s="87"/>
      <c r="GT86" s="315"/>
      <c r="GU86"/>
      <c r="GW86" s="235"/>
      <c r="GX86" s="235"/>
      <c r="GY86" s="195"/>
      <c r="GZ86"/>
    </row>
    <row r="87" spans="1:208" ht="16.5" thickBot="1" x14ac:dyDescent="0.3">
      <c r="D87" s="35"/>
      <c r="E87" s="36"/>
      <c r="F87" s="37"/>
      <c r="G87" s="38"/>
      <c r="H87" s="39"/>
      <c r="I87" s="40"/>
      <c r="J87" s="177"/>
      <c r="M87" s="212"/>
      <c r="N87" s="213"/>
      <c r="O87" s="224"/>
      <c r="P87" s="225"/>
      <c r="Q87" s="226"/>
      <c r="R87" s="226"/>
      <c r="S87" s="226"/>
      <c r="T87" s="39"/>
      <c r="U87" s="217"/>
      <c r="X87" s="227"/>
      <c r="Y87" s="228"/>
      <c r="Z87" s="229"/>
      <c r="AA87" s="36"/>
      <c r="AB87" s="229"/>
      <c r="AC87" s="230"/>
      <c r="AD87" s="87"/>
      <c r="AG87" s="227"/>
      <c r="AH87" s="228"/>
      <c r="AI87" s="229"/>
      <c r="AJ87" s="36"/>
      <c r="AK87" s="231"/>
      <c r="AL87" s="230"/>
      <c r="AM87" s="87"/>
      <c r="AP87" s="227"/>
      <c r="AQ87" s="228"/>
      <c r="AR87" s="229"/>
      <c r="AS87" s="36"/>
      <c r="AT87" s="229"/>
      <c r="AU87" s="230"/>
      <c r="AV87" s="87"/>
      <c r="AY87" s="227"/>
      <c r="AZ87" s="228"/>
      <c r="BA87" s="229"/>
      <c r="BB87" s="36"/>
      <c r="BC87" s="231"/>
      <c r="BD87" s="230"/>
      <c r="BE87" s="87"/>
      <c r="BH87" s="227"/>
      <c r="BI87" s="228"/>
      <c r="BJ87" s="229"/>
      <c r="BK87" s="36"/>
      <c r="BL87" s="231"/>
      <c r="BM87" s="230"/>
      <c r="BN87" s="87"/>
      <c r="BQ87" s="227"/>
      <c r="BR87" s="228"/>
      <c r="BS87" s="229"/>
      <c r="BT87" s="36"/>
      <c r="BU87" s="229"/>
      <c r="BV87" s="230"/>
      <c r="BW87" s="87"/>
      <c r="BZ87" s="227"/>
      <c r="CA87" s="228"/>
      <c r="CB87" s="229"/>
      <c r="CC87" s="36"/>
      <c r="CD87" s="229"/>
      <c r="CE87" s="230"/>
      <c r="CF87" s="87"/>
      <c r="CI87" s="227"/>
      <c r="CJ87" s="228"/>
      <c r="CK87" s="229"/>
      <c r="CL87" s="36"/>
      <c r="CM87" s="229"/>
      <c r="CN87" s="230"/>
      <c r="CO87" s="87"/>
      <c r="CR87" s="227"/>
      <c r="CS87" s="228"/>
      <c r="CT87" s="229"/>
      <c r="CU87" s="232"/>
      <c r="CV87" s="231"/>
      <c r="CW87" s="233"/>
      <c r="CX87" s="87"/>
      <c r="DA87" s="227"/>
      <c r="DB87" s="228"/>
      <c r="DC87" s="229"/>
      <c r="DD87" s="36"/>
      <c r="DE87" s="229"/>
      <c r="DF87" s="230"/>
      <c r="DG87" s="87"/>
      <c r="DJ87" s="227"/>
      <c r="DK87" s="228"/>
      <c r="DL87" s="229"/>
      <c r="DM87" s="232"/>
      <c r="DN87" s="231"/>
      <c r="DO87" s="233"/>
      <c r="DP87" s="87"/>
      <c r="DS87" s="227"/>
      <c r="DT87" s="228"/>
      <c r="DU87" s="229"/>
      <c r="DV87" s="36"/>
      <c r="DW87" s="229"/>
      <c r="DX87" s="230"/>
      <c r="DY87" s="87"/>
      <c r="EB87" s="227"/>
      <c r="EC87" s="228"/>
      <c r="ED87" s="229"/>
      <c r="EE87" s="232"/>
      <c r="EF87" s="231"/>
      <c r="EG87" s="233"/>
      <c r="EH87" s="87"/>
      <c r="EK87" s="227"/>
      <c r="EL87" s="228"/>
      <c r="EM87" s="229"/>
      <c r="EN87" s="232"/>
      <c r="EO87" s="231"/>
      <c r="EP87" s="233"/>
      <c r="EQ87" s="87"/>
      <c r="ET87" s="227"/>
      <c r="EU87" s="228"/>
      <c r="EV87" s="229"/>
      <c r="EW87" s="36"/>
      <c r="EX87" s="229"/>
      <c r="EY87" s="230"/>
      <c r="EZ87" s="87"/>
      <c r="FC87" s="227"/>
      <c r="FD87" s="228"/>
      <c r="FE87" s="229"/>
      <c r="FF87" s="36"/>
      <c r="FG87" s="229"/>
      <c r="FH87" s="230"/>
      <c r="FI87" s="87"/>
      <c r="FL87" s="227"/>
      <c r="FM87" s="228"/>
      <c r="FN87" s="229"/>
      <c r="FO87" s="36"/>
      <c r="FP87" s="229"/>
      <c r="FQ87" s="230"/>
      <c r="FR87" s="87"/>
      <c r="FU87" s="227"/>
      <c r="FV87" s="228"/>
      <c r="FW87" s="229"/>
      <c r="FX87" s="36"/>
      <c r="FY87" s="229"/>
      <c r="FZ87" s="230"/>
      <c r="GA87" s="87"/>
      <c r="GD87" s="227"/>
      <c r="GE87" s="228"/>
      <c r="GF87" s="229"/>
      <c r="GG87" s="36"/>
      <c r="GH87" s="229"/>
      <c r="GI87" s="230"/>
      <c r="GJ87" s="87"/>
      <c r="GM87" s="227"/>
      <c r="GN87" s="228"/>
      <c r="GO87" s="229"/>
      <c r="GP87" s="36"/>
      <c r="GQ87" s="229"/>
      <c r="GR87" s="230"/>
      <c r="GS87" s="87"/>
      <c r="GT87" s="315"/>
      <c r="GU87"/>
      <c r="GW87" s="235"/>
      <c r="GX87" s="235"/>
      <c r="GY87" s="195"/>
      <c r="GZ87"/>
    </row>
    <row r="88" spans="1:208" ht="16.5" thickTop="1" x14ac:dyDescent="0.25">
      <c r="D88" s="35"/>
      <c r="E88" s="36"/>
      <c r="F88" s="37"/>
      <c r="G88" s="38"/>
      <c r="H88" s="39"/>
      <c r="I88" s="40"/>
      <c r="J88" s="177"/>
      <c r="M88" s="212"/>
      <c r="O88" s="876" t="s">
        <v>30</v>
      </c>
      <c r="P88" s="877"/>
      <c r="Q88" s="877"/>
      <c r="R88" s="237"/>
      <c r="S88" s="237"/>
      <c r="T88" s="880">
        <f>GZ85+GU85+W85+T85+R85</f>
        <v>26091807.600000001</v>
      </c>
      <c r="U88" s="881"/>
      <c r="X88" s="227"/>
      <c r="Y88" s="228"/>
      <c r="Z88" s="229"/>
      <c r="AA88" s="36"/>
      <c r="AB88" s="229"/>
      <c r="AC88" s="230"/>
      <c r="AD88" s="87"/>
      <c r="AG88" s="227"/>
      <c r="AH88" s="228"/>
      <c r="AI88" s="229"/>
      <c r="AJ88" s="36"/>
      <c r="AK88" s="231"/>
      <c r="AL88" s="230"/>
      <c r="AM88" s="87"/>
      <c r="AP88" s="227"/>
      <c r="AQ88" s="228"/>
      <c r="AR88" s="229"/>
      <c r="AS88" s="36"/>
      <c r="AT88" s="229"/>
      <c r="AU88" s="230"/>
      <c r="AV88" s="87"/>
      <c r="AY88" s="227"/>
      <c r="AZ88" s="228"/>
      <c r="BA88" s="229"/>
      <c r="BB88" s="36"/>
      <c r="BC88" s="231"/>
      <c r="BD88" s="230"/>
      <c r="BE88" s="87"/>
      <c r="BH88" s="227"/>
      <c r="BI88" s="228"/>
      <c r="BJ88" s="229"/>
      <c r="BK88" s="36"/>
      <c r="BL88" s="231"/>
      <c r="BM88" s="230"/>
      <c r="BN88" s="87"/>
      <c r="BQ88" s="227"/>
      <c r="BR88" s="228"/>
      <c r="BS88" s="229"/>
      <c r="BT88" s="36"/>
      <c r="BU88" s="229"/>
      <c r="BV88" s="230"/>
      <c r="BW88" s="87"/>
      <c r="BZ88" s="227"/>
      <c r="CA88" s="228"/>
      <c r="CB88" s="229"/>
      <c r="CC88" s="36"/>
      <c r="CD88" s="229"/>
      <c r="CE88" s="230"/>
      <c r="CF88" s="87"/>
      <c r="CI88" s="227"/>
      <c r="CJ88" s="228"/>
      <c r="CK88" s="229"/>
      <c r="CL88" s="36"/>
      <c r="CM88" s="229"/>
      <c r="CN88" s="230"/>
      <c r="CO88" s="87"/>
      <c r="CR88" s="227"/>
      <c r="CS88" s="228"/>
      <c r="CT88" s="229"/>
      <c r="CU88" s="232"/>
      <c r="CV88" s="231"/>
      <c r="CW88" s="233"/>
      <c r="CX88" s="87"/>
      <c r="DA88" s="227"/>
      <c r="DB88" s="228"/>
      <c r="DC88" s="229"/>
      <c r="DD88" s="36"/>
      <c r="DE88" s="229"/>
      <c r="DF88" s="230"/>
      <c r="DG88" s="87"/>
      <c r="DJ88" s="227"/>
      <c r="DK88" s="228"/>
      <c r="DL88" s="229"/>
      <c r="DM88" s="232"/>
      <c r="DN88" s="231"/>
      <c r="DO88" s="233"/>
      <c r="DP88" s="87"/>
      <c r="DS88" s="227"/>
      <c r="DT88" s="228"/>
      <c r="DU88" s="229"/>
      <c r="DV88" s="36"/>
      <c r="DW88" s="229"/>
      <c r="DX88" s="230"/>
      <c r="DY88" s="87"/>
      <c r="EB88" s="227"/>
      <c r="EC88" s="228"/>
      <c r="ED88" s="229"/>
      <c r="EE88" s="232"/>
      <c r="EF88" s="231"/>
      <c r="EG88" s="233"/>
      <c r="EH88" s="87"/>
      <c r="EK88" s="227"/>
      <c r="EL88" s="228"/>
      <c r="EM88" s="229"/>
      <c r="EN88" s="232"/>
      <c r="EO88" s="231"/>
      <c r="EP88" s="233"/>
      <c r="EQ88" s="87"/>
      <c r="ET88" s="227"/>
      <c r="EU88" s="228"/>
      <c r="EV88" s="229"/>
      <c r="EW88" s="36"/>
      <c r="EX88" s="229"/>
      <c r="EY88" s="230"/>
      <c r="EZ88" s="87"/>
      <c r="FC88" s="227"/>
      <c r="FD88" s="228"/>
      <c r="FE88" s="229"/>
      <c r="FF88" s="36"/>
      <c r="FG88" s="229"/>
      <c r="FH88" s="230"/>
      <c r="FI88" s="87"/>
      <c r="FL88" s="227"/>
      <c r="FM88" s="228"/>
      <c r="FN88" s="229"/>
      <c r="FO88" s="36"/>
      <c r="FP88" s="229"/>
      <c r="FQ88" s="230"/>
      <c r="FR88" s="87"/>
      <c r="FU88" s="227"/>
      <c r="FV88" s="228"/>
      <c r="FW88" s="229"/>
      <c r="FX88" s="36"/>
      <c r="FY88" s="229"/>
      <c r="FZ88" s="230"/>
      <c r="GA88" s="87"/>
      <c r="GD88" s="227"/>
      <c r="GE88" s="228"/>
      <c r="GF88" s="229"/>
      <c r="GG88" s="36"/>
      <c r="GH88" s="229"/>
      <c r="GI88" s="230"/>
      <c r="GJ88" s="87"/>
      <c r="GM88" s="227"/>
      <c r="GN88" s="228"/>
      <c r="GO88" s="229"/>
      <c r="GP88" s="36"/>
      <c r="GQ88" s="229"/>
      <c r="GR88" s="230"/>
      <c r="GS88" s="87"/>
      <c r="GT88" s="315"/>
      <c r="GU88"/>
      <c r="GW88" s="235"/>
      <c r="GX88" s="235"/>
      <c r="GY88" s="195"/>
      <c r="GZ88"/>
    </row>
    <row r="89" spans="1:208" ht="16.5" thickBot="1" x14ac:dyDescent="0.3">
      <c r="D89" s="35"/>
      <c r="E89" s="36"/>
      <c r="F89" s="37"/>
      <c r="G89" s="38"/>
      <c r="H89" s="39"/>
      <c r="I89" s="40"/>
      <c r="J89" s="238"/>
      <c r="M89" s="212"/>
      <c r="O89" s="878"/>
      <c r="P89" s="879"/>
      <c r="Q89" s="879"/>
      <c r="R89" s="239"/>
      <c r="S89" s="239"/>
      <c r="T89" s="882"/>
      <c r="U89" s="883"/>
      <c r="X89" s="227"/>
      <c r="Y89" s="228"/>
      <c r="Z89" s="229"/>
      <c r="AA89" s="36"/>
      <c r="AB89" s="229"/>
      <c r="AC89" s="230"/>
      <c r="AD89" s="87"/>
      <c r="AG89" s="227"/>
      <c r="AH89" s="228"/>
      <c r="AI89" s="229"/>
      <c r="AJ89" s="36"/>
      <c r="AK89" s="231"/>
      <c r="AL89" s="230"/>
      <c r="AM89" s="87"/>
      <c r="AP89" s="227"/>
      <c r="AQ89" s="228"/>
      <c r="AR89" s="229"/>
      <c r="AS89" s="36"/>
      <c r="AT89" s="229"/>
      <c r="AU89" s="230"/>
      <c r="AV89" s="87"/>
      <c r="AY89" s="227"/>
      <c r="AZ89" s="228"/>
      <c r="BA89" s="229"/>
      <c r="BB89" s="36"/>
      <c r="BC89" s="231"/>
      <c r="BD89" s="230"/>
      <c r="BE89" s="87"/>
      <c r="BH89" s="227"/>
      <c r="BI89" s="228"/>
      <c r="BJ89" s="229"/>
      <c r="BK89" s="36"/>
      <c r="BL89" s="231"/>
      <c r="BM89" s="230"/>
      <c r="BN89" s="87"/>
      <c r="BQ89" s="227"/>
      <c r="BR89" s="228"/>
      <c r="BS89" s="229"/>
      <c r="BT89" s="36"/>
      <c r="BU89" s="229"/>
      <c r="BV89" s="230"/>
      <c r="BW89" s="87"/>
      <c r="BZ89" s="227"/>
      <c r="CA89" s="228"/>
      <c r="CB89" s="229"/>
      <c r="CC89" s="36"/>
      <c r="CD89" s="229"/>
      <c r="CE89" s="230"/>
      <c r="CF89" s="87"/>
      <c r="CI89" s="227"/>
      <c r="CJ89" s="228"/>
      <c r="CK89" s="229"/>
      <c r="CL89" s="36"/>
      <c r="CM89" s="229"/>
      <c r="CN89" s="230"/>
      <c r="CO89" s="87"/>
      <c r="CR89" s="227"/>
      <c r="CS89" s="228"/>
      <c r="CT89" s="229"/>
      <c r="CU89" s="232"/>
      <c r="CV89" s="231"/>
      <c r="CW89" s="233"/>
      <c r="CX89" s="87"/>
      <c r="DA89" s="227"/>
      <c r="DB89" s="228"/>
      <c r="DC89" s="229"/>
      <c r="DD89" s="36"/>
      <c r="DE89" s="229"/>
      <c r="DF89" s="230"/>
      <c r="DG89" s="87"/>
      <c r="DJ89" s="227"/>
      <c r="DK89" s="228"/>
      <c r="DL89" s="229"/>
      <c r="DM89" s="232"/>
      <c r="DN89" s="231"/>
      <c r="DO89" s="233"/>
      <c r="DP89" s="87"/>
      <c r="DS89" s="227"/>
      <c r="DT89" s="228"/>
      <c r="DU89" s="229"/>
      <c r="DV89" s="36"/>
      <c r="DW89" s="229"/>
      <c r="DX89" s="230"/>
      <c r="DY89" s="87"/>
      <c r="EB89" s="227"/>
      <c r="EC89" s="228"/>
      <c r="ED89" s="229"/>
      <c r="EE89" s="232"/>
      <c r="EF89" s="231"/>
      <c r="EG89" s="233"/>
      <c r="EH89" s="87"/>
      <c r="EK89" s="227"/>
      <c r="EL89" s="228"/>
      <c r="EM89" s="229"/>
      <c r="EN89" s="232"/>
      <c r="EO89" s="231"/>
      <c r="EP89" s="233"/>
      <c r="EQ89" s="87"/>
      <c r="ET89" s="227"/>
      <c r="EU89" s="228"/>
      <c r="EV89" s="229"/>
      <c r="EW89" s="36"/>
      <c r="EX89" s="229"/>
      <c r="EY89" s="230"/>
      <c r="EZ89" s="87"/>
      <c r="FC89" s="227"/>
      <c r="FD89" s="228"/>
      <c r="FE89" s="229"/>
      <c r="FF89" s="36"/>
      <c r="FG89" s="229"/>
      <c r="FH89" s="230"/>
      <c r="FI89" s="87"/>
      <c r="FL89" s="227"/>
      <c r="FM89" s="228"/>
      <c r="FN89" s="229"/>
      <c r="FO89" s="36"/>
      <c r="FP89" s="229"/>
      <c r="FQ89" s="230"/>
      <c r="FR89" s="87"/>
      <c r="FU89" s="227"/>
      <c r="FV89" s="228"/>
      <c r="FW89" s="229"/>
      <c r="FX89" s="36"/>
      <c r="FY89" s="229"/>
      <c r="FZ89" s="230"/>
      <c r="GA89" s="87"/>
      <c r="GD89" s="227"/>
      <c r="GE89" s="228"/>
      <c r="GF89" s="229"/>
      <c r="GG89" s="36"/>
      <c r="GH89" s="229"/>
      <c r="GI89" s="230"/>
      <c r="GJ89" s="87"/>
      <c r="GM89" s="227"/>
      <c r="GN89" s="228"/>
      <c r="GO89" s="229"/>
      <c r="GP89" s="36"/>
      <c r="GQ89" s="229"/>
      <c r="GR89" s="230"/>
      <c r="GS89" s="87"/>
      <c r="GT89" s="315"/>
      <c r="GU89"/>
      <c r="GW89" s="235"/>
      <c r="GX89" s="235"/>
      <c r="GY89" s="195"/>
      <c r="GZ89"/>
    </row>
    <row r="90" spans="1:208" ht="16.5" thickTop="1" x14ac:dyDescent="0.25">
      <c r="D90" s="35"/>
      <c r="E90" s="36"/>
      <c r="F90" s="37"/>
      <c r="G90" s="38"/>
      <c r="H90" s="39"/>
      <c r="I90" s="40"/>
      <c r="J90" s="238"/>
      <c r="M90" s="212"/>
      <c r="O90" s="224"/>
      <c r="P90" s="225"/>
      <c r="Q90" s="226"/>
      <c r="R90" s="226"/>
      <c r="S90" s="226"/>
      <c r="T90" s="39"/>
      <c r="U90" s="217"/>
      <c r="X90" s="227"/>
      <c r="Y90" s="228"/>
      <c r="Z90" s="229"/>
      <c r="AA90" s="36"/>
      <c r="AB90" s="229"/>
      <c r="AC90" s="230"/>
      <c r="AD90" s="87"/>
      <c r="AG90" s="227"/>
      <c r="AH90" s="228"/>
      <c r="AI90" s="229"/>
      <c r="AJ90" s="36"/>
      <c r="AK90" s="231"/>
      <c r="AL90" s="230"/>
      <c r="AM90" s="87"/>
      <c r="AP90" s="227"/>
      <c r="AQ90" s="228"/>
      <c r="AR90" s="229"/>
      <c r="AS90" s="36"/>
      <c r="AT90" s="229"/>
      <c r="AU90" s="230"/>
      <c r="AV90" s="87"/>
      <c r="AY90" s="227"/>
      <c r="AZ90" s="228"/>
      <c r="BA90" s="229"/>
      <c r="BB90" s="36"/>
      <c r="BC90" s="231"/>
      <c r="BD90" s="230"/>
      <c r="BE90" s="87"/>
      <c r="BH90" s="227"/>
      <c r="BI90" s="228"/>
      <c r="BJ90" s="229"/>
      <c r="BK90" s="36"/>
      <c r="BL90" s="231"/>
      <c r="BM90" s="230"/>
      <c r="BN90" s="87"/>
      <c r="BQ90" s="227"/>
      <c r="BR90" s="228"/>
      <c r="BS90" s="229"/>
      <c r="BT90" s="36"/>
      <c r="BU90" s="229"/>
      <c r="BV90" s="230"/>
      <c r="BW90" s="87"/>
      <c r="BZ90" s="227"/>
      <c r="CA90" s="228"/>
      <c r="CB90" s="229"/>
      <c r="CC90" s="36"/>
      <c r="CD90" s="229"/>
      <c r="CE90" s="230"/>
      <c r="CF90" s="87"/>
      <c r="CI90" s="227"/>
      <c r="CJ90" s="228"/>
      <c r="CK90" s="229"/>
      <c r="CL90" s="36"/>
      <c r="CM90" s="229"/>
      <c r="CN90" s="230"/>
      <c r="CO90" s="87"/>
      <c r="CR90" s="227"/>
      <c r="CS90" s="228"/>
      <c r="CT90" s="229"/>
      <c r="CU90" s="232"/>
      <c r="CV90" s="231"/>
      <c r="CW90" s="233"/>
      <c r="CX90" s="87"/>
      <c r="DA90" s="227"/>
      <c r="DB90" s="228"/>
      <c r="DC90" s="229"/>
      <c r="DD90" s="36"/>
      <c r="DE90" s="229"/>
      <c r="DF90" s="230"/>
      <c r="DG90" s="87"/>
      <c r="DJ90" s="227"/>
      <c r="DK90" s="228"/>
      <c r="DL90" s="229"/>
      <c r="DM90" s="232"/>
      <c r="DN90" s="231"/>
      <c r="DO90" s="233"/>
      <c r="DP90" s="87"/>
      <c r="DS90" s="227"/>
      <c r="DT90" s="228"/>
      <c r="DU90" s="229"/>
      <c r="DV90" s="36"/>
      <c r="DW90" s="229"/>
      <c r="DX90" s="230"/>
      <c r="DY90" s="87"/>
      <c r="EB90" s="227"/>
      <c r="EC90" s="228"/>
      <c r="ED90" s="229"/>
      <c r="EE90" s="232"/>
      <c r="EF90" s="231"/>
      <c r="EG90" s="233"/>
      <c r="EH90" s="87"/>
      <c r="EK90" s="227"/>
      <c r="EL90" s="228"/>
      <c r="EM90" s="229"/>
      <c r="EN90" s="232"/>
      <c r="EO90" s="231"/>
      <c r="EP90" s="233"/>
      <c r="EQ90" s="87"/>
      <c r="ET90" s="227"/>
      <c r="EU90" s="228"/>
      <c r="EV90" s="229"/>
      <c r="EW90" s="36"/>
      <c r="EX90" s="229"/>
      <c r="EY90" s="230"/>
      <c r="EZ90" s="87"/>
      <c r="FC90" s="227"/>
      <c r="FD90" s="228"/>
      <c r="FE90" s="229"/>
      <c r="FF90" s="36"/>
      <c r="FG90" s="229"/>
      <c r="FH90" s="230"/>
      <c r="FI90" s="87"/>
      <c r="FL90" s="227"/>
      <c r="FM90" s="228"/>
      <c r="FN90" s="229"/>
      <c r="FO90" s="36"/>
      <c r="FP90" s="229"/>
      <c r="FQ90" s="230"/>
      <c r="FR90" s="87"/>
      <c r="FU90" s="227"/>
      <c r="FV90" s="228"/>
      <c r="FW90" s="229"/>
      <c r="FX90" s="36"/>
      <c r="FY90" s="229"/>
      <c r="FZ90" s="230"/>
      <c r="GA90" s="87"/>
      <c r="GD90" s="227"/>
      <c r="GE90" s="228"/>
      <c r="GF90" s="229"/>
      <c r="GG90" s="36"/>
      <c r="GH90" s="229"/>
      <c r="GI90" s="230"/>
      <c r="GJ90" s="87"/>
      <c r="GM90" s="227"/>
      <c r="GN90" s="228"/>
      <c r="GO90" s="229"/>
      <c r="GP90" s="36"/>
      <c r="GQ90" s="229"/>
      <c r="GR90" s="230"/>
      <c r="GS90" s="87"/>
      <c r="GT90" s="315"/>
      <c r="GU90"/>
      <c r="GW90" s="235"/>
      <c r="GX90" s="235"/>
      <c r="GY90" s="195"/>
      <c r="GZ90"/>
    </row>
    <row r="91" spans="1:208" x14ac:dyDescent="0.25">
      <c r="D91" s="35"/>
      <c r="E91" s="36"/>
      <c r="F91" s="37"/>
      <c r="G91" s="38"/>
      <c r="H91" s="39"/>
      <c r="I91" s="40"/>
      <c r="J91" s="177"/>
      <c r="M91" s="212"/>
      <c r="O91" s="224"/>
      <c r="P91" s="225"/>
      <c r="Q91" s="226"/>
      <c r="R91" s="226"/>
      <c r="S91" s="226"/>
      <c r="T91" s="39"/>
      <c r="U91" s="217"/>
      <c r="X91" s="227"/>
      <c r="Y91" s="228"/>
      <c r="Z91" s="229"/>
      <c r="AA91" s="36"/>
      <c r="AB91" s="229"/>
      <c r="AC91" s="230"/>
      <c r="AD91" s="87"/>
      <c r="AG91" s="227"/>
      <c r="AH91" s="228"/>
      <c r="AI91" s="229"/>
      <c r="AJ91" s="36"/>
      <c r="AK91" s="231"/>
      <c r="AL91" s="230"/>
      <c r="AM91" s="87"/>
      <c r="AP91" s="227"/>
      <c r="AQ91" s="228"/>
      <c r="AR91" s="229"/>
      <c r="AS91" s="36"/>
      <c r="AT91" s="229"/>
      <c r="AU91" s="230"/>
      <c r="AV91" s="87"/>
      <c r="AY91" s="227"/>
      <c r="AZ91" s="228"/>
      <c r="BA91" s="229"/>
      <c r="BB91" s="36"/>
      <c r="BC91" s="231"/>
      <c r="BD91" s="230"/>
      <c r="BE91" s="87"/>
      <c r="BH91" s="227"/>
      <c r="BI91" s="228"/>
      <c r="BJ91" s="229"/>
      <c r="BK91" s="36"/>
      <c r="BL91" s="231"/>
      <c r="BM91" s="230"/>
      <c r="BN91" s="87"/>
      <c r="BQ91" s="227"/>
      <c r="BR91" s="228"/>
      <c r="BS91" s="229"/>
      <c r="BT91" s="36"/>
      <c r="BU91" s="229"/>
      <c r="BV91" s="230"/>
      <c r="BW91" s="87"/>
      <c r="BZ91" s="227"/>
      <c r="CA91" s="228"/>
      <c r="CB91" s="229"/>
      <c r="CC91" s="36"/>
      <c r="CD91" s="229"/>
      <c r="CE91" s="230"/>
      <c r="CF91" s="87"/>
      <c r="CI91" s="227"/>
      <c r="CJ91" s="228"/>
      <c r="CK91" s="229"/>
      <c r="CL91" s="36"/>
      <c r="CM91" s="229"/>
      <c r="CN91" s="230"/>
      <c r="CO91" s="87"/>
      <c r="CR91" s="227"/>
      <c r="CS91" s="228"/>
      <c r="CT91" s="229"/>
      <c r="CU91" s="232"/>
      <c r="CV91" s="231"/>
      <c r="CW91" s="233"/>
      <c r="CX91" s="87"/>
      <c r="DA91" s="227"/>
      <c r="DB91" s="228"/>
      <c r="DC91" s="229"/>
      <c r="DD91" s="36"/>
      <c r="DE91" s="229"/>
      <c r="DF91" s="230"/>
      <c r="DG91" s="87"/>
      <c r="DJ91" s="227"/>
      <c r="DK91" s="228"/>
      <c r="DL91" s="229"/>
      <c r="DM91" s="232"/>
      <c r="DN91" s="231"/>
      <c r="DO91" s="233"/>
      <c r="DP91" s="87"/>
      <c r="DS91" s="227"/>
      <c r="DT91" s="228"/>
      <c r="DU91" s="229"/>
      <c r="DV91" s="36"/>
      <c r="DW91" s="229"/>
      <c r="DX91" s="230"/>
      <c r="DY91" s="87"/>
      <c r="EB91" s="227"/>
      <c r="EC91" s="228"/>
      <c r="ED91" s="229"/>
      <c r="EE91" s="232"/>
      <c r="EF91" s="231"/>
      <c r="EG91" s="233"/>
      <c r="EH91" s="87"/>
      <c r="EK91" s="227"/>
      <c r="EL91" s="228"/>
      <c r="EM91" s="229"/>
      <c r="EN91" s="232"/>
      <c r="EO91" s="231"/>
      <c r="EP91" s="233"/>
      <c r="EQ91" s="87"/>
      <c r="ET91" s="227"/>
      <c r="EU91" s="228"/>
      <c r="EV91" s="229"/>
      <c r="EW91" s="36"/>
      <c r="EX91" s="229"/>
      <c r="EY91" s="230"/>
      <c r="EZ91" s="87"/>
      <c r="FC91" s="227"/>
      <c r="FD91" s="228"/>
      <c r="FE91" s="229"/>
      <c r="FF91" s="36"/>
      <c r="FG91" s="229"/>
      <c r="FH91" s="230"/>
      <c r="FI91" s="87"/>
      <c r="FL91" s="227"/>
      <c r="FM91" s="228"/>
      <c r="FN91" s="229"/>
      <c r="FO91" s="36"/>
      <c r="FP91" s="229"/>
      <c r="FQ91" s="230"/>
      <c r="FR91" s="87"/>
      <c r="FU91" s="227"/>
      <c r="FV91" s="228"/>
      <c r="FW91" s="229"/>
      <c r="FX91" s="36"/>
      <c r="FY91" s="229"/>
      <c r="FZ91" s="230"/>
      <c r="GA91" s="87"/>
      <c r="GD91" s="227"/>
      <c r="GE91" s="228"/>
      <c r="GF91" s="229"/>
      <c r="GG91" s="36"/>
      <c r="GH91" s="229"/>
      <c r="GI91" s="230"/>
      <c r="GJ91" s="87"/>
      <c r="GM91" s="227"/>
      <c r="GN91" s="228"/>
      <c r="GO91" s="229"/>
      <c r="GP91" s="36"/>
      <c r="GQ91" s="229"/>
      <c r="GR91" s="230"/>
      <c r="GS91" s="87"/>
      <c r="GT91" s="315"/>
      <c r="GU91"/>
      <c r="GW91" s="235"/>
      <c r="GX91" s="235"/>
      <c r="GY91" s="236"/>
      <c r="GZ91"/>
    </row>
    <row r="92" spans="1:208" x14ac:dyDescent="0.25">
      <c r="A92" s="1">
        <v>25</v>
      </c>
      <c r="B92" t="e">
        <f>#REF!</f>
        <v>#REF!</v>
      </c>
      <c r="C92" t="e">
        <f>#REF!</f>
        <v>#REF!</v>
      </c>
      <c r="D92" s="35" t="e">
        <f>#REF!</f>
        <v>#REF!</v>
      </c>
      <c r="E92" s="36" t="e">
        <f>#REF!</f>
        <v>#REF!</v>
      </c>
      <c r="F92" s="37" t="e">
        <f>#REF!</f>
        <v>#REF!</v>
      </c>
      <c r="G92" s="38" t="e">
        <f>#REF!</f>
        <v>#REF!</v>
      </c>
      <c r="H92" s="39" t="e">
        <f>#REF!</f>
        <v>#REF!</v>
      </c>
      <c r="I92" s="40" t="e">
        <f>#REF!</f>
        <v>#REF!</v>
      </c>
      <c r="J92" s="177"/>
      <c r="M92" s="212"/>
      <c r="O92" s="224"/>
      <c r="P92" s="240"/>
      <c r="Q92" s="226"/>
      <c r="R92" s="226"/>
      <c r="S92" s="226"/>
      <c r="T92" s="39"/>
      <c r="U92" s="241"/>
      <c r="X92" s="227"/>
      <c r="Y92" s="228"/>
      <c r="Z92" s="229"/>
      <c r="AA92" s="198"/>
      <c r="AB92" s="197"/>
      <c r="AC92" s="199"/>
      <c r="AD92" s="200"/>
      <c r="AG92" s="227"/>
      <c r="AH92" s="228"/>
      <c r="AI92" s="229"/>
      <c r="AJ92" s="232"/>
      <c r="AK92" s="231"/>
      <c r="AL92" s="233"/>
      <c r="AM92" s="87"/>
      <c r="AP92" s="227"/>
      <c r="AQ92" s="228">
        <v>21</v>
      </c>
      <c r="AR92" s="229"/>
      <c r="AS92" s="232"/>
      <c r="AT92" s="229"/>
      <c r="AU92" s="233"/>
      <c r="AV92" s="87"/>
      <c r="AY92" s="227"/>
      <c r="AZ92" s="228">
        <v>21</v>
      </c>
      <c r="BA92" s="229"/>
      <c r="BB92" s="232"/>
      <c r="BC92" s="231"/>
      <c r="BD92" s="233"/>
      <c r="BE92" s="87"/>
      <c r="BH92" s="227"/>
      <c r="BI92" s="228"/>
      <c r="BJ92" s="229"/>
      <c r="BK92" s="232"/>
      <c r="BL92" s="231"/>
      <c r="BM92" s="233"/>
      <c r="BN92" s="87"/>
      <c r="BQ92" s="227"/>
      <c r="BR92" s="228"/>
      <c r="BS92" s="229"/>
      <c r="BT92" s="36"/>
      <c r="BU92" s="229"/>
      <c r="BV92" s="230"/>
      <c r="BW92" s="87"/>
      <c r="BZ92" s="227"/>
      <c r="CA92" s="228"/>
      <c r="CB92" s="229"/>
      <c r="CC92" s="36"/>
      <c r="CD92" s="229"/>
      <c r="CE92" s="230"/>
      <c r="CF92" s="87"/>
      <c r="CI92" s="227"/>
      <c r="CJ92" s="228">
        <v>21</v>
      </c>
      <c r="CK92" s="229"/>
      <c r="CL92" s="36"/>
      <c r="CM92" s="229"/>
      <c r="CN92" s="230"/>
      <c r="CO92" s="87"/>
      <c r="CR92" s="227"/>
      <c r="CS92" s="228"/>
      <c r="CT92" s="229"/>
      <c r="CU92" s="232"/>
      <c r="CV92" s="231"/>
      <c r="CW92" s="233"/>
      <c r="CX92" s="87"/>
      <c r="DA92" s="227"/>
      <c r="DB92" s="228">
        <v>21</v>
      </c>
      <c r="DC92" s="229"/>
      <c r="DD92" s="36"/>
      <c r="DE92" s="229"/>
      <c r="DF92" s="230"/>
      <c r="DG92" s="87"/>
      <c r="DJ92" s="227"/>
      <c r="DK92" s="228"/>
      <c r="DL92" s="229"/>
      <c r="DM92" s="232"/>
      <c r="DN92" s="231"/>
      <c r="DO92" s="233"/>
      <c r="DP92" s="87"/>
      <c r="DS92" s="227"/>
      <c r="DT92" s="228"/>
      <c r="DU92" s="229"/>
      <c r="DV92" s="36"/>
      <c r="DW92" s="229"/>
      <c r="DX92" s="230"/>
      <c r="DY92" s="87"/>
      <c r="EB92" s="227"/>
      <c r="EC92" s="228">
        <v>21</v>
      </c>
      <c r="ED92" s="229"/>
      <c r="EE92" s="232"/>
      <c r="EF92" s="231"/>
      <c r="EG92" s="233"/>
      <c r="EH92" s="87"/>
      <c r="EK92" s="227"/>
      <c r="EL92" s="228">
        <v>21</v>
      </c>
      <c r="EM92" s="229"/>
      <c r="EN92" s="232"/>
      <c r="EO92" s="231"/>
      <c r="EP92" s="233"/>
      <c r="EQ92" s="87"/>
      <c r="ET92" s="227"/>
      <c r="EU92" s="228">
        <v>21</v>
      </c>
      <c r="EV92" s="229"/>
      <c r="EW92" s="36"/>
      <c r="EX92" s="229"/>
      <c r="EY92" s="230"/>
      <c r="EZ92" s="87"/>
      <c r="FC92" s="227"/>
      <c r="FD92" s="228">
        <v>21</v>
      </c>
      <c r="FE92" s="229"/>
      <c r="FF92" s="36"/>
      <c r="FG92" s="229"/>
      <c r="FH92" s="230"/>
      <c r="FI92" s="87"/>
      <c r="FL92" s="227"/>
      <c r="FM92" s="228">
        <v>21</v>
      </c>
      <c r="FN92" s="229"/>
      <c r="FO92" s="36"/>
      <c r="FP92" s="229"/>
      <c r="FQ92" s="230"/>
      <c r="FR92" s="87"/>
      <c r="FU92" s="227"/>
      <c r="FV92" s="228">
        <v>21</v>
      </c>
      <c r="FW92" s="229"/>
      <c r="FX92" s="36"/>
      <c r="FY92" s="229"/>
      <c r="FZ92" s="230"/>
      <c r="GA92" s="87"/>
      <c r="GD92" s="227"/>
      <c r="GE92" s="228">
        <v>21</v>
      </c>
      <c r="GF92" s="229"/>
      <c r="GG92" s="36"/>
      <c r="GH92" s="229"/>
      <c r="GI92" s="230"/>
      <c r="GJ92" s="87"/>
      <c r="GM92" s="227"/>
      <c r="GN92" s="228">
        <v>21</v>
      </c>
      <c r="GO92" s="229"/>
      <c r="GP92" s="36"/>
      <c r="GQ92" s="229"/>
      <c r="GR92" s="230"/>
      <c r="GS92" s="87"/>
      <c r="GT92" s="315"/>
      <c r="GU92"/>
      <c r="GW92" s="235"/>
      <c r="GX92" s="235"/>
      <c r="GY92" s="236"/>
      <c r="GZ92"/>
    </row>
    <row r="93" spans="1:208" x14ac:dyDescent="0.25">
      <c r="A93" s="1">
        <v>26</v>
      </c>
      <c r="B93" t="e">
        <f>#REF!</f>
        <v>#REF!</v>
      </c>
      <c r="C93" t="e">
        <f>#REF!</f>
        <v>#REF!</v>
      </c>
      <c r="D93" s="35" t="e">
        <f>#REF!</f>
        <v>#REF!</v>
      </c>
      <c r="E93" s="36" t="e">
        <f>#REF!</f>
        <v>#REF!</v>
      </c>
      <c r="F93" s="37" t="e">
        <f>#REF!</f>
        <v>#REF!</v>
      </c>
      <c r="G93" s="38" t="e">
        <f>#REF!</f>
        <v>#REF!</v>
      </c>
      <c r="H93" s="39" t="e">
        <f>#REF!</f>
        <v>#REF!</v>
      </c>
      <c r="I93" s="40" t="e">
        <f>#REF!</f>
        <v>#REF!</v>
      </c>
      <c r="J93" s="238"/>
      <c r="M93" s="212"/>
      <c r="T93" s="39"/>
      <c r="U93" s="242"/>
      <c r="X93" s="227"/>
      <c r="Y93" s="228"/>
      <c r="Z93" s="229"/>
      <c r="AA93" s="36"/>
      <c r="AB93" s="229"/>
      <c r="AC93" s="230"/>
      <c r="AD93" s="87"/>
      <c r="AG93" s="227"/>
      <c r="AH93" s="228"/>
      <c r="AI93" s="229"/>
      <c r="AJ93" s="232"/>
      <c r="AK93" s="231"/>
      <c r="AL93" s="233"/>
      <c r="AM93" s="87"/>
      <c r="AP93" s="227"/>
      <c r="AQ93" s="228">
        <v>22</v>
      </c>
      <c r="AR93" s="231"/>
      <c r="AS93" s="232"/>
      <c r="AT93" s="229"/>
      <c r="AU93" s="233"/>
      <c r="AV93" s="87"/>
      <c r="AY93" s="227"/>
      <c r="AZ93" s="228">
        <v>22</v>
      </c>
      <c r="BA93" s="229"/>
      <c r="BB93" s="232"/>
      <c r="BC93" s="231"/>
      <c r="BD93" s="233"/>
      <c r="BE93" s="87"/>
      <c r="BH93" s="227"/>
      <c r="BI93" s="228"/>
      <c r="BJ93" s="229"/>
      <c r="BK93" s="232"/>
      <c r="BL93" s="231"/>
      <c r="BM93" s="233"/>
      <c r="BN93" s="87"/>
      <c r="BQ93" s="227"/>
      <c r="BR93" s="228"/>
      <c r="BS93" s="229"/>
      <c r="BT93" s="36"/>
      <c r="BU93" s="229"/>
      <c r="BV93" s="230"/>
      <c r="BW93" s="87"/>
      <c r="BZ93" s="227"/>
      <c r="CA93" s="228"/>
      <c r="CB93" s="229"/>
      <c r="CC93" s="36"/>
      <c r="CD93" s="229"/>
      <c r="CE93" s="230"/>
      <c r="CF93" s="87"/>
      <c r="CI93" s="227"/>
      <c r="CJ93" s="228">
        <v>22</v>
      </c>
      <c r="CK93" s="229"/>
      <c r="CL93" s="36"/>
      <c r="CM93" s="229"/>
      <c r="CN93" s="230"/>
      <c r="CO93" s="87"/>
      <c r="CR93" s="227"/>
      <c r="CS93" s="228"/>
      <c r="CT93" s="229"/>
      <c r="CU93" s="232"/>
      <c r="CV93" s="231"/>
      <c r="CW93" s="233"/>
      <c r="CX93" s="87"/>
      <c r="DA93" s="227"/>
      <c r="DB93" s="228">
        <v>22</v>
      </c>
      <c r="DC93" s="229"/>
      <c r="DD93" s="232"/>
      <c r="DE93" s="231"/>
      <c r="DF93" s="233"/>
      <c r="DG93" s="87"/>
      <c r="DJ93" s="227"/>
      <c r="DK93" s="228"/>
      <c r="DL93" s="229">
        <v>0</v>
      </c>
      <c r="DM93" s="232"/>
      <c r="DN93" s="231"/>
      <c r="DO93" s="233"/>
      <c r="DP93" s="87"/>
      <c r="DS93" s="227"/>
      <c r="DT93" s="228"/>
      <c r="DU93" s="229"/>
      <c r="DV93" s="36"/>
      <c r="DW93" s="229"/>
      <c r="DX93" s="230"/>
      <c r="DY93" s="87"/>
      <c r="EB93" s="227"/>
      <c r="EC93" s="228">
        <v>22</v>
      </c>
      <c r="ED93" s="229"/>
      <c r="EE93" s="232"/>
      <c r="EF93" s="231"/>
      <c r="EG93" s="233"/>
      <c r="EH93" s="87"/>
      <c r="EK93" s="227"/>
      <c r="EL93" s="228">
        <v>22</v>
      </c>
      <c r="EM93" s="229"/>
      <c r="EN93" s="232"/>
      <c r="EO93" s="231"/>
      <c r="EP93" s="233"/>
      <c r="EQ93" s="87"/>
      <c r="ET93" s="227"/>
      <c r="EU93" s="228">
        <v>22</v>
      </c>
      <c r="EV93" s="229"/>
      <c r="EW93" s="36"/>
      <c r="EX93" s="229"/>
      <c r="EY93" s="230"/>
      <c r="EZ93" s="87"/>
      <c r="FC93" s="227"/>
      <c r="FD93" s="228">
        <v>22</v>
      </c>
      <c r="FE93" s="229"/>
      <c r="FF93" s="36"/>
      <c r="FG93" s="229"/>
      <c r="FH93" s="230"/>
      <c r="FI93" s="87"/>
      <c r="FL93" s="227"/>
      <c r="FM93" s="228">
        <v>22</v>
      </c>
      <c r="FN93" s="229"/>
      <c r="FO93" s="36"/>
      <c r="FP93" s="229"/>
      <c r="FQ93" s="230"/>
      <c r="FR93" s="87"/>
      <c r="FU93" s="227"/>
      <c r="FV93" s="228">
        <v>22</v>
      </c>
      <c r="FW93" s="229"/>
      <c r="FX93" s="36"/>
      <c r="FY93" s="229"/>
      <c r="FZ93" s="230"/>
      <c r="GA93" s="87"/>
      <c r="GD93" s="227"/>
      <c r="GE93" s="228">
        <v>22</v>
      </c>
      <c r="GF93" s="229"/>
      <c r="GG93" s="36"/>
      <c r="GH93" s="229"/>
      <c r="GI93" s="230"/>
      <c r="GJ93" s="87"/>
      <c r="GM93" s="227"/>
      <c r="GN93" s="228">
        <v>22</v>
      </c>
      <c r="GO93" s="229"/>
      <c r="GP93" s="36"/>
      <c r="GQ93" s="229"/>
      <c r="GR93" s="230"/>
      <c r="GS93" s="87"/>
      <c r="GT93" s="315"/>
      <c r="GU93"/>
      <c r="GW93" s="235"/>
      <c r="GX93" s="235"/>
      <c r="GY93" s="236"/>
      <c r="GZ93"/>
    </row>
    <row r="94" spans="1:208" ht="16.5" thickBot="1" x14ac:dyDescent="0.3">
      <c r="A94" s="1">
        <v>27</v>
      </c>
      <c r="B94" t="e">
        <f>#REF!</f>
        <v>#REF!</v>
      </c>
      <c r="C94" t="e">
        <f>#REF!</f>
        <v>#REF!</v>
      </c>
      <c r="D94" s="35" t="e">
        <f>#REF!</f>
        <v>#REF!</v>
      </c>
      <c r="E94" s="36" t="e">
        <f>#REF!</f>
        <v>#REF!</v>
      </c>
      <c r="F94" s="37" t="e">
        <f>#REF!</f>
        <v>#REF!</v>
      </c>
      <c r="G94" s="38" t="e">
        <f>#REF!</f>
        <v>#REF!</v>
      </c>
      <c r="H94" s="39" t="e">
        <f>#REF!</f>
        <v>#REF!</v>
      </c>
      <c r="I94" s="40" t="e">
        <f>#REF!</f>
        <v>#REF!</v>
      </c>
      <c r="J94" s="238"/>
      <c r="U94" s="242"/>
      <c r="X94" s="227"/>
      <c r="Y94" s="228"/>
      <c r="Z94" s="231"/>
      <c r="AA94" s="36"/>
      <c r="AB94" s="229"/>
      <c r="AC94" s="230"/>
      <c r="AD94" s="87"/>
      <c r="AG94" s="243"/>
      <c r="AH94" s="244"/>
      <c r="AI94" s="245"/>
      <c r="AJ94" s="246"/>
      <c r="AK94" s="247"/>
      <c r="AL94" s="248"/>
      <c r="AP94" s="227"/>
      <c r="AQ94" s="228">
        <v>23</v>
      </c>
      <c r="AR94" s="231"/>
      <c r="AS94" s="232"/>
      <c r="AT94" s="229"/>
      <c r="AU94" s="230"/>
      <c r="AV94" s="87"/>
      <c r="AY94" s="227"/>
      <c r="AZ94" s="228"/>
      <c r="BA94" s="231"/>
      <c r="BB94" s="232"/>
      <c r="BC94" s="249"/>
      <c r="BD94" s="230"/>
      <c r="BE94" s="87"/>
      <c r="BH94" s="243"/>
      <c r="BI94" s="250"/>
      <c r="BJ94" s="245"/>
      <c r="BK94" s="251"/>
      <c r="BL94" s="247"/>
      <c r="BM94" s="252"/>
      <c r="BN94" s="87"/>
      <c r="BR94" s="228"/>
      <c r="BS94" s="231"/>
      <c r="BT94" s="36"/>
      <c r="BU94" s="231"/>
      <c r="BV94" s="230"/>
      <c r="BW94" s="87"/>
      <c r="BZ94" s="243"/>
      <c r="CA94" s="253"/>
      <c r="CB94" s="245"/>
      <c r="CC94" s="246"/>
      <c r="CD94" s="247"/>
      <c r="CE94" s="248"/>
      <c r="CI94" s="227"/>
      <c r="CJ94" s="228">
        <v>23</v>
      </c>
      <c r="CK94" s="231"/>
      <c r="CM94" s="231"/>
      <c r="CR94" s="243"/>
      <c r="CS94" s="253"/>
      <c r="CT94" s="245">
        <v>0</v>
      </c>
      <c r="CU94" s="246"/>
      <c r="CV94" s="247">
        <v>0</v>
      </c>
      <c r="CW94" s="248"/>
      <c r="DA94" s="243"/>
      <c r="DB94" s="253"/>
      <c r="DC94" s="245">
        <v>0</v>
      </c>
      <c r="DD94" s="246"/>
      <c r="DE94" s="247">
        <v>0</v>
      </c>
      <c r="DF94" s="248"/>
      <c r="DJ94" s="243"/>
      <c r="DK94" s="253"/>
      <c r="DL94" s="245">
        <v>0</v>
      </c>
      <c r="DM94" s="246"/>
      <c r="DN94" s="247">
        <v>0</v>
      </c>
      <c r="DO94" s="248"/>
      <c r="DS94" s="243"/>
      <c r="DT94" s="253"/>
      <c r="DU94" s="245">
        <v>0</v>
      </c>
      <c r="DV94" s="246"/>
      <c r="DW94" s="247">
        <v>0</v>
      </c>
      <c r="DX94" s="248"/>
      <c r="EB94" s="243"/>
      <c r="EC94" s="253"/>
      <c r="ED94" s="245">
        <v>0</v>
      </c>
      <c r="EE94" s="246"/>
      <c r="EF94" s="247">
        <v>0</v>
      </c>
      <c r="EG94" s="248"/>
      <c r="EK94" s="243"/>
      <c r="EL94" s="253"/>
      <c r="EM94" s="245">
        <v>0</v>
      </c>
      <c r="EN94" s="246"/>
      <c r="EO94" s="247">
        <v>0</v>
      </c>
      <c r="EP94" s="248"/>
      <c r="ET94" s="243"/>
      <c r="EU94" s="253"/>
      <c r="EV94" s="245">
        <v>0</v>
      </c>
      <c r="EW94" s="246"/>
      <c r="EX94" s="247">
        <v>0</v>
      </c>
      <c r="EY94" s="248"/>
      <c r="FC94" s="243"/>
      <c r="FD94" s="253"/>
      <c r="FE94" s="245">
        <v>0</v>
      </c>
      <c r="FF94" s="246"/>
      <c r="FG94" s="247">
        <v>0</v>
      </c>
      <c r="FH94" s="248"/>
      <c r="FL94" s="243"/>
      <c r="FM94" s="253"/>
      <c r="FN94" s="245">
        <v>0</v>
      </c>
      <c r="FO94" s="246"/>
      <c r="FP94" s="247">
        <v>0</v>
      </c>
      <c r="FQ94" s="248"/>
      <c r="FU94" s="243"/>
      <c r="FV94" s="253"/>
      <c r="FW94" s="245">
        <v>0</v>
      </c>
      <c r="FX94" s="246"/>
      <c r="FY94" s="247">
        <v>0</v>
      </c>
      <c r="FZ94" s="248"/>
      <c r="GD94" s="243"/>
      <c r="GE94" s="253"/>
      <c r="GF94" s="245">
        <v>0</v>
      </c>
      <c r="GG94" s="246"/>
      <c r="GH94" s="247">
        <v>0</v>
      </c>
      <c r="GI94" s="248"/>
      <c r="GM94" s="243"/>
      <c r="GN94" s="253"/>
      <c r="GO94" s="245">
        <v>0</v>
      </c>
      <c r="GP94" s="246"/>
      <c r="GQ94" s="247">
        <v>0</v>
      </c>
      <c r="GR94" s="248"/>
      <c r="GU94"/>
      <c r="GW94" s="235"/>
      <c r="GX94" s="235"/>
      <c r="GY94" s="236"/>
      <c r="GZ94"/>
    </row>
    <row r="95" spans="1:208" x14ac:dyDescent="0.25">
      <c r="J95" s="177"/>
      <c r="K95" s="452"/>
      <c r="T95" s="39"/>
      <c r="U95" s="217"/>
      <c r="GU95"/>
      <c r="GW95" s="235"/>
      <c r="GX95" s="235"/>
      <c r="GY95" s="236"/>
      <c r="GZ95"/>
    </row>
    <row r="96" spans="1:208" x14ac:dyDescent="0.25">
      <c r="J96" s="238"/>
      <c r="K96" s="452"/>
      <c r="T96" s="39"/>
      <c r="U96" s="217"/>
      <c r="GU96"/>
      <c r="GW96" s="235"/>
      <c r="GX96" s="235"/>
      <c r="GY96" s="236"/>
      <c r="GZ96"/>
    </row>
    <row r="97" spans="1:208" x14ac:dyDescent="0.25">
      <c r="J97" s="177"/>
      <c r="K97" s="452"/>
      <c r="O97" s="224"/>
      <c r="P97" s="225"/>
      <c r="Q97" s="226"/>
      <c r="R97" s="226"/>
      <c r="S97" s="226"/>
      <c r="T97" s="39"/>
      <c r="U97" s="217"/>
      <c r="GU97"/>
      <c r="GW97" s="235"/>
      <c r="GX97" s="235"/>
      <c r="GY97" s="236"/>
      <c r="GZ97"/>
    </row>
    <row r="98" spans="1:208" x14ac:dyDescent="0.25">
      <c r="J98" s="238"/>
      <c r="K98" s="452"/>
      <c r="M98" s="212"/>
      <c r="O98" s="224"/>
      <c r="P98" s="225"/>
      <c r="Q98" s="226"/>
      <c r="R98" s="226"/>
      <c r="S98" s="226"/>
      <c r="T98" s="39"/>
      <c r="U98" s="217"/>
      <c r="GU98"/>
      <c r="GW98" s="235"/>
      <c r="GX98" s="235"/>
      <c r="GY98" s="236"/>
      <c r="GZ98"/>
    </row>
    <row r="99" spans="1:208" x14ac:dyDescent="0.25">
      <c r="J99" s="177"/>
      <c r="K99" s="452"/>
      <c r="M99" s="212"/>
      <c r="O99" s="884"/>
      <c r="P99" s="884"/>
      <c r="Q99" s="884"/>
      <c r="T99" s="39"/>
      <c r="U99" s="217"/>
      <c r="GU99"/>
      <c r="GW99" s="235"/>
      <c r="GX99" s="235"/>
      <c r="GY99" s="236"/>
      <c r="GZ99"/>
    </row>
    <row r="100" spans="1:208" x14ac:dyDescent="0.25">
      <c r="J100" s="238"/>
      <c r="GU100"/>
      <c r="GW100" s="235"/>
      <c r="GX100" s="235"/>
      <c r="GY100" s="236"/>
      <c r="GZ100"/>
    </row>
    <row r="101" spans="1:208" x14ac:dyDescent="0.25">
      <c r="J101" s="177"/>
      <c r="GU101"/>
      <c r="GW101" s="235"/>
      <c r="GX101" s="235"/>
      <c r="GY101" s="236"/>
      <c r="GZ101"/>
    </row>
    <row r="102" spans="1:208" x14ac:dyDescent="0.25">
      <c r="A102"/>
      <c r="F102"/>
      <c r="J102" s="177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236"/>
      <c r="GZ102"/>
    </row>
    <row r="103" spans="1:208" x14ac:dyDescent="0.25">
      <c r="A103"/>
      <c r="F103"/>
      <c r="J103" s="238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236"/>
      <c r="GZ103"/>
    </row>
    <row r="104" spans="1:208" x14ac:dyDescent="0.25">
      <c r="A104"/>
      <c r="F104"/>
      <c r="J104" s="238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236"/>
      <c r="GZ104"/>
    </row>
    <row r="105" spans="1:208" x14ac:dyDescent="0.25">
      <c r="A105"/>
      <c r="F105"/>
      <c r="J105" s="238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236"/>
      <c r="GZ105"/>
    </row>
    <row r="106" spans="1:208" x14ac:dyDescent="0.25">
      <c r="A106"/>
      <c r="F106"/>
      <c r="J106" s="255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236"/>
      <c r="GZ106"/>
    </row>
    <row r="107" spans="1:208" x14ac:dyDescent="0.25">
      <c r="A107"/>
      <c r="F107"/>
      <c r="J107" s="208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236"/>
      <c r="GZ107"/>
    </row>
    <row r="108" spans="1:208" x14ac:dyDescent="0.25">
      <c r="A108"/>
      <c r="F108"/>
      <c r="J108" s="177"/>
      <c r="K108" s="453"/>
      <c r="L108"/>
      <c r="M108"/>
      <c r="N108"/>
      <c r="O108" s="37"/>
      <c r="P108"/>
      <c r="Q108"/>
      <c r="R108"/>
      <c r="S108"/>
      <c r="V108"/>
      <c r="W108"/>
      <c r="GU108"/>
      <c r="GW108" s="235"/>
      <c r="GX108" s="235"/>
      <c r="GY108" s="236"/>
      <c r="GZ108"/>
    </row>
    <row r="109" spans="1:208" x14ac:dyDescent="0.25">
      <c r="A109"/>
      <c r="F109"/>
      <c r="J109" s="177"/>
      <c r="K109" s="453"/>
      <c r="L109"/>
      <c r="M109"/>
      <c r="N109"/>
      <c r="O109" s="37"/>
      <c r="P109"/>
      <c r="Q109"/>
      <c r="R109"/>
      <c r="S109"/>
      <c r="V109"/>
      <c r="W109"/>
      <c r="GU109"/>
      <c r="GW109" s="235"/>
      <c r="GX109" s="235"/>
      <c r="GY109" s="236"/>
      <c r="GZ109"/>
    </row>
    <row r="110" spans="1:208" x14ac:dyDescent="0.25">
      <c r="A110"/>
      <c r="F110"/>
      <c r="J110" s="177"/>
      <c r="K110" s="453"/>
      <c r="L110"/>
      <c r="M110"/>
      <c r="N110"/>
      <c r="O110" s="37"/>
      <c r="P110"/>
      <c r="Q110"/>
      <c r="R110"/>
      <c r="S110"/>
      <c r="V110"/>
      <c r="W110"/>
      <c r="GU110"/>
      <c r="GW110" s="235"/>
      <c r="GX110" s="235"/>
      <c r="GY110" s="236"/>
      <c r="GZ110"/>
    </row>
    <row r="111" spans="1:208" x14ac:dyDescent="0.25">
      <c r="A111"/>
      <c r="F111"/>
      <c r="J111" s="177"/>
      <c r="K111" s="453"/>
      <c r="L111"/>
      <c r="M111"/>
      <c r="N111"/>
      <c r="O111" s="37"/>
      <c r="P111"/>
      <c r="Q111"/>
      <c r="R111"/>
      <c r="S111"/>
      <c r="V111"/>
      <c r="W111"/>
      <c r="GU111"/>
      <c r="GW111" s="235"/>
      <c r="GX111" s="235"/>
      <c r="GY111" s="236"/>
      <c r="GZ111"/>
    </row>
    <row r="112" spans="1:208" x14ac:dyDescent="0.25">
      <c r="A112"/>
      <c r="F112"/>
      <c r="J112" s="177"/>
      <c r="K112" s="453"/>
      <c r="L112"/>
      <c r="M112"/>
      <c r="N112"/>
      <c r="O112" s="37"/>
      <c r="P112"/>
      <c r="Q112"/>
      <c r="R112"/>
      <c r="S112"/>
      <c r="V112"/>
      <c r="W112"/>
      <c r="GU112"/>
      <c r="GW112" s="235"/>
      <c r="GX112" s="235"/>
      <c r="GY112" s="236"/>
      <c r="GZ112"/>
    </row>
    <row r="113" spans="1:208" x14ac:dyDescent="0.25">
      <c r="A113"/>
      <c r="F113"/>
      <c r="J113" s="177"/>
      <c r="K113" s="453"/>
      <c r="L113"/>
      <c r="M113"/>
      <c r="N113"/>
      <c r="O113" s="37"/>
      <c r="P113"/>
      <c r="Q113"/>
      <c r="R113"/>
      <c r="S113"/>
      <c r="V113"/>
      <c r="W113"/>
      <c r="GU113"/>
      <c r="GW113" s="235"/>
      <c r="GX113" s="235"/>
      <c r="GY113" s="236"/>
      <c r="GZ113"/>
    </row>
    <row r="114" spans="1:208" x14ac:dyDescent="0.25">
      <c r="A114"/>
      <c r="F114"/>
      <c r="J114" s="177"/>
      <c r="K114" s="453"/>
      <c r="L114"/>
      <c r="M114"/>
      <c r="N114"/>
      <c r="O114" s="37"/>
      <c r="P114"/>
      <c r="Q114"/>
      <c r="R114"/>
      <c r="S114"/>
      <c r="V114"/>
      <c r="W114"/>
      <c r="GU114"/>
      <c r="GW114" s="235"/>
      <c r="GX114" s="235"/>
      <c r="GY114" s="236"/>
      <c r="GZ114"/>
    </row>
  </sheetData>
  <mergeCells count="31">
    <mergeCell ref="O99:Q99"/>
    <mergeCell ref="R46:S46"/>
    <mergeCell ref="M81:N81"/>
    <mergeCell ref="O81:O82"/>
    <mergeCell ref="O85:Q85"/>
    <mergeCell ref="O88:Q89"/>
    <mergeCell ref="T88:U89"/>
    <mergeCell ref="FT1:FZ1"/>
    <mergeCell ref="GC1:GI1"/>
    <mergeCell ref="GL1:GR1"/>
    <mergeCell ref="R16:S16"/>
    <mergeCell ref="R20:S20"/>
    <mergeCell ref="R30:S3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FF"/>
  </sheetPr>
  <dimension ref="A1:N200"/>
  <sheetViews>
    <sheetView tabSelected="1" topLeftCell="A45" workbookViewId="0">
      <selection activeCell="J56" sqref="J56"/>
    </sheetView>
  </sheetViews>
  <sheetFormatPr baseColWidth="10" defaultRowHeight="15.75" x14ac:dyDescent="0.25"/>
  <cols>
    <col min="1" max="1" width="25.5703125" style="268" customWidth="1"/>
    <col min="2" max="2" width="15" style="8" customWidth="1"/>
    <col min="3" max="3" width="11.42578125" style="62"/>
    <col min="4" max="4" width="14.7109375" style="761" bestFit="1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4.85546875" style="752" bestFit="1" customWidth="1"/>
    <col min="9" max="9" width="11.85546875" style="62" customWidth="1"/>
    <col min="10" max="10" width="12.5703125" style="195" bestFit="1" customWidth="1"/>
    <col min="11" max="11" width="11.42578125" style="195"/>
  </cols>
  <sheetData>
    <row r="1" spans="1:9" ht="21" x14ac:dyDescent="0.35">
      <c r="A1" s="885" t="s">
        <v>1025</v>
      </c>
      <c r="B1" s="885"/>
      <c r="C1" s="885"/>
      <c r="D1" s="885"/>
      <c r="E1" s="885"/>
      <c r="F1" s="885"/>
      <c r="G1" s="885"/>
    </row>
    <row r="2" spans="1:9" ht="16.5" thickBot="1" x14ac:dyDescent="0.3">
      <c r="D2" s="754"/>
    </row>
    <row r="3" spans="1:9" ht="17.25" thickTop="1" thickBot="1" x14ac:dyDescent="0.3">
      <c r="A3" s="262" t="s">
        <v>8</v>
      </c>
      <c r="B3" s="262" t="s">
        <v>16</v>
      </c>
      <c r="C3" s="263" t="s">
        <v>18</v>
      </c>
      <c r="D3" s="755" t="s">
        <v>19</v>
      </c>
      <c r="E3" s="265" t="s">
        <v>11</v>
      </c>
      <c r="F3" s="44" t="s">
        <v>22</v>
      </c>
      <c r="G3" s="266" t="s">
        <v>24</v>
      </c>
      <c r="H3" s="763"/>
    </row>
    <row r="4" spans="1:9" ht="16.5" thickTop="1" x14ac:dyDescent="0.25">
      <c r="A4" s="787" t="s">
        <v>1197</v>
      </c>
      <c r="B4" s="848" t="s">
        <v>1198</v>
      </c>
      <c r="C4" s="775">
        <v>43070</v>
      </c>
      <c r="D4" s="762">
        <v>5158</v>
      </c>
      <c r="E4" s="776">
        <v>73.3</v>
      </c>
      <c r="F4" s="777">
        <v>52</v>
      </c>
      <c r="G4" s="39">
        <f t="shared" ref="G4:G6" si="0">F4*E4</f>
        <v>3811.6</v>
      </c>
      <c r="H4" s="864">
        <v>43075</v>
      </c>
      <c r="I4" s="62" t="s">
        <v>1172</v>
      </c>
    </row>
    <row r="5" spans="1:9" x14ac:dyDescent="0.25">
      <c r="A5" s="787"/>
      <c r="B5" s="848"/>
      <c r="C5" s="775"/>
      <c r="D5" s="762">
        <v>5159</v>
      </c>
      <c r="E5" s="776"/>
      <c r="F5" s="777"/>
      <c r="G5" s="39">
        <f t="shared" si="0"/>
        <v>0</v>
      </c>
      <c r="H5" s="864"/>
    </row>
    <row r="6" spans="1:9" x14ac:dyDescent="0.25">
      <c r="A6" s="787"/>
      <c r="B6" s="848"/>
      <c r="C6" s="775"/>
      <c r="D6" s="762">
        <v>5160</v>
      </c>
      <c r="E6" s="776"/>
      <c r="F6" s="777"/>
      <c r="G6" s="39">
        <f t="shared" si="0"/>
        <v>0</v>
      </c>
      <c r="H6" s="864"/>
    </row>
    <row r="7" spans="1:9" x14ac:dyDescent="0.25">
      <c r="A7" s="787" t="s">
        <v>1173</v>
      </c>
      <c r="B7" s="848" t="s">
        <v>1433</v>
      </c>
      <c r="C7" s="775">
        <v>43070</v>
      </c>
      <c r="D7" s="762">
        <v>5161</v>
      </c>
      <c r="E7" s="776">
        <v>169.8</v>
      </c>
      <c r="F7" s="777">
        <v>30</v>
      </c>
      <c r="G7" s="39">
        <f t="shared" ref="G7:G9" si="1">F7*E7</f>
        <v>5094</v>
      </c>
      <c r="H7" s="864">
        <v>43072</v>
      </c>
      <c r="I7" s="62" t="s">
        <v>1172</v>
      </c>
    </row>
    <row r="8" spans="1:9" x14ac:dyDescent="0.25">
      <c r="A8" s="787"/>
      <c r="B8" s="848"/>
      <c r="C8" s="775"/>
      <c r="D8" s="762">
        <v>5162</v>
      </c>
      <c r="E8" s="776"/>
      <c r="F8" s="777"/>
      <c r="G8" s="39">
        <f t="shared" si="1"/>
        <v>0</v>
      </c>
      <c r="H8" s="864"/>
    </row>
    <row r="9" spans="1:9" x14ac:dyDescent="0.25">
      <c r="A9" s="787" t="s">
        <v>1197</v>
      </c>
      <c r="B9" s="848" t="s">
        <v>1198</v>
      </c>
      <c r="C9" s="775">
        <v>43071</v>
      </c>
      <c r="D9" s="762">
        <v>5163</v>
      </c>
      <c r="E9" s="776">
        <v>114.42</v>
      </c>
      <c r="F9" s="777">
        <v>54</v>
      </c>
      <c r="G9" s="39">
        <f t="shared" si="1"/>
        <v>6178.68</v>
      </c>
      <c r="H9" s="864">
        <v>43075</v>
      </c>
      <c r="I9" s="62" t="s">
        <v>1172</v>
      </c>
    </row>
    <row r="10" spans="1:9" x14ac:dyDescent="0.25">
      <c r="A10" s="268" t="s">
        <v>1221</v>
      </c>
      <c r="B10" s="183" t="s">
        <v>248</v>
      </c>
      <c r="C10" s="31">
        <v>43071</v>
      </c>
      <c r="D10" s="762">
        <v>5164</v>
      </c>
      <c r="E10" s="261">
        <v>220</v>
      </c>
      <c r="F10" s="29">
        <v>38</v>
      </c>
      <c r="G10" s="39">
        <f t="shared" ref="G10:G122" si="2">F10*E10</f>
        <v>8360</v>
      </c>
      <c r="H10" s="752">
        <v>43071</v>
      </c>
      <c r="I10" s="62" t="s">
        <v>1172</v>
      </c>
    </row>
    <row r="11" spans="1:9" x14ac:dyDescent="0.25">
      <c r="A11" s="268" t="s">
        <v>1206</v>
      </c>
      <c r="B11" s="183" t="s">
        <v>1207</v>
      </c>
      <c r="C11" s="31">
        <v>43071</v>
      </c>
      <c r="D11" s="762">
        <v>5165</v>
      </c>
      <c r="E11" s="261">
        <v>247.2</v>
      </c>
      <c r="F11" s="858">
        <v>65.8</v>
      </c>
      <c r="G11" s="39">
        <f t="shared" si="2"/>
        <v>16265.759999999998</v>
      </c>
      <c r="H11" s="752">
        <v>43071</v>
      </c>
      <c r="I11" s="62" t="s">
        <v>1172</v>
      </c>
    </row>
    <row r="12" spans="1:9" x14ac:dyDescent="0.25">
      <c r="A12" s="268" t="s">
        <v>1424</v>
      </c>
      <c r="B12" s="183" t="s">
        <v>206</v>
      </c>
      <c r="C12" s="31">
        <v>43071</v>
      </c>
      <c r="D12" s="762">
        <v>5166</v>
      </c>
      <c r="E12" s="261">
        <v>1056.5</v>
      </c>
      <c r="F12" s="858">
        <v>68</v>
      </c>
      <c r="G12" s="39">
        <f t="shared" si="2"/>
        <v>71842</v>
      </c>
      <c r="H12" s="752">
        <v>43074</v>
      </c>
      <c r="I12" s="62" t="s">
        <v>1172</v>
      </c>
    </row>
    <row r="13" spans="1:9" x14ac:dyDescent="0.25">
      <c r="A13" s="268" t="s">
        <v>1173</v>
      </c>
      <c r="B13" s="183" t="s">
        <v>1433</v>
      </c>
      <c r="C13" s="31">
        <v>43071</v>
      </c>
      <c r="D13" s="762">
        <v>5167</v>
      </c>
      <c r="E13" s="261">
        <v>281.2</v>
      </c>
      <c r="F13" s="858">
        <v>49</v>
      </c>
      <c r="G13" s="39">
        <f>F13*E13+54.7*30</f>
        <v>15419.8</v>
      </c>
      <c r="H13" s="752">
        <v>43072</v>
      </c>
      <c r="I13" s="62" t="s">
        <v>1172</v>
      </c>
    </row>
    <row r="14" spans="1:9" x14ac:dyDescent="0.25">
      <c r="A14" s="268" t="s">
        <v>1430</v>
      </c>
      <c r="B14" s="183"/>
      <c r="C14" s="31"/>
      <c r="D14" s="762">
        <v>5168</v>
      </c>
      <c r="F14" s="858"/>
      <c r="G14" s="39">
        <f t="shared" si="2"/>
        <v>0</v>
      </c>
    </row>
    <row r="15" spans="1:9" x14ac:dyDescent="0.25">
      <c r="A15" s="268" t="s">
        <v>1430</v>
      </c>
      <c r="B15" s="183"/>
      <c r="C15" s="31"/>
      <c r="D15" s="762">
        <v>5169</v>
      </c>
      <c r="F15" s="858"/>
      <c r="G15" s="39">
        <f t="shared" si="2"/>
        <v>0</v>
      </c>
    </row>
    <row r="16" spans="1:9" x14ac:dyDescent="0.25">
      <c r="A16" s="268" t="s">
        <v>1197</v>
      </c>
      <c r="B16" s="183" t="s">
        <v>1667</v>
      </c>
      <c r="C16" s="31">
        <v>43071</v>
      </c>
      <c r="D16" s="762">
        <v>5170</v>
      </c>
      <c r="E16" s="261">
        <v>134.69999999999999</v>
      </c>
      <c r="F16" s="858">
        <v>49</v>
      </c>
      <c r="G16" s="39">
        <f t="shared" si="2"/>
        <v>6600.2999999999993</v>
      </c>
      <c r="H16" s="752">
        <v>43075</v>
      </c>
      <c r="I16" s="62" t="s">
        <v>1172</v>
      </c>
    </row>
    <row r="17" spans="1:11" x14ac:dyDescent="0.25">
      <c r="A17" s="268" t="s">
        <v>1173</v>
      </c>
      <c r="B17" s="183" t="s">
        <v>1545</v>
      </c>
      <c r="C17" s="31">
        <v>43072</v>
      </c>
      <c r="D17" s="762">
        <v>5171</v>
      </c>
      <c r="E17" s="261">
        <v>40.6</v>
      </c>
      <c r="F17" s="858">
        <v>61</v>
      </c>
      <c r="G17" s="39">
        <f t="shared" si="2"/>
        <v>2476.6</v>
      </c>
      <c r="H17" s="752">
        <v>43072</v>
      </c>
      <c r="I17" s="62" t="s">
        <v>1172</v>
      </c>
    </row>
    <row r="18" spans="1:11" x14ac:dyDescent="0.25">
      <c r="A18" s="268" t="s">
        <v>1197</v>
      </c>
      <c r="B18" s="183" t="s">
        <v>1374</v>
      </c>
      <c r="C18" s="31">
        <v>43072</v>
      </c>
      <c r="D18" s="762">
        <v>5172</v>
      </c>
      <c r="E18" s="261">
        <v>918.4</v>
      </c>
      <c r="F18" s="858">
        <v>36</v>
      </c>
      <c r="G18" s="39">
        <f t="shared" si="2"/>
        <v>33062.400000000001</v>
      </c>
      <c r="H18" s="752">
        <v>43075</v>
      </c>
      <c r="I18" s="62" t="s">
        <v>1172</v>
      </c>
    </row>
    <row r="19" spans="1:11" x14ac:dyDescent="0.25">
      <c r="A19" s="268" t="s">
        <v>1182</v>
      </c>
      <c r="B19" s="183" t="s">
        <v>1662</v>
      </c>
      <c r="C19" s="31">
        <v>43072</v>
      </c>
      <c r="D19" s="762">
        <v>5173</v>
      </c>
      <c r="E19" s="261">
        <v>1359.4</v>
      </c>
      <c r="F19" s="858">
        <v>70</v>
      </c>
      <c r="G19" s="39">
        <f t="shared" si="2"/>
        <v>95158</v>
      </c>
      <c r="H19" s="752">
        <v>43073</v>
      </c>
      <c r="I19" s="62" t="s">
        <v>1172</v>
      </c>
    </row>
    <row r="20" spans="1:11" x14ac:dyDescent="0.25">
      <c r="A20" s="268" t="s">
        <v>1182</v>
      </c>
      <c r="B20" s="183" t="s">
        <v>1663</v>
      </c>
      <c r="C20" s="31">
        <v>43072</v>
      </c>
      <c r="D20" s="762">
        <v>5174</v>
      </c>
      <c r="E20" s="261">
        <v>19410.400000000001</v>
      </c>
      <c r="F20" s="858">
        <v>1</v>
      </c>
      <c r="G20" s="39">
        <f t="shared" si="2"/>
        <v>19410.400000000001</v>
      </c>
      <c r="H20" s="752">
        <v>43074</v>
      </c>
      <c r="I20" s="62" t="s">
        <v>1172</v>
      </c>
    </row>
    <row r="21" spans="1:11" x14ac:dyDescent="0.25">
      <c r="A21" s="268" t="s">
        <v>1197</v>
      </c>
      <c r="B21" s="183" t="s">
        <v>1195</v>
      </c>
      <c r="C21" s="31">
        <v>43072</v>
      </c>
      <c r="D21" s="762">
        <v>5175</v>
      </c>
      <c r="E21" s="261">
        <v>62.82</v>
      </c>
      <c r="F21" s="858">
        <v>49</v>
      </c>
      <c r="G21" s="39">
        <f t="shared" si="2"/>
        <v>3078.18</v>
      </c>
      <c r="H21" s="752">
        <v>43075</v>
      </c>
      <c r="I21" s="62" t="s">
        <v>1172</v>
      </c>
    </row>
    <row r="22" spans="1:11" x14ac:dyDescent="0.25">
      <c r="A22" s="268" t="s">
        <v>1221</v>
      </c>
      <c r="B22" s="183" t="s">
        <v>1629</v>
      </c>
      <c r="C22" s="31">
        <v>43073</v>
      </c>
      <c r="D22" s="762">
        <v>5176</v>
      </c>
      <c r="E22" s="261">
        <v>206.4</v>
      </c>
      <c r="F22" s="858">
        <v>35</v>
      </c>
      <c r="G22" s="39">
        <f t="shared" si="2"/>
        <v>7224</v>
      </c>
      <c r="H22" s="752">
        <v>43073</v>
      </c>
      <c r="I22" s="62" t="s">
        <v>1172</v>
      </c>
    </row>
    <row r="23" spans="1:11" x14ac:dyDescent="0.25">
      <c r="A23" s="268" t="s">
        <v>1197</v>
      </c>
      <c r="B23" s="183" t="s">
        <v>1666</v>
      </c>
      <c r="C23" s="31">
        <v>43073</v>
      </c>
      <c r="D23" s="762">
        <v>5177</v>
      </c>
      <c r="E23" s="261">
        <v>129.19999999999999</v>
      </c>
      <c r="F23" s="858">
        <v>26</v>
      </c>
      <c r="G23" s="39">
        <f>F23*E23+117*56</f>
        <v>9911.2000000000007</v>
      </c>
      <c r="H23" s="752">
        <v>43075</v>
      </c>
      <c r="I23" s="62" t="s">
        <v>1172</v>
      </c>
    </row>
    <row r="24" spans="1:11" x14ac:dyDescent="0.25">
      <c r="A24" s="268" t="s">
        <v>1424</v>
      </c>
      <c r="B24" s="183" t="s">
        <v>206</v>
      </c>
      <c r="C24" s="31">
        <v>43073</v>
      </c>
      <c r="D24" s="762">
        <v>5178</v>
      </c>
      <c r="E24" s="261">
        <v>382.2</v>
      </c>
      <c r="F24" s="858">
        <v>68</v>
      </c>
      <c r="G24" s="39">
        <f t="shared" si="2"/>
        <v>25989.599999999999</v>
      </c>
      <c r="H24" s="752">
        <v>43075</v>
      </c>
      <c r="I24" s="62" t="s">
        <v>1172</v>
      </c>
    </row>
    <row r="25" spans="1:11" x14ac:dyDescent="0.25">
      <c r="A25" s="268" t="s">
        <v>1665</v>
      </c>
      <c r="B25" s="183" t="s">
        <v>1187</v>
      </c>
      <c r="C25" s="31">
        <v>43073</v>
      </c>
      <c r="D25" s="762">
        <v>5179</v>
      </c>
      <c r="E25" s="261">
        <v>20.079999999999998</v>
      </c>
      <c r="F25" s="858">
        <v>35</v>
      </c>
      <c r="G25" s="39">
        <f t="shared" si="2"/>
        <v>702.8</v>
      </c>
      <c r="H25" s="752">
        <v>43074</v>
      </c>
      <c r="I25" s="62" t="s">
        <v>1172</v>
      </c>
    </row>
    <row r="26" spans="1:11" ht="31.5" x14ac:dyDescent="0.25">
      <c r="A26" s="268" t="s">
        <v>1387</v>
      </c>
      <c r="B26" s="183" t="s">
        <v>1675</v>
      </c>
      <c r="C26" s="31">
        <v>43073</v>
      </c>
      <c r="D26" s="762">
        <v>5180</v>
      </c>
      <c r="E26" s="261">
        <v>1635.7</v>
      </c>
      <c r="F26" s="858">
        <v>68</v>
      </c>
      <c r="G26" s="39">
        <f t="shared" si="2"/>
        <v>111227.6</v>
      </c>
      <c r="H26" s="837" t="s">
        <v>1680</v>
      </c>
      <c r="I26" s="62" t="s">
        <v>1172</v>
      </c>
      <c r="J26" s="868">
        <f>66700+44527.6</f>
        <v>111227.6</v>
      </c>
      <c r="K26" s="195" t="s">
        <v>1676</v>
      </c>
    </row>
    <row r="27" spans="1:11" x14ac:dyDescent="0.25">
      <c r="A27" s="268" t="s">
        <v>1197</v>
      </c>
      <c r="B27" s="183" t="s">
        <v>1473</v>
      </c>
      <c r="C27" s="31">
        <v>43074</v>
      </c>
      <c r="D27" s="762">
        <v>5181</v>
      </c>
      <c r="E27" s="261">
        <v>105.4</v>
      </c>
      <c r="F27" s="858">
        <v>20</v>
      </c>
      <c r="G27" s="39">
        <f t="shared" si="2"/>
        <v>2108</v>
      </c>
      <c r="H27" s="752">
        <v>43078</v>
      </c>
      <c r="I27" s="62" t="s">
        <v>1172</v>
      </c>
    </row>
    <row r="28" spans="1:11" x14ac:dyDescent="0.25">
      <c r="A28" s="268" t="s">
        <v>1206</v>
      </c>
      <c r="B28" s="183" t="s">
        <v>1207</v>
      </c>
      <c r="C28" s="31">
        <v>43074</v>
      </c>
      <c r="D28" s="762">
        <v>5182</v>
      </c>
      <c r="E28" s="261">
        <v>166.4</v>
      </c>
      <c r="F28" s="858">
        <v>65.8</v>
      </c>
      <c r="G28" s="39">
        <f t="shared" si="2"/>
        <v>10949.12</v>
      </c>
      <c r="H28" s="752">
        <v>43074</v>
      </c>
      <c r="I28" s="62" t="s">
        <v>1172</v>
      </c>
    </row>
    <row r="29" spans="1:11" x14ac:dyDescent="0.25">
      <c r="A29" s="268" t="s">
        <v>1430</v>
      </c>
      <c r="B29" s="183"/>
      <c r="C29" s="31"/>
      <c r="D29" s="762">
        <v>5183</v>
      </c>
      <c r="F29" s="858"/>
      <c r="G29" s="39">
        <f t="shared" si="2"/>
        <v>0</v>
      </c>
    </row>
    <row r="30" spans="1:11" x14ac:dyDescent="0.25">
      <c r="A30" s="268" t="s">
        <v>1430</v>
      </c>
      <c r="B30" s="183"/>
      <c r="C30" s="31"/>
      <c r="D30" s="762">
        <v>5184</v>
      </c>
      <c r="F30" s="858"/>
      <c r="G30" s="39">
        <f t="shared" si="2"/>
        <v>0</v>
      </c>
    </row>
    <row r="31" spans="1:11" x14ac:dyDescent="0.25">
      <c r="A31" s="268" t="s">
        <v>1197</v>
      </c>
      <c r="B31" s="183" t="s">
        <v>1198</v>
      </c>
      <c r="C31" s="31">
        <v>43074</v>
      </c>
      <c r="D31" s="762">
        <v>5185</v>
      </c>
      <c r="E31" s="261">
        <v>148.19999999999999</v>
      </c>
      <c r="F31" s="858">
        <v>56</v>
      </c>
      <c r="G31" s="39">
        <f t="shared" si="2"/>
        <v>8299.1999999999989</v>
      </c>
      <c r="H31" s="752">
        <v>43078</v>
      </c>
      <c r="I31" s="62" t="s">
        <v>1172</v>
      </c>
    </row>
    <row r="32" spans="1:11" x14ac:dyDescent="0.25">
      <c r="A32" s="268" t="s">
        <v>1430</v>
      </c>
      <c r="B32" s="183"/>
      <c r="C32" s="31"/>
      <c r="D32" s="762">
        <v>5186</v>
      </c>
      <c r="F32" s="858"/>
      <c r="G32" s="39">
        <f t="shared" si="2"/>
        <v>0</v>
      </c>
    </row>
    <row r="33" spans="1:11" ht="31.5" x14ac:dyDescent="0.25">
      <c r="A33" s="268" t="s">
        <v>1424</v>
      </c>
      <c r="B33" s="183" t="s">
        <v>1669</v>
      </c>
      <c r="C33" s="31">
        <v>43074</v>
      </c>
      <c r="D33" s="762">
        <v>5187</v>
      </c>
      <c r="E33" s="261">
        <v>1490.8</v>
      </c>
      <c r="F33" s="858">
        <v>68</v>
      </c>
      <c r="G33" s="39">
        <f>F33*E33+117.8*71</f>
        <v>109738.2</v>
      </c>
      <c r="H33" s="837" t="s">
        <v>1674</v>
      </c>
      <c r="I33" s="62" t="s">
        <v>1172</v>
      </c>
      <c r="J33" s="856">
        <f>38297.8+71440.2</f>
        <v>109738</v>
      </c>
      <c r="K33" s="685" t="s">
        <v>1670</v>
      </c>
    </row>
    <row r="34" spans="1:11" x14ac:dyDescent="0.25">
      <c r="A34" s="268" t="s">
        <v>1430</v>
      </c>
      <c r="B34" s="183"/>
      <c r="C34" s="31"/>
      <c r="D34" s="762">
        <v>5188</v>
      </c>
      <c r="F34" s="858"/>
      <c r="G34" s="39">
        <f t="shared" si="2"/>
        <v>0</v>
      </c>
    </row>
    <row r="35" spans="1:11" x14ac:dyDescent="0.25">
      <c r="A35" s="268" t="s">
        <v>1180</v>
      </c>
      <c r="B35" s="183" t="s">
        <v>1214</v>
      </c>
      <c r="C35" s="31">
        <v>43075</v>
      </c>
      <c r="D35" s="762">
        <v>5189</v>
      </c>
      <c r="E35" s="261">
        <v>327.39999999999998</v>
      </c>
      <c r="F35" s="858">
        <v>43.5</v>
      </c>
      <c r="G35" s="39">
        <f t="shared" si="2"/>
        <v>14241.9</v>
      </c>
      <c r="H35" s="752">
        <v>43075</v>
      </c>
      <c r="I35" s="62" t="s">
        <v>1172</v>
      </c>
    </row>
    <row r="36" spans="1:11" x14ac:dyDescent="0.25">
      <c r="A36" s="268" t="s">
        <v>1430</v>
      </c>
      <c r="B36" s="183"/>
      <c r="C36" s="31"/>
      <c r="D36" s="762">
        <v>5190</v>
      </c>
      <c r="F36" s="858"/>
      <c r="G36" s="39">
        <f t="shared" si="2"/>
        <v>0</v>
      </c>
    </row>
    <row r="37" spans="1:11" x14ac:dyDescent="0.25">
      <c r="A37" s="268" t="s">
        <v>1197</v>
      </c>
      <c r="B37" s="183" t="s">
        <v>1198</v>
      </c>
      <c r="C37" s="31">
        <v>43075</v>
      </c>
      <c r="D37" s="762">
        <v>5191</v>
      </c>
      <c r="E37" s="261">
        <v>80.44</v>
      </c>
      <c r="F37" s="858">
        <v>56</v>
      </c>
      <c r="G37" s="39">
        <f t="shared" si="2"/>
        <v>4504.6399999999994</v>
      </c>
      <c r="H37" s="752">
        <v>43078</v>
      </c>
      <c r="I37" s="62" t="s">
        <v>1172</v>
      </c>
    </row>
    <row r="38" spans="1:11" x14ac:dyDescent="0.25">
      <c r="A38" s="268" t="s">
        <v>1424</v>
      </c>
      <c r="B38" s="183" t="s">
        <v>206</v>
      </c>
      <c r="C38" s="31">
        <v>43075</v>
      </c>
      <c r="D38" s="762">
        <v>5192</v>
      </c>
      <c r="E38" s="261">
        <f>636.8+608</f>
        <v>1244.8</v>
      </c>
      <c r="F38" s="858">
        <v>68</v>
      </c>
      <c r="G38" s="39">
        <f>F38*E38+103.6*71</f>
        <v>92002</v>
      </c>
      <c r="H38" s="752">
        <v>43078</v>
      </c>
      <c r="I38" s="62" t="s">
        <v>1172</v>
      </c>
    </row>
    <row r="39" spans="1:11" x14ac:dyDescent="0.25">
      <c r="A39" s="268" t="s">
        <v>1430</v>
      </c>
      <c r="B39" s="183"/>
      <c r="C39" s="31"/>
      <c r="D39" s="762">
        <v>5193</v>
      </c>
      <c r="F39" s="858"/>
      <c r="G39" s="39">
        <f t="shared" si="2"/>
        <v>0</v>
      </c>
    </row>
    <row r="40" spans="1:11" x14ac:dyDescent="0.25">
      <c r="A40" s="268" t="s">
        <v>1424</v>
      </c>
      <c r="B40" s="183" t="s">
        <v>1669</v>
      </c>
      <c r="C40" s="31">
        <v>43076</v>
      </c>
      <c r="D40" s="762">
        <v>5194</v>
      </c>
      <c r="E40" s="261">
        <v>1314.3</v>
      </c>
      <c r="F40" s="858">
        <v>68</v>
      </c>
      <c r="G40" s="39">
        <f>F40*E40+193*69</f>
        <v>102689.4</v>
      </c>
      <c r="H40" s="752">
        <v>43080</v>
      </c>
      <c r="I40" s="62" t="s">
        <v>1172</v>
      </c>
    </row>
    <row r="41" spans="1:11" x14ac:dyDescent="0.25">
      <c r="A41" s="268" t="s">
        <v>1671</v>
      </c>
      <c r="B41" s="183" t="s">
        <v>1672</v>
      </c>
      <c r="C41" s="31">
        <v>43076</v>
      </c>
      <c r="D41" s="762">
        <v>5195</v>
      </c>
      <c r="E41" s="261">
        <v>15.3</v>
      </c>
      <c r="F41" s="858">
        <v>87</v>
      </c>
      <c r="G41" s="39">
        <f t="shared" si="2"/>
        <v>1331.1000000000001</v>
      </c>
      <c r="H41" s="752">
        <v>43077</v>
      </c>
      <c r="I41" s="62" t="s">
        <v>1172</v>
      </c>
    </row>
    <row r="42" spans="1:11" x14ac:dyDescent="0.25">
      <c r="A42" s="268" t="s">
        <v>1221</v>
      </c>
      <c r="B42" s="183" t="s">
        <v>1673</v>
      </c>
      <c r="C42" s="31">
        <v>43077</v>
      </c>
      <c r="D42" s="762">
        <v>5196</v>
      </c>
      <c r="E42" s="261">
        <v>111</v>
      </c>
      <c r="F42" s="858">
        <v>35</v>
      </c>
      <c r="G42" s="39">
        <f>F42*E42+300*38</f>
        <v>15285</v>
      </c>
      <c r="H42" s="752">
        <v>43077</v>
      </c>
      <c r="I42" s="62" t="s">
        <v>1172</v>
      </c>
    </row>
    <row r="43" spans="1:11" x14ac:dyDescent="0.25">
      <c r="A43" s="268" t="s">
        <v>1206</v>
      </c>
      <c r="B43" s="183" t="s">
        <v>1207</v>
      </c>
      <c r="C43" s="31">
        <v>43077</v>
      </c>
      <c r="D43" s="762">
        <v>5197</v>
      </c>
      <c r="E43" s="261">
        <v>103.6</v>
      </c>
      <c r="F43" s="858">
        <v>65.8</v>
      </c>
      <c r="G43" s="39">
        <f t="shared" si="2"/>
        <v>6816.8799999999992</v>
      </c>
      <c r="H43" s="752">
        <v>43077</v>
      </c>
      <c r="I43" s="62" t="s">
        <v>1172</v>
      </c>
    </row>
    <row r="44" spans="1:11" x14ac:dyDescent="0.25">
      <c r="A44" s="268" t="s">
        <v>1430</v>
      </c>
      <c r="B44" s="183"/>
      <c r="C44" s="31"/>
      <c r="D44" s="762">
        <v>5198</v>
      </c>
      <c r="F44" s="858"/>
      <c r="G44" s="39">
        <f t="shared" si="2"/>
        <v>0</v>
      </c>
    </row>
    <row r="45" spans="1:11" x14ac:dyDescent="0.25">
      <c r="A45" s="268" t="s">
        <v>1430</v>
      </c>
      <c r="B45" s="183"/>
      <c r="C45" s="31"/>
      <c r="D45" s="762">
        <v>5199</v>
      </c>
      <c r="F45" s="858"/>
      <c r="G45" s="39">
        <f t="shared" si="2"/>
        <v>0</v>
      </c>
    </row>
    <row r="46" spans="1:11" x14ac:dyDescent="0.25">
      <c r="A46" s="268" t="s">
        <v>1430</v>
      </c>
      <c r="B46" s="183"/>
      <c r="C46" s="31"/>
      <c r="D46" s="762">
        <v>5200</v>
      </c>
      <c r="F46" s="858"/>
      <c r="G46" s="39">
        <f t="shared" si="2"/>
        <v>0</v>
      </c>
    </row>
    <row r="47" spans="1:11" x14ac:dyDescent="0.25">
      <c r="A47" s="268" t="s">
        <v>1430</v>
      </c>
      <c r="B47" s="183"/>
      <c r="C47" s="31"/>
      <c r="D47" s="762">
        <v>5201</v>
      </c>
      <c r="F47" s="858"/>
      <c r="G47" s="39">
        <f t="shared" si="2"/>
        <v>0</v>
      </c>
    </row>
    <row r="48" spans="1:11" x14ac:dyDescent="0.25">
      <c r="A48" s="268" t="s">
        <v>1221</v>
      </c>
      <c r="B48" s="183" t="s">
        <v>248</v>
      </c>
      <c r="C48" s="31">
        <v>43078</v>
      </c>
      <c r="D48" s="762">
        <v>5202</v>
      </c>
      <c r="E48" s="261">
        <v>120</v>
      </c>
      <c r="F48" s="858">
        <v>38</v>
      </c>
      <c r="G48" s="39">
        <f t="shared" si="2"/>
        <v>4560</v>
      </c>
      <c r="H48" s="752">
        <v>43078</v>
      </c>
      <c r="I48" s="62" t="s">
        <v>1172</v>
      </c>
    </row>
    <row r="49" spans="1:10" x14ac:dyDescent="0.25">
      <c r="A49" s="268" t="s">
        <v>1197</v>
      </c>
      <c r="B49" s="183" t="s">
        <v>1198</v>
      </c>
      <c r="C49" s="31">
        <v>43078</v>
      </c>
      <c r="D49" s="762">
        <v>5203</v>
      </c>
      <c r="E49" s="261">
        <v>264.2</v>
      </c>
      <c r="F49" s="858">
        <v>56</v>
      </c>
      <c r="G49" s="39">
        <f t="shared" si="2"/>
        <v>14795.199999999999</v>
      </c>
      <c r="H49" s="752">
        <v>43078</v>
      </c>
      <c r="I49" s="62" t="s">
        <v>1172</v>
      </c>
    </row>
    <row r="50" spans="1:10" x14ac:dyDescent="0.25">
      <c r="A50" s="268" t="s">
        <v>1424</v>
      </c>
      <c r="B50" s="183" t="s">
        <v>206</v>
      </c>
      <c r="C50" s="31">
        <v>43078</v>
      </c>
      <c r="D50" s="762">
        <v>5204</v>
      </c>
      <c r="E50" s="261">
        <v>1331.6</v>
      </c>
      <c r="F50" s="858">
        <v>68</v>
      </c>
      <c r="G50" s="39">
        <f t="shared" si="2"/>
        <v>90548.799999999988</v>
      </c>
      <c r="H50" s="752">
        <v>43080</v>
      </c>
      <c r="I50" s="62" t="s">
        <v>1172</v>
      </c>
    </row>
    <row r="51" spans="1:10" x14ac:dyDescent="0.25">
      <c r="A51" s="268" t="s">
        <v>1197</v>
      </c>
      <c r="B51" s="183" t="s">
        <v>1681</v>
      </c>
      <c r="C51" s="31">
        <v>43079</v>
      </c>
      <c r="D51" s="762">
        <v>5205</v>
      </c>
      <c r="E51" s="261">
        <v>453.2</v>
      </c>
      <c r="F51" s="858">
        <v>39.5</v>
      </c>
      <c r="G51" s="39">
        <f>F51*E51+324.5*49.5+638.38*38</f>
        <v>58222.59</v>
      </c>
      <c r="H51" s="752">
        <v>43082</v>
      </c>
      <c r="I51" s="62" t="s">
        <v>1172</v>
      </c>
    </row>
    <row r="52" spans="1:10" x14ac:dyDescent="0.25">
      <c r="A52" s="268" t="s">
        <v>1182</v>
      </c>
      <c r="B52" s="183" t="s">
        <v>1482</v>
      </c>
      <c r="C52" s="31">
        <v>43080</v>
      </c>
      <c r="D52" s="762">
        <v>5206</v>
      </c>
      <c r="E52" s="261">
        <v>24684</v>
      </c>
      <c r="F52" s="858">
        <v>1</v>
      </c>
      <c r="G52" s="39">
        <f t="shared" si="2"/>
        <v>24684</v>
      </c>
      <c r="H52" s="752">
        <v>43080</v>
      </c>
      <c r="I52" s="62" t="s">
        <v>1172</v>
      </c>
    </row>
    <row r="53" spans="1:10" x14ac:dyDescent="0.25">
      <c r="A53" s="268" t="s">
        <v>1430</v>
      </c>
      <c r="B53" s="183"/>
      <c r="C53" s="31"/>
      <c r="D53" s="762">
        <v>5207</v>
      </c>
      <c r="F53" s="858"/>
      <c r="G53" s="39">
        <f t="shared" si="2"/>
        <v>0</v>
      </c>
    </row>
    <row r="54" spans="1:10" x14ac:dyDescent="0.25">
      <c r="A54" s="268" t="s">
        <v>1197</v>
      </c>
      <c r="B54" s="183" t="s">
        <v>1198</v>
      </c>
      <c r="C54" s="31">
        <v>43080</v>
      </c>
      <c r="D54" s="762">
        <v>5208</v>
      </c>
      <c r="E54" s="261">
        <v>206.7</v>
      </c>
      <c r="F54" s="858">
        <v>56</v>
      </c>
      <c r="G54" s="39">
        <f t="shared" si="2"/>
        <v>11575.199999999999</v>
      </c>
      <c r="H54" s="752">
        <v>43082</v>
      </c>
      <c r="I54" s="62" t="s">
        <v>1172</v>
      </c>
    </row>
    <row r="55" spans="1:10" x14ac:dyDescent="0.25">
      <c r="A55" s="268" t="s">
        <v>1430</v>
      </c>
      <c r="B55" s="183"/>
      <c r="C55" s="31"/>
      <c r="D55" s="762">
        <v>5209</v>
      </c>
      <c r="F55" s="858"/>
      <c r="G55" s="39">
        <f t="shared" si="2"/>
        <v>0</v>
      </c>
    </row>
    <row r="56" spans="1:10" x14ac:dyDescent="0.25">
      <c r="A56" s="268" t="s">
        <v>1424</v>
      </c>
      <c r="B56" s="183" t="s">
        <v>1686</v>
      </c>
      <c r="C56" s="31">
        <v>43445</v>
      </c>
      <c r="D56" s="762">
        <v>5210</v>
      </c>
      <c r="E56" s="261">
        <f>641.8+1221.4</f>
        <v>1863.2</v>
      </c>
      <c r="F56" s="858">
        <v>68</v>
      </c>
      <c r="G56" s="39">
        <f>F56*E56+384.6*71</f>
        <v>154004.20000000001</v>
      </c>
      <c r="H56" s="752">
        <v>43084</v>
      </c>
      <c r="I56" s="62" t="s">
        <v>1172</v>
      </c>
      <c r="J56" s="856">
        <v>11518.8</v>
      </c>
    </row>
    <row r="57" spans="1:10" x14ac:dyDescent="0.25">
      <c r="A57" s="268" t="s">
        <v>1430</v>
      </c>
      <c r="B57" s="183"/>
      <c r="C57" s="31"/>
      <c r="D57" s="762">
        <v>5211</v>
      </c>
      <c r="F57" s="858"/>
      <c r="G57" s="39">
        <f t="shared" si="2"/>
        <v>0</v>
      </c>
    </row>
    <row r="58" spans="1:10" x14ac:dyDescent="0.25">
      <c r="A58" s="268" t="s">
        <v>1677</v>
      </c>
      <c r="B58" s="183" t="s">
        <v>1247</v>
      </c>
      <c r="C58" s="31"/>
      <c r="D58" s="762">
        <v>5212</v>
      </c>
      <c r="E58" s="261">
        <v>82.5</v>
      </c>
      <c r="F58" s="858">
        <v>44</v>
      </c>
      <c r="G58" s="39">
        <f t="shared" si="2"/>
        <v>3630</v>
      </c>
      <c r="H58" s="752">
        <v>43081</v>
      </c>
      <c r="I58" s="62" t="s">
        <v>1172</v>
      </c>
    </row>
    <row r="59" spans="1:10" x14ac:dyDescent="0.25">
      <c r="A59" s="268" t="s">
        <v>1197</v>
      </c>
      <c r="B59" s="183" t="s">
        <v>1198</v>
      </c>
      <c r="C59" s="31">
        <v>43081</v>
      </c>
      <c r="D59" s="762">
        <v>5213</v>
      </c>
      <c r="E59" s="261">
        <v>113.62</v>
      </c>
      <c r="F59" s="858">
        <v>56</v>
      </c>
      <c r="G59" s="39">
        <f t="shared" si="2"/>
        <v>6362.72</v>
      </c>
      <c r="H59" s="752">
        <v>43082</v>
      </c>
      <c r="I59" s="62" t="s">
        <v>1172</v>
      </c>
    </row>
    <row r="60" spans="1:10" x14ac:dyDescent="0.25">
      <c r="A60" s="268" t="s">
        <v>1678</v>
      </c>
      <c r="B60" s="183" t="s">
        <v>1679</v>
      </c>
      <c r="C60" s="31"/>
      <c r="D60" s="762">
        <v>5214</v>
      </c>
      <c r="E60" s="261">
        <v>14.9</v>
      </c>
      <c r="F60" s="858">
        <v>57</v>
      </c>
      <c r="G60" s="39">
        <f>F60*E60+3.3*80</f>
        <v>1113.3000000000002</v>
      </c>
      <c r="H60" s="752">
        <v>43081</v>
      </c>
      <c r="I60" s="62" t="s">
        <v>1172</v>
      </c>
    </row>
    <row r="61" spans="1:10" x14ac:dyDescent="0.25">
      <c r="A61" s="268" t="s">
        <v>1430</v>
      </c>
      <c r="B61" s="183"/>
      <c r="C61" s="31"/>
      <c r="D61" s="762">
        <v>5215</v>
      </c>
      <c r="F61" s="858"/>
      <c r="G61" s="39">
        <f t="shared" si="2"/>
        <v>0</v>
      </c>
    </row>
    <row r="62" spans="1:10" x14ac:dyDescent="0.25">
      <c r="A62" s="268" t="s">
        <v>1430</v>
      </c>
      <c r="B62" s="183"/>
      <c r="C62" s="31"/>
      <c r="D62" s="762">
        <v>5216</v>
      </c>
      <c r="F62" s="858"/>
      <c r="G62" s="39">
        <f t="shared" si="2"/>
        <v>0</v>
      </c>
    </row>
    <row r="63" spans="1:10" x14ac:dyDescent="0.25">
      <c r="A63" s="268" t="s">
        <v>1197</v>
      </c>
      <c r="B63" s="183" t="s">
        <v>1198</v>
      </c>
      <c r="C63" s="31">
        <v>43082</v>
      </c>
      <c r="D63" s="762">
        <v>5217</v>
      </c>
      <c r="E63" s="261">
        <v>106.7</v>
      </c>
      <c r="F63" s="858">
        <v>56</v>
      </c>
      <c r="G63" s="39">
        <f t="shared" si="2"/>
        <v>5975.2</v>
      </c>
      <c r="H63" s="752">
        <v>43084</v>
      </c>
      <c r="I63" s="62" t="s">
        <v>1172</v>
      </c>
    </row>
    <row r="64" spans="1:10" x14ac:dyDescent="0.25">
      <c r="A64" s="268" t="s">
        <v>1424</v>
      </c>
      <c r="B64" s="183" t="s">
        <v>206</v>
      </c>
      <c r="C64" s="31">
        <v>43082</v>
      </c>
      <c r="D64" s="762">
        <v>5218</v>
      </c>
      <c r="E64" s="261">
        <v>1322.6</v>
      </c>
      <c r="F64" s="858">
        <v>68</v>
      </c>
      <c r="G64" s="39">
        <f t="shared" si="2"/>
        <v>89936.799999999988</v>
      </c>
      <c r="H64" s="752">
        <v>43084</v>
      </c>
      <c r="I64" s="62" t="s">
        <v>1172</v>
      </c>
    </row>
    <row r="65" spans="1:9" x14ac:dyDescent="0.25">
      <c r="A65" s="268" t="s">
        <v>1430</v>
      </c>
      <c r="B65" s="183"/>
      <c r="C65" s="31"/>
      <c r="D65" s="762">
        <v>5219</v>
      </c>
      <c r="F65" s="858"/>
      <c r="G65" s="39">
        <f t="shared" si="2"/>
        <v>0</v>
      </c>
    </row>
    <row r="66" spans="1:9" x14ac:dyDescent="0.25">
      <c r="A66" s="268" t="s">
        <v>1430</v>
      </c>
      <c r="B66" s="183"/>
      <c r="C66" s="31"/>
      <c r="D66" s="762">
        <v>5220</v>
      </c>
      <c r="F66" s="858"/>
      <c r="G66" s="39">
        <f t="shared" si="2"/>
        <v>0</v>
      </c>
    </row>
    <row r="67" spans="1:9" x14ac:dyDescent="0.25">
      <c r="A67" s="268" t="s">
        <v>1430</v>
      </c>
      <c r="B67" s="183"/>
      <c r="C67" s="31"/>
      <c r="D67" s="762">
        <v>5221</v>
      </c>
      <c r="F67" s="858"/>
      <c r="G67" s="39">
        <f t="shared" si="2"/>
        <v>0</v>
      </c>
    </row>
    <row r="68" spans="1:9" x14ac:dyDescent="0.25">
      <c r="A68" s="268" t="s">
        <v>1430</v>
      </c>
      <c r="B68" s="183"/>
      <c r="C68" s="31"/>
      <c r="D68" s="762">
        <v>5222</v>
      </c>
      <c r="F68" s="858"/>
      <c r="G68" s="39">
        <f t="shared" si="2"/>
        <v>0</v>
      </c>
    </row>
    <row r="69" spans="1:9" x14ac:dyDescent="0.25">
      <c r="A69" s="268" t="s">
        <v>1430</v>
      </c>
      <c r="B69" s="183"/>
      <c r="C69" s="31"/>
      <c r="D69" s="762">
        <v>5223</v>
      </c>
      <c r="F69" s="858"/>
      <c r="G69" s="39">
        <f t="shared" si="2"/>
        <v>0</v>
      </c>
    </row>
    <row r="70" spans="1:9" x14ac:dyDescent="0.25">
      <c r="A70" s="268" t="s">
        <v>1430</v>
      </c>
      <c r="B70" s="183"/>
      <c r="C70" s="31"/>
      <c r="D70" s="762">
        <v>5224</v>
      </c>
      <c r="F70" s="858"/>
      <c r="G70" s="39">
        <f t="shared" si="2"/>
        <v>0</v>
      </c>
    </row>
    <row r="71" spans="1:9" x14ac:dyDescent="0.25">
      <c r="A71" s="268" t="s">
        <v>1221</v>
      </c>
      <c r="B71" s="183" t="s">
        <v>1685</v>
      </c>
      <c r="C71" s="31">
        <v>43084</v>
      </c>
      <c r="D71" s="762">
        <v>5225</v>
      </c>
      <c r="E71" s="261">
        <v>450</v>
      </c>
      <c r="F71" s="858">
        <v>38</v>
      </c>
      <c r="G71" s="39">
        <f>F71*E71+103.8*35</f>
        <v>20733</v>
      </c>
      <c r="H71" s="752">
        <v>43084</v>
      </c>
      <c r="I71" s="62" t="s">
        <v>1172</v>
      </c>
    </row>
    <row r="72" spans="1:9" x14ac:dyDescent="0.25">
      <c r="A72" s="268" t="s">
        <v>1430</v>
      </c>
      <c r="B72" s="183"/>
      <c r="C72" s="31"/>
      <c r="D72" s="762">
        <v>5226</v>
      </c>
      <c r="F72" s="858"/>
      <c r="G72" s="39">
        <f t="shared" si="2"/>
        <v>0</v>
      </c>
    </row>
    <row r="73" spans="1:9" x14ac:dyDescent="0.25">
      <c r="A73" s="268" t="s">
        <v>1424</v>
      </c>
      <c r="B73" s="183" t="s">
        <v>1291</v>
      </c>
      <c r="C73" s="31">
        <v>43084</v>
      </c>
      <c r="D73" s="762">
        <v>5227</v>
      </c>
      <c r="E73" s="261">
        <v>274.39999999999998</v>
      </c>
      <c r="F73" s="858">
        <v>71</v>
      </c>
      <c r="G73" s="39">
        <f t="shared" si="2"/>
        <v>19482.399999999998</v>
      </c>
      <c r="H73" s="752">
        <v>43084</v>
      </c>
      <c r="I73" s="62" t="s">
        <v>1172</v>
      </c>
    </row>
    <row r="74" spans="1:9" x14ac:dyDescent="0.25">
      <c r="B74" s="183"/>
      <c r="C74" s="31"/>
      <c r="D74" s="762">
        <v>5228</v>
      </c>
      <c r="F74" s="858"/>
      <c r="G74" s="39">
        <f t="shared" si="2"/>
        <v>0</v>
      </c>
    </row>
    <row r="75" spans="1:9" x14ac:dyDescent="0.25">
      <c r="B75" s="183"/>
      <c r="C75" s="31"/>
      <c r="D75" s="762">
        <v>5229</v>
      </c>
      <c r="F75" s="858"/>
      <c r="G75" s="39">
        <f t="shared" si="2"/>
        <v>0</v>
      </c>
    </row>
    <row r="76" spans="1:9" x14ac:dyDescent="0.25">
      <c r="B76" s="183"/>
      <c r="C76" s="31"/>
      <c r="D76" s="762">
        <v>5230</v>
      </c>
      <c r="F76" s="858"/>
      <c r="G76" s="39">
        <f t="shared" si="2"/>
        <v>0</v>
      </c>
    </row>
    <row r="77" spans="1:9" x14ac:dyDescent="0.25">
      <c r="B77" s="183"/>
      <c r="C77" s="31"/>
      <c r="D77" s="762">
        <v>5231</v>
      </c>
      <c r="F77" s="858"/>
      <c r="G77" s="39">
        <f t="shared" si="2"/>
        <v>0</v>
      </c>
    </row>
    <row r="78" spans="1:9" x14ac:dyDescent="0.25">
      <c r="B78" s="183"/>
      <c r="C78" s="31"/>
      <c r="D78" s="762">
        <v>5232</v>
      </c>
      <c r="F78" s="858"/>
      <c r="G78" s="39">
        <f t="shared" si="2"/>
        <v>0</v>
      </c>
    </row>
    <row r="79" spans="1:9" x14ac:dyDescent="0.25">
      <c r="B79" s="183"/>
      <c r="C79" s="31"/>
      <c r="D79" s="762">
        <v>5233</v>
      </c>
      <c r="F79" s="858"/>
      <c r="G79" s="39">
        <f t="shared" si="2"/>
        <v>0</v>
      </c>
    </row>
    <row r="80" spans="1:9" x14ac:dyDescent="0.25">
      <c r="B80" s="183"/>
      <c r="C80" s="31"/>
      <c r="D80" s="762">
        <v>5234</v>
      </c>
      <c r="F80" s="858"/>
      <c r="G80" s="39">
        <f t="shared" si="2"/>
        <v>0</v>
      </c>
    </row>
    <row r="81" spans="1:9" x14ac:dyDescent="0.25">
      <c r="B81" s="183"/>
      <c r="C81" s="31"/>
      <c r="D81" s="762">
        <v>5235</v>
      </c>
      <c r="F81" s="858"/>
      <c r="G81" s="39">
        <f t="shared" si="2"/>
        <v>0</v>
      </c>
    </row>
    <row r="82" spans="1:9" x14ac:dyDescent="0.25">
      <c r="B82" s="183"/>
      <c r="C82" s="31"/>
      <c r="D82" s="762">
        <v>5236</v>
      </c>
      <c r="F82" s="858"/>
      <c r="G82" s="39">
        <f t="shared" si="2"/>
        <v>0</v>
      </c>
    </row>
    <row r="83" spans="1:9" x14ac:dyDescent="0.25">
      <c r="B83" s="183"/>
      <c r="C83" s="31"/>
      <c r="D83" s="762">
        <v>5237</v>
      </c>
      <c r="F83" s="858"/>
      <c r="G83" s="39">
        <f t="shared" si="2"/>
        <v>0</v>
      </c>
    </row>
    <row r="84" spans="1:9" x14ac:dyDescent="0.25">
      <c r="B84" s="183"/>
      <c r="C84" s="31"/>
      <c r="D84" s="762">
        <v>5238</v>
      </c>
      <c r="F84" s="858"/>
      <c r="G84" s="39">
        <f t="shared" si="2"/>
        <v>0</v>
      </c>
    </row>
    <row r="85" spans="1:9" x14ac:dyDescent="0.25">
      <c r="B85" s="183"/>
      <c r="C85" s="31"/>
      <c r="D85" s="762">
        <v>5239</v>
      </c>
      <c r="F85" s="858"/>
      <c r="G85" s="39">
        <f t="shared" si="2"/>
        <v>0</v>
      </c>
    </row>
    <row r="86" spans="1:9" x14ac:dyDescent="0.25">
      <c r="B86" s="183"/>
      <c r="C86" s="31"/>
      <c r="D86" s="762">
        <v>5240</v>
      </c>
      <c r="F86" s="858"/>
      <c r="G86" s="39">
        <f t="shared" si="2"/>
        <v>0</v>
      </c>
    </row>
    <row r="87" spans="1:9" x14ac:dyDescent="0.25">
      <c r="B87" s="183"/>
      <c r="C87" s="31"/>
      <c r="D87" s="762">
        <v>5241</v>
      </c>
      <c r="F87" s="858"/>
      <c r="G87" s="39">
        <f t="shared" si="2"/>
        <v>0</v>
      </c>
    </row>
    <row r="88" spans="1:9" x14ac:dyDescent="0.25">
      <c r="B88" s="183"/>
      <c r="C88" s="31"/>
      <c r="D88" s="762">
        <v>5242</v>
      </c>
      <c r="F88" s="858"/>
      <c r="G88" s="39">
        <f t="shared" si="2"/>
        <v>0</v>
      </c>
    </row>
    <row r="89" spans="1:9" x14ac:dyDescent="0.25">
      <c r="B89" s="183"/>
      <c r="C89" s="31"/>
      <c r="D89" s="762">
        <v>5243</v>
      </c>
      <c r="F89" s="858"/>
      <c r="G89" s="39">
        <f t="shared" si="2"/>
        <v>0</v>
      </c>
    </row>
    <row r="90" spans="1:9" x14ac:dyDescent="0.25">
      <c r="A90" s="268" t="s">
        <v>1432</v>
      </c>
      <c r="B90" s="183" t="s">
        <v>1429</v>
      </c>
      <c r="C90" s="31">
        <v>43089</v>
      </c>
      <c r="D90" s="756">
        <v>5244</v>
      </c>
      <c r="E90" s="261">
        <v>264.2</v>
      </c>
      <c r="F90" s="29">
        <v>90</v>
      </c>
      <c r="G90" s="39">
        <f t="shared" si="2"/>
        <v>23778</v>
      </c>
      <c r="H90" s="753">
        <v>43106</v>
      </c>
      <c r="I90" s="739" t="s">
        <v>1172</v>
      </c>
    </row>
    <row r="91" spans="1:9" x14ac:dyDescent="0.25">
      <c r="A91" s="268" t="s">
        <v>1430</v>
      </c>
      <c r="B91" s="183"/>
      <c r="C91" s="31"/>
      <c r="D91" s="756">
        <f>D90+1</f>
        <v>5245</v>
      </c>
      <c r="G91" s="39">
        <f t="shared" si="2"/>
        <v>0</v>
      </c>
    </row>
    <row r="92" spans="1:9" x14ac:dyDescent="0.25">
      <c r="A92" s="268" t="s">
        <v>1430</v>
      </c>
      <c r="B92" s="183"/>
      <c r="C92" s="31"/>
      <c r="D92" s="756">
        <f t="shared" ref="D92:D96" si="3">D91+1</f>
        <v>5246</v>
      </c>
      <c r="G92" s="39">
        <f t="shared" si="2"/>
        <v>0</v>
      </c>
    </row>
    <row r="93" spans="1:9" x14ac:dyDescent="0.25">
      <c r="A93" s="268" t="s">
        <v>1430</v>
      </c>
      <c r="B93" s="183"/>
      <c r="C93" s="31"/>
      <c r="D93" s="756">
        <f t="shared" si="3"/>
        <v>5247</v>
      </c>
      <c r="G93" s="39">
        <f t="shared" si="2"/>
        <v>0</v>
      </c>
    </row>
    <row r="94" spans="1:9" x14ac:dyDescent="0.25">
      <c r="A94" s="268" t="s">
        <v>1430</v>
      </c>
      <c r="B94" s="183"/>
      <c r="C94" s="31"/>
      <c r="D94" s="756">
        <f t="shared" si="3"/>
        <v>5248</v>
      </c>
      <c r="G94" s="39">
        <f t="shared" si="2"/>
        <v>0</v>
      </c>
    </row>
    <row r="95" spans="1:9" x14ac:dyDescent="0.25">
      <c r="A95" s="268" t="s">
        <v>1430</v>
      </c>
      <c r="B95" s="183"/>
      <c r="C95" s="31"/>
      <c r="D95" s="756">
        <f t="shared" si="3"/>
        <v>5249</v>
      </c>
      <c r="G95" s="39">
        <f t="shared" si="2"/>
        <v>0</v>
      </c>
    </row>
    <row r="96" spans="1:9" x14ac:dyDescent="0.25">
      <c r="A96" s="268" t="s">
        <v>1430</v>
      </c>
      <c r="B96" s="183"/>
      <c r="C96" s="31"/>
      <c r="D96" s="756">
        <f t="shared" si="3"/>
        <v>5250</v>
      </c>
      <c r="G96" s="39">
        <f t="shared" si="2"/>
        <v>0</v>
      </c>
    </row>
    <row r="97" spans="1:9" x14ac:dyDescent="0.25">
      <c r="A97" s="268" t="s">
        <v>1430</v>
      </c>
      <c r="B97" s="183"/>
      <c r="C97" s="31"/>
      <c r="D97" s="756">
        <f>D96+1</f>
        <v>5251</v>
      </c>
      <c r="G97" s="39">
        <f t="shared" si="2"/>
        <v>0</v>
      </c>
    </row>
    <row r="98" spans="1:9" x14ac:dyDescent="0.25">
      <c r="A98" s="268" t="s">
        <v>1263</v>
      </c>
      <c r="B98" s="183" t="s">
        <v>1429</v>
      </c>
      <c r="C98" s="31">
        <v>43090</v>
      </c>
      <c r="D98" s="756">
        <v>5252</v>
      </c>
      <c r="E98" s="261">
        <v>267.89999999999998</v>
      </c>
      <c r="F98" s="29">
        <v>90</v>
      </c>
      <c r="G98" s="39">
        <f t="shared" si="2"/>
        <v>24110.999999999996</v>
      </c>
      <c r="H98" s="753">
        <v>43106</v>
      </c>
      <c r="I98" s="739" t="s">
        <v>1172</v>
      </c>
    </row>
    <row r="99" spans="1:9" x14ac:dyDescent="0.25">
      <c r="A99" s="268" t="s">
        <v>1430</v>
      </c>
      <c r="B99" s="183" t="s">
        <v>1431</v>
      </c>
      <c r="C99" s="31"/>
      <c r="D99" s="762">
        <f>D98+1</f>
        <v>5253</v>
      </c>
      <c r="G99" s="39">
        <f t="shared" si="2"/>
        <v>0</v>
      </c>
    </row>
    <row r="100" spans="1:9" x14ac:dyDescent="0.25">
      <c r="A100" s="268" t="s">
        <v>1430</v>
      </c>
      <c r="B100" s="183" t="s">
        <v>1431</v>
      </c>
      <c r="C100" s="31"/>
      <c r="D100" s="762">
        <f t="shared" ref="D100:D127" si="4">D99+1</f>
        <v>5254</v>
      </c>
      <c r="G100" s="39">
        <f t="shared" si="2"/>
        <v>0</v>
      </c>
    </row>
    <row r="101" spans="1:9" x14ac:dyDescent="0.25">
      <c r="A101" s="268" t="s">
        <v>1430</v>
      </c>
      <c r="B101" s="183" t="s">
        <v>1431</v>
      </c>
      <c r="C101" s="31"/>
      <c r="D101" s="762">
        <f t="shared" si="4"/>
        <v>5255</v>
      </c>
      <c r="G101" s="39">
        <f t="shared" si="2"/>
        <v>0</v>
      </c>
    </row>
    <row r="102" spans="1:9" x14ac:dyDescent="0.25">
      <c r="A102" s="268" t="s">
        <v>1430</v>
      </c>
      <c r="B102" s="183" t="s">
        <v>1431</v>
      </c>
      <c r="C102" s="31"/>
      <c r="D102" s="762">
        <f t="shared" si="4"/>
        <v>5256</v>
      </c>
      <c r="E102" s="261">
        <v>0</v>
      </c>
      <c r="F102" s="29">
        <v>0</v>
      </c>
      <c r="G102" s="39">
        <f t="shared" si="2"/>
        <v>0</v>
      </c>
    </row>
    <row r="103" spans="1:9" x14ac:dyDescent="0.25">
      <c r="A103" s="268" t="s">
        <v>1430</v>
      </c>
      <c r="B103" s="183" t="s">
        <v>1431</v>
      </c>
      <c r="C103" s="31"/>
      <c r="D103" s="762">
        <f t="shared" si="4"/>
        <v>5257</v>
      </c>
      <c r="G103" s="39">
        <f t="shared" si="2"/>
        <v>0</v>
      </c>
    </row>
    <row r="104" spans="1:9" x14ac:dyDescent="0.25">
      <c r="A104" s="268" t="s">
        <v>1430</v>
      </c>
      <c r="B104" s="183" t="s">
        <v>1431</v>
      </c>
      <c r="C104" s="31"/>
      <c r="D104" s="762">
        <f t="shared" si="4"/>
        <v>5258</v>
      </c>
      <c r="G104" s="39">
        <f t="shared" si="2"/>
        <v>0</v>
      </c>
    </row>
    <row r="105" spans="1:9" x14ac:dyDescent="0.25">
      <c r="A105" s="268" t="s">
        <v>1430</v>
      </c>
      <c r="B105" s="183" t="s">
        <v>1431</v>
      </c>
      <c r="C105" s="31"/>
      <c r="D105" s="762">
        <f t="shared" si="4"/>
        <v>5259</v>
      </c>
      <c r="G105" s="39">
        <f t="shared" si="2"/>
        <v>0</v>
      </c>
    </row>
    <row r="106" spans="1:9" x14ac:dyDescent="0.25">
      <c r="A106" s="268" t="s">
        <v>1430</v>
      </c>
      <c r="B106" s="183" t="s">
        <v>1431</v>
      </c>
      <c r="C106" s="31"/>
      <c r="D106" s="762">
        <f t="shared" si="4"/>
        <v>5260</v>
      </c>
      <c r="G106" s="39">
        <f t="shared" si="2"/>
        <v>0</v>
      </c>
    </row>
    <row r="107" spans="1:9" x14ac:dyDescent="0.25">
      <c r="A107" s="268" t="s">
        <v>1430</v>
      </c>
      <c r="B107" s="183" t="s">
        <v>1431</v>
      </c>
      <c r="C107" s="31"/>
      <c r="D107" s="762">
        <f t="shared" si="4"/>
        <v>5261</v>
      </c>
      <c r="G107" s="39">
        <f t="shared" si="2"/>
        <v>0</v>
      </c>
    </row>
    <row r="108" spans="1:9" x14ac:dyDescent="0.25">
      <c r="A108" s="268" t="s">
        <v>1430</v>
      </c>
      <c r="B108" s="183" t="s">
        <v>1431</v>
      </c>
      <c r="C108" s="31"/>
      <c r="D108" s="762">
        <f t="shared" si="4"/>
        <v>5262</v>
      </c>
      <c r="G108" s="39">
        <f t="shared" si="2"/>
        <v>0</v>
      </c>
    </row>
    <row r="109" spans="1:9" x14ac:dyDescent="0.25">
      <c r="A109" s="268" t="s">
        <v>1430</v>
      </c>
      <c r="B109" s="183" t="s">
        <v>1431</v>
      </c>
      <c r="C109" s="31"/>
      <c r="D109" s="762">
        <f t="shared" si="4"/>
        <v>5263</v>
      </c>
      <c r="G109" s="39">
        <f t="shared" si="2"/>
        <v>0</v>
      </c>
    </row>
    <row r="110" spans="1:9" x14ac:dyDescent="0.25">
      <c r="A110" s="268" t="s">
        <v>1430</v>
      </c>
      <c r="B110" s="183" t="s">
        <v>1431</v>
      </c>
      <c r="C110" s="31"/>
      <c r="D110" s="762">
        <f t="shared" si="4"/>
        <v>5264</v>
      </c>
      <c r="E110" s="261">
        <v>0</v>
      </c>
      <c r="F110" s="29">
        <v>0</v>
      </c>
      <c r="G110" s="39">
        <f t="shared" si="2"/>
        <v>0</v>
      </c>
    </row>
    <row r="111" spans="1:9" x14ac:dyDescent="0.25">
      <c r="A111" s="268" t="s">
        <v>1430</v>
      </c>
      <c r="B111" s="183" t="s">
        <v>1431</v>
      </c>
      <c r="C111" s="31"/>
      <c r="D111" s="762">
        <f t="shared" si="4"/>
        <v>5265</v>
      </c>
      <c r="G111" s="39">
        <f t="shared" si="2"/>
        <v>0</v>
      </c>
    </row>
    <row r="112" spans="1:9" x14ac:dyDescent="0.25">
      <c r="A112" s="268" t="s">
        <v>1430</v>
      </c>
      <c r="B112" s="183" t="s">
        <v>1431</v>
      </c>
      <c r="C112" s="31"/>
      <c r="D112" s="762">
        <f t="shared" si="4"/>
        <v>5266</v>
      </c>
      <c r="G112" s="39">
        <f t="shared" si="2"/>
        <v>0</v>
      </c>
    </row>
    <row r="113" spans="1:14" x14ac:dyDescent="0.25">
      <c r="A113" s="268" t="s">
        <v>1430</v>
      </c>
      <c r="B113" s="183" t="s">
        <v>1431</v>
      </c>
      <c r="C113" s="31"/>
      <c r="D113" s="762">
        <f t="shared" si="4"/>
        <v>5267</v>
      </c>
      <c r="G113" s="39">
        <f t="shared" si="2"/>
        <v>0</v>
      </c>
    </row>
    <row r="114" spans="1:14" x14ac:dyDescent="0.25">
      <c r="A114" s="268" t="s">
        <v>1430</v>
      </c>
      <c r="B114" s="183" t="s">
        <v>1431</v>
      </c>
      <c r="C114" s="31"/>
      <c r="D114" s="762">
        <f t="shared" si="4"/>
        <v>5268</v>
      </c>
      <c r="G114" s="39">
        <f t="shared" si="2"/>
        <v>0</v>
      </c>
    </row>
    <row r="115" spans="1:14" x14ac:dyDescent="0.25">
      <c r="A115" s="268" t="s">
        <v>1430</v>
      </c>
      <c r="B115" s="183" t="s">
        <v>1431</v>
      </c>
      <c r="C115" s="31"/>
      <c r="D115" s="762">
        <f t="shared" si="4"/>
        <v>5269</v>
      </c>
      <c r="G115" s="39">
        <f t="shared" si="2"/>
        <v>0</v>
      </c>
    </row>
    <row r="116" spans="1:14" x14ac:dyDescent="0.25">
      <c r="A116" s="268" t="s">
        <v>1182</v>
      </c>
      <c r="B116" s="183" t="s">
        <v>1281</v>
      </c>
      <c r="C116" s="31">
        <v>43096</v>
      </c>
      <c r="D116" s="762">
        <f t="shared" si="4"/>
        <v>5270</v>
      </c>
      <c r="E116" s="261">
        <v>94611</v>
      </c>
      <c r="F116" s="29">
        <v>1</v>
      </c>
      <c r="G116" s="39">
        <f t="shared" si="2"/>
        <v>94611</v>
      </c>
      <c r="H116" s="753">
        <v>43107</v>
      </c>
      <c r="I116" s="739" t="s">
        <v>1172</v>
      </c>
    </row>
    <row r="117" spans="1:14" x14ac:dyDescent="0.25">
      <c r="A117" s="268" t="s">
        <v>1430</v>
      </c>
      <c r="B117" s="183" t="s">
        <v>1431</v>
      </c>
      <c r="C117" s="31"/>
      <c r="D117" s="762">
        <f t="shared" si="4"/>
        <v>5271</v>
      </c>
      <c r="G117" s="39">
        <f t="shared" si="2"/>
        <v>0</v>
      </c>
    </row>
    <row r="118" spans="1:14" x14ac:dyDescent="0.25">
      <c r="A118" s="268" t="s">
        <v>1430</v>
      </c>
      <c r="B118" s="183" t="s">
        <v>1431</v>
      </c>
      <c r="C118" s="31"/>
      <c r="D118" s="762">
        <f t="shared" si="4"/>
        <v>5272</v>
      </c>
      <c r="G118" s="39">
        <f t="shared" si="2"/>
        <v>0</v>
      </c>
    </row>
    <row r="119" spans="1:14" x14ac:dyDescent="0.25">
      <c r="A119" s="268" t="s">
        <v>1430</v>
      </c>
      <c r="B119" s="183" t="s">
        <v>1431</v>
      </c>
      <c r="C119" s="31"/>
      <c r="D119" s="762">
        <f t="shared" si="4"/>
        <v>5273</v>
      </c>
      <c r="G119" s="39">
        <f t="shared" si="2"/>
        <v>0</v>
      </c>
    </row>
    <row r="120" spans="1:14" x14ac:dyDescent="0.25">
      <c r="A120" s="268" t="s">
        <v>1430</v>
      </c>
      <c r="B120" s="183" t="s">
        <v>1431</v>
      </c>
      <c r="C120" s="31"/>
      <c r="D120" s="762">
        <f t="shared" si="4"/>
        <v>5274</v>
      </c>
      <c r="G120" s="39">
        <f t="shared" si="2"/>
        <v>0</v>
      </c>
    </row>
    <row r="121" spans="1:14" x14ac:dyDescent="0.25">
      <c r="A121" s="268" t="s">
        <v>1430</v>
      </c>
      <c r="B121" s="183" t="s">
        <v>1431</v>
      </c>
      <c r="C121" s="31"/>
      <c r="D121" s="762">
        <f t="shared" si="4"/>
        <v>5275</v>
      </c>
      <c r="G121" s="39">
        <f t="shared" si="2"/>
        <v>0</v>
      </c>
    </row>
    <row r="122" spans="1:14" x14ac:dyDescent="0.25">
      <c r="A122" s="268" t="s">
        <v>1430</v>
      </c>
      <c r="B122" s="183" t="s">
        <v>1431</v>
      </c>
      <c r="C122" s="31"/>
      <c r="D122" s="762">
        <f t="shared" si="4"/>
        <v>5276</v>
      </c>
      <c r="G122" s="39">
        <f t="shared" si="2"/>
        <v>0</v>
      </c>
    </row>
    <row r="123" spans="1:14" x14ac:dyDescent="0.25">
      <c r="A123" s="268" t="s">
        <v>1430</v>
      </c>
      <c r="B123" s="183" t="s">
        <v>1431</v>
      </c>
      <c r="C123" s="269"/>
      <c r="D123" s="762">
        <f t="shared" si="4"/>
        <v>5277</v>
      </c>
      <c r="G123" s="39">
        <f t="shared" ref="G123:G155" si="5">F123*E123</f>
        <v>0</v>
      </c>
      <c r="L123" s="195"/>
      <c r="M123" s="195"/>
      <c r="N123" s="195"/>
    </row>
    <row r="124" spans="1:14" x14ac:dyDescent="0.25">
      <c r="A124" s="268" t="s">
        <v>1430</v>
      </c>
      <c r="B124" s="183" t="s">
        <v>1431</v>
      </c>
      <c r="C124" s="269"/>
      <c r="D124" s="762">
        <f t="shared" si="4"/>
        <v>5278</v>
      </c>
      <c r="G124" s="39">
        <f t="shared" si="5"/>
        <v>0</v>
      </c>
      <c r="L124" s="195"/>
      <c r="M124" s="195"/>
      <c r="N124" s="195"/>
    </row>
    <row r="125" spans="1:14" x14ac:dyDescent="0.25">
      <c r="A125" s="268" t="s">
        <v>1430</v>
      </c>
      <c r="B125" s="183" t="s">
        <v>1431</v>
      </c>
      <c r="C125" s="269"/>
      <c r="D125" s="762">
        <f t="shared" si="4"/>
        <v>5279</v>
      </c>
      <c r="G125" s="39">
        <f t="shared" si="5"/>
        <v>0</v>
      </c>
      <c r="L125" s="195"/>
      <c r="M125" s="195"/>
      <c r="N125" s="195"/>
    </row>
    <row r="126" spans="1:14" x14ac:dyDescent="0.25">
      <c r="A126" s="268" t="s">
        <v>1430</v>
      </c>
      <c r="B126" s="183" t="s">
        <v>1431</v>
      </c>
      <c r="C126" s="269"/>
      <c r="D126" s="762">
        <f t="shared" si="4"/>
        <v>5280</v>
      </c>
      <c r="G126" s="39">
        <f t="shared" si="5"/>
        <v>0</v>
      </c>
      <c r="L126" s="195"/>
      <c r="M126" s="195"/>
      <c r="N126" s="195"/>
    </row>
    <row r="127" spans="1:14" x14ac:dyDescent="0.25">
      <c r="A127" s="268" t="s">
        <v>1430</v>
      </c>
      <c r="B127" s="183" t="s">
        <v>1431</v>
      </c>
      <c r="C127" s="269"/>
      <c r="D127" s="762">
        <f t="shared" si="4"/>
        <v>5281</v>
      </c>
      <c r="G127" s="39">
        <f t="shared" si="5"/>
        <v>0</v>
      </c>
      <c r="L127" s="195"/>
      <c r="M127" s="195"/>
      <c r="N127" s="195"/>
    </row>
    <row r="128" spans="1:14" x14ac:dyDescent="0.25">
      <c r="A128" s="268" t="s">
        <v>1197</v>
      </c>
      <c r="B128" s="183" t="s">
        <v>1426</v>
      </c>
      <c r="C128" s="269">
        <v>43098</v>
      </c>
      <c r="D128" s="756">
        <v>5282</v>
      </c>
      <c r="E128" s="261">
        <v>167951</v>
      </c>
      <c r="F128" s="29">
        <v>1</v>
      </c>
      <c r="G128" s="39">
        <f t="shared" si="5"/>
        <v>167951</v>
      </c>
      <c r="L128" s="195"/>
      <c r="M128" s="195"/>
      <c r="N128" s="195"/>
    </row>
    <row r="129" spans="1:14" x14ac:dyDescent="0.25">
      <c r="A129" s="268" t="s">
        <v>1430</v>
      </c>
      <c r="B129" s="183" t="s">
        <v>1431</v>
      </c>
      <c r="C129" s="269"/>
      <c r="D129" s="756">
        <f>D128+1</f>
        <v>5283</v>
      </c>
      <c r="G129" s="39">
        <f t="shared" si="5"/>
        <v>0</v>
      </c>
      <c r="L129" s="195"/>
      <c r="M129" s="195"/>
      <c r="N129" s="195"/>
    </row>
    <row r="130" spans="1:14" x14ac:dyDescent="0.25">
      <c r="A130" s="268" t="s">
        <v>1430</v>
      </c>
      <c r="B130" s="183" t="s">
        <v>1431</v>
      </c>
      <c r="C130" s="269"/>
      <c r="D130" s="756">
        <f t="shared" ref="D130:D131" si="6">D129+1</f>
        <v>5284</v>
      </c>
      <c r="G130" s="39">
        <f t="shared" si="5"/>
        <v>0</v>
      </c>
      <c r="L130" s="195"/>
      <c r="M130" s="195"/>
      <c r="N130" s="195"/>
    </row>
    <row r="131" spans="1:14" x14ac:dyDescent="0.25">
      <c r="A131" s="268" t="s">
        <v>1430</v>
      </c>
      <c r="B131" s="183" t="s">
        <v>1431</v>
      </c>
      <c r="C131" s="269"/>
      <c r="D131" s="756">
        <f t="shared" si="6"/>
        <v>5285</v>
      </c>
      <c r="G131" s="39">
        <f t="shared" si="5"/>
        <v>0</v>
      </c>
      <c r="L131" s="195"/>
      <c r="M131" s="195"/>
      <c r="N131" s="195"/>
    </row>
    <row r="132" spans="1:14" x14ac:dyDescent="0.25">
      <c r="A132" s="268" t="s">
        <v>1226</v>
      </c>
      <c r="B132" s="183" t="s">
        <v>1425</v>
      </c>
      <c r="C132" s="269">
        <v>43098</v>
      </c>
      <c r="D132" s="756">
        <v>5286</v>
      </c>
      <c r="E132" s="261">
        <v>108</v>
      </c>
      <c r="F132" s="29">
        <v>78</v>
      </c>
      <c r="G132" s="39">
        <f t="shared" si="5"/>
        <v>8424</v>
      </c>
      <c r="H132" s="753">
        <v>43104</v>
      </c>
      <c r="I132" s="739" t="s">
        <v>1172</v>
      </c>
      <c r="L132" s="195"/>
      <c r="M132" s="195"/>
      <c r="N132" s="195"/>
    </row>
    <row r="133" spans="1:14" x14ac:dyDescent="0.25">
      <c r="A133" s="268" t="s">
        <v>1197</v>
      </c>
      <c r="B133" s="183" t="s">
        <v>1427</v>
      </c>
      <c r="C133" s="269">
        <v>43099</v>
      </c>
      <c r="D133" s="756">
        <f>D132+1</f>
        <v>5287</v>
      </c>
      <c r="E133" s="261">
        <v>181.5</v>
      </c>
      <c r="F133" s="29">
        <v>57</v>
      </c>
      <c r="G133" s="39">
        <f>F133*E133+134.6*20</f>
        <v>13037.5</v>
      </c>
      <c r="H133" s="753">
        <v>43105</v>
      </c>
      <c r="I133" s="739" t="s">
        <v>1172</v>
      </c>
      <c r="L133" s="195"/>
      <c r="M133" s="195"/>
      <c r="N133" s="195"/>
    </row>
    <row r="134" spans="1:14" x14ac:dyDescent="0.25">
      <c r="A134" s="268" t="s">
        <v>1428</v>
      </c>
      <c r="B134" s="183" t="s">
        <v>241</v>
      </c>
      <c r="C134" s="269">
        <v>43099</v>
      </c>
      <c r="D134" s="756">
        <f t="shared" ref="D134:D145" si="7">D133+1</f>
        <v>5288</v>
      </c>
      <c r="E134" s="261">
        <v>103</v>
      </c>
      <c r="F134" s="29">
        <v>65.8</v>
      </c>
      <c r="G134" s="39">
        <f t="shared" si="5"/>
        <v>6777.4</v>
      </c>
      <c r="H134" s="753">
        <v>43106</v>
      </c>
      <c r="I134" s="739" t="s">
        <v>1172</v>
      </c>
      <c r="L134" s="195"/>
      <c r="M134" s="195"/>
      <c r="N134" s="195"/>
    </row>
    <row r="135" spans="1:14" x14ac:dyDescent="0.25">
      <c r="A135" s="268" t="s">
        <v>1173</v>
      </c>
      <c r="B135" s="183" t="s">
        <v>1433</v>
      </c>
      <c r="C135" s="269">
        <v>43099</v>
      </c>
      <c r="D135" s="756">
        <f t="shared" si="7"/>
        <v>5289</v>
      </c>
      <c r="E135" s="261">
        <v>254.5</v>
      </c>
      <c r="F135" s="29">
        <v>30</v>
      </c>
      <c r="G135" s="39">
        <f>F135*E135+70.4*49</f>
        <v>11084.6</v>
      </c>
      <c r="H135" s="753">
        <v>43112</v>
      </c>
      <c r="I135" s="739" t="s">
        <v>1172</v>
      </c>
      <c r="L135" s="195"/>
      <c r="M135" s="195"/>
      <c r="N135" s="195"/>
    </row>
    <row r="136" spans="1:14" x14ac:dyDescent="0.25">
      <c r="A136" s="268" t="s">
        <v>1430</v>
      </c>
      <c r="B136" s="183" t="s">
        <v>1431</v>
      </c>
      <c r="C136" s="269"/>
      <c r="D136" s="756">
        <f t="shared" si="7"/>
        <v>5290</v>
      </c>
      <c r="G136" s="39">
        <f t="shared" si="5"/>
        <v>0</v>
      </c>
      <c r="L136" s="195"/>
      <c r="M136" s="195"/>
      <c r="N136" s="195"/>
    </row>
    <row r="137" spans="1:14" x14ac:dyDescent="0.25">
      <c r="A137" s="268" t="s">
        <v>1430</v>
      </c>
      <c r="B137" s="183" t="s">
        <v>1431</v>
      </c>
      <c r="C137" s="269"/>
      <c r="D137" s="756">
        <f t="shared" si="7"/>
        <v>5291</v>
      </c>
      <c r="G137" s="39">
        <f t="shared" si="5"/>
        <v>0</v>
      </c>
      <c r="L137" s="195"/>
      <c r="M137" s="195"/>
      <c r="N137" s="195"/>
    </row>
    <row r="138" spans="1:14" x14ac:dyDescent="0.25">
      <c r="A138" s="268" t="s">
        <v>1173</v>
      </c>
      <c r="B138" s="183" t="s">
        <v>1433</v>
      </c>
      <c r="C138" s="269">
        <v>43100</v>
      </c>
      <c r="D138" s="756">
        <f t="shared" si="7"/>
        <v>5292</v>
      </c>
      <c r="E138" s="261">
        <v>337.5</v>
      </c>
      <c r="F138" s="29">
        <v>49</v>
      </c>
      <c r="G138" s="39">
        <f>F138*E138+81.8*30</f>
        <v>18991.5</v>
      </c>
      <c r="H138" s="753">
        <v>43112</v>
      </c>
      <c r="I138" s="739" t="s">
        <v>1172</v>
      </c>
      <c r="L138" s="195"/>
      <c r="M138" s="195"/>
      <c r="N138" s="195"/>
    </row>
    <row r="139" spans="1:14" x14ac:dyDescent="0.25">
      <c r="A139" s="273" t="s">
        <v>1424</v>
      </c>
      <c r="B139" s="268" t="s">
        <v>206</v>
      </c>
      <c r="C139" s="274">
        <v>43100</v>
      </c>
      <c r="D139" s="756">
        <f t="shared" si="7"/>
        <v>5293</v>
      </c>
      <c r="E139" s="261">
        <v>1681</v>
      </c>
      <c r="F139" s="29">
        <v>68.5</v>
      </c>
      <c r="G139" s="39">
        <f t="shared" si="5"/>
        <v>115148.5</v>
      </c>
      <c r="H139" s="753">
        <v>43103</v>
      </c>
      <c r="I139" s="739" t="s">
        <v>1172</v>
      </c>
      <c r="J139" s="619"/>
      <c r="L139" s="195"/>
      <c r="M139" s="195"/>
      <c r="N139" s="195"/>
    </row>
    <row r="140" spans="1:14" x14ac:dyDescent="0.25">
      <c r="A140" s="273" t="s">
        <v>1430</v>
      </c>
      <c r="B140" s="268" t="s">
        <v>1431</v>
      </c>
      <c r="C140" s="274"/>
      <c r="D140" s="756">
        <f t="shared" si="7"/>
        <v>5294</v>
      </c>
      <c r="G140" s="39">
        <f t="shared" si="5"/>
        <v>0</v>
      </c>
      <c r="J140" s="619"/>
      <c r="L140" s="195"/>
      <c r="M140" s="195"/>
      <c r="N140" s="195"/>
    </row>
    <row r="141" spans="1:14" x14ac:dyDescent="0.25">
      <c r="A141" s="273" t="s">
        <v>1430</v>
      </c>
      <c r="B141" s="268" t="s">
        <v>1431</v>
      </c>
      <c r="C141" s="274"/>
      <c r="D141" s="756">
        <f t="shared" si="7"/>
        <v>5295</v>
      </c>
      <c r="G141" s="39">
        <f t="shared" si="5"/>
        <v>0</v>
      </c>
      <c r="J141" s="619"/>
      <c r="L141" s="195"/>
      <c r="M141" s="195"/>
      <c r="N141" s="195"/>
    </row>
    <row r="142" spans="1:14" x14ac:dyDescent="0.25">
      <c r="A142" s="273" t="s">
        <v>1430</v>
      </c>
      <c r="B142" s="268" t="s">
        <v>1431</v>
      </c>
      <c r="C142" s="274"/>
      <c r="D142" s="756">
        <f t="shared" si="7"/>
        <v>5296</v>
      </c>
      <c r="G142" s="39">
        <f t="shared" si="5"/>
        <v>0</v>
      </c>
      <c r="J142" s="619"/>
      <c r="L142" s="195"/>
      <c r="M142" s="195"/>
      <c r="N142" s="195"/>
    </row>
    <row r="143" spans="1:14" x14ac:dyDescent="0.25">
      <c r="A143" s="273" t="s">
        <v>1430</v>
      </c>
      <c r="B143" s="268" t="s">
        <v>1431</v>
      </c>
      <c r="C143" s="274"/>
      <c r="D143" s="756">
        <f t="shared" si="7"/>
        <v>5297</v>
      </c>
      <c r="G143" s="39">
        <f t="shared" si="5"/>
        <v>0</v>
      </c>
      <c r="J143" s="619"/>
      <c r="L143" s="195"/>
      <c r="M143" s="195"/>
      <c r="N143" s="195"/>
    </row>
    <row r="144" spans="1:14" x14ac:dyDescent="0.25">
      <c r="A144" s="273" t="s">
        <v>1430</v>
      </c>
      <c r="B144" s="268" t="s">
        <v>1431</v>
      </c>
      <c r="C144" s="274"/>
      <c r="D144" s="756">
        <f t="shared" si="7"/>
        <v>5298</v>
      </c>
      <c r="G144" s="39">
        <f t="shared" si="5"/>
        <v>0</v>
      </c>
      <c r="J144" s="619"/>
      <c r="L144" s="195"/>
      <c r="M144" s="195"/>
      <c r="N144" s="195"/>
    </row>
    <row r="145" spans="1:14" x14ac:dyDescent="0.25">
      <c r="A145" s="273" t="s">
        <v>1430</v>
      </c>
      <c r="B145" s="268" t="s">
        <v>1431</v>
      </c>
      <c r="C145" s="274"/>
      <c r="D145" s="756">
        <f t="shared" si="7"/>
        <v>5299</v>
      </c>
      <c r="G145" s="39">
        <f t="shared" si="5"/>
        <v>0</v>
      </c>
      <c r="J145" s="619"/>
      <c r="L145" s="195"/>
      <c r="M145" s="195"/>
      <c r="N145" s="195"/>
    </row>
    <row r="146" spans="1:14" x14ac:dyDescent="0.25">
      <c r="A146" s="273"/>
      <c r="B146" s="268"/>
      <c r="C146" s="274"/>
      <c r="D146" s="756"/>
      <c r="G146" s="39">
        <f t="shared" si="5"/>
        <v>0</v>
      </c>
      <c r="J146" s="619"/>
      <c r="L146" s="195"/>
      <c r="M146" s="195"/>
      <c r="N146" s="195"/>
    </row>
    <row r="147" spans="1:14" x14ac:dyDescent="0.25">
      <c r="A147" s="273"/>
      <c r="B147" s="268"/>
      <c r="C147" s="274"/>
      <c r="D147" s="756"/>
      <c r="G147" s="39">
        <f t="shared" si="5"/>
        <v>0</v>
      </c>
      <c r="J147" s="619"/>
      <c r="L147" s="195"/>
      <c r="M147" s="195"/>
      <c r="N147" s="195"/>
    </row>
    <row r="148" spans="1:14" x14ac:dyDescent="0.25">
      <c r="A148" s="273"/>
      <c r="B148" s="268"/>
      <c r="C148" s="274"/>
      <c r="D148" s="756"/>
      <c r="G148" s="39">
        <f t="shared" si="5"/>
        <v>0</v>
      </c>
      <c r="J148" s="619"/>
      <c r="L148" s="195"/>
      <c r="M148" s="195"/>
      <c r="N148" s="195"/>
    </row>
    <row r="149" spans="1:14" x14ac:dyDescent="0.25">
      <c r="A149" s="273"/>
      <c r="B149" s="268"/>
      <c r="C149" s="274"/>
      <c r="D149" s="756"/>
      <c r="G149" s="39">
        <f t="shared" si="5"/>
        <v>0</v>
      </c>
      <c r="J149" s="619"/>
      <c r="L149" s="195"/>
      <c r="M149" s="195"/>
      <c r="N149" s="195"/>
    </row>
    <row r="150" spans="1:14" x14ac:dyDescent="0.25">
      <c r="A150" s="273"/>
      <c r="B150" s="268"/>
      <c r="C150" s="274"/>
      <c r="D150" s="756"/>
      <c r="G150" s="39">
        <f t="shared" si="5"/>
        <v>0</v>
      </c>
      <c r="J150" s="619"/>
      <c r="L150" s="195"/>
      <c r="M150" s="195"/>
      <c r="N150" s="195"/>
    </row>
    <row r="151" spans="1:14" x14ac:dyDescent="0.25">
      <c r="A151" s="273"/>
      <c r="B151" s="268"/>
      <c r="C151" s="274"/>
      <c r="D151" s="756"/>
      <c r="G151" s="39">
        <f t="shared" si="5"/>
        <v>0</v>
      </c>
      <c r="J151" s="619"/>
      <c r="L151" s="195"/>
      <c r="M151" s="195"/>
      <c r="N151" s="195"/>
    </row>
    <row r="152" spans="1:14" x14ac:dyDescent="0.25">
      <c r="A152" s="273"/>
      <c r="B152" s="268"/>
      <c r="C152" s="274"/>
      <c r="D152" s="756"/>
      <c r="G152" s="39">
        <f t="shared" si="5"/>
        <v>0</v>
      </c>
      <c r="J152" s="619"/>
      <c r="L152" s="195"/>
      <c r="M152" s="195"/>
      <c r="N152" s="195"/>
    </row>
    <row r="153" spans="1:14" x14ac:dyDescent="0.25">
      <c r="A153" s="273"/>
      <c r="B153" s="268"/>
      <c r="C153" s="274"/>
      <c r="D153" s="756"/>
      <c r="G153" s="39">
        <f t="shared" si="5"/>
        <v>0</v>
      </c>
      <c r="J153" s="619"/>
      <c r="L153" s="195"/>
      <c r="M153" s="195"/>
      <c r="N153" s="195"/>
    </row>
    <row r="154" spans="1:14" x14ac:dyDescent="0.25">
      <c r="A154" s="273"/>
      <c r="B154" s="268"/>
      <c r="C154" s="269"/>
      <c r="D154" s="756"/>
      <c r="G154" s="39">
        <f t="shared" si="5"/>
        <v>0</v>
      </c>
      <c r="L154" s="195"/>
      <c r="M154" s="195"/>
      <c r="N154" s="195"/>
    </row>
    <row r="155" spans="1:14" x14ac:dyDescent="0.25">
      <c r="A155" s="273"/>
      <c r="B155" s="268"/>
      <c r="C155" s="269"/>
      <c r="D155" s="756"/>
      <c r="G155" s="39">
        <f t="shared" si="5"/>
        <v>0</v>
      </c>
      <c r="L155" s="195"/>
      <c r="M155" s="195"/>
      <c r="N155" s="195"/>
    </row>
    <row r="156" spans="1:14" x14ac:dyDescent="0.25">
      <c r="A156" s="273"/>
      <c r="B156" s="268"/>
      <c r="C156" s="31"/>
      <c r="D156" s="756"/>
      <c r="G156" s="39">
        <f t="shared" ref="G156:G162" si="8">F156*E156</f>
        <v>0</v>
      </c>
      <c r="L156" s="195"/>
      <c r="M156" s="195"/>
      <c r="N156" s="195"/>
    </row>
    <row r="157" spans="1:14" x14ac:dyDescent="0.25">
      <c r="A157" s="273"/>
      <c r="B157" s="268"/>
      <c r="C157" s="31"/>
      <c r="D157" s="756"/>
      <c r="G157" s="39">
        <f t="shared" si="8"/>
        <v>0</v>
      </c>
      <c r="L157" s="195"/>
      <c r="M157" s="195"/>
      <c r="N157" s="195"/>
    </row>
    <row r="158" spans="1:14" x14ac:dyDescent="0.25">
      <c r="A158" s="273"/>
      <c r="B158" s="268"/>
      <c r="C158" s="31"/>
      <c r="D158" s="756"/>
      <c r="G158" s="39">
        <f t="shared" si="8"/>
        <v>0</v>
      </c>
      <c r="L158" s="195"/>
      <c r="M158" s="195"/>
      <c r="N158" s="195"/>
    </row>
    <row r="159" spans="1:14" x14ac:dyDescent="0.25">
      <c r="A159" s="290"/>
      <c r="B159" s="188"/>
      <c r="C159" s="31"/>
      <c r="D159" s="756"/>
      <c r="G159" s="39">
        <f t="shared" si="8"/>
        <v>0</v>
      </c>
      <c r="L159" s="195"/>
      <c r="M159" s="195"/>
      <c r="N159" s="195"/>
    </row>
    <row r="160" spans="1:14" x14ac:dyDescent="0.25">
      <c r="A160" s="288"/>
      <c r="B160" s="308"/>
      <c r="C160" s="309"/>
      <c r="D160" s="756"/>
      <c r="G160" s="39">
        <f t="shared" si="8"/>
        <v>0</v>
      </c>
      <c r="L160" s="195"/>
      <c r="M160" s="195"/>
      <c r="N160" s="195"/>
    </row>
    <row r="161" spans="1:14" x14ac:dyDescent="0.25">
      <c r="A161" s="288"/>
      <c r="B161" s="308"/>
      <c r="C161" s="309"/>
      <c r="D161" s="756"/>
      <c r="G161" s="39">
        <f t="shared" si="8"/>
        <v>0</v>
      </c>
      <c r="L161" s="195"/>
      <c r="M161" s="195"/>
      <c r="N161" s="195"/>
    </row>
    <row r="162" spans="1:14" ht="16.5" thickBot="1" x14ac:dyDescent="0.3">
      <c r="A162" s="288"/>
      <c r="B162" s="308"/>
      <c r="C162" s="309"/>
      <c r="D162" s="757"/>
      <c r="E162" s="311"/>
      <c r="G162" s="39">
        <f t="shared" si="8"/>
        <v>0</v>
      </c>
      <c r="L162" s="195"/>
      <c r="M162" s="195"/>
      <c r="N162" s="195"/>
    </row>
    <row r="163" spans="1:14" ht="19.5" thickBot="1" x14ac:dyDescent="0.35">
      <c r="A163" s="290"/>
      <c r="B163" s="188"/>
      <c r="C163" s="31"/>
      <c r="D163" s="758"/>
      <c r="E163" s="891" t="s">
        <v>30</v>
      </c>
      <c r="F163" s="892"/>
      <c r="G163" s="214">
        <f>SUM(G154:G162)</f>
        <v>0</v>
      </c>
    </row>
    <row r="164" spans="1:14" x14ac:dyDescent="0.25">
      <c r="A164" s="290"/>
      <c r="B164" s="188"/>
      <c r="C164" s="31"/>
      <c r="D164" s="758"/>
      <c r="E164" s="311"/>
      <c r="F164" s="316"/>
      <c r="G164" s="39"/>
    </row>
    <row r="165" spans="1:14" x14ac:dyDescent="0.25">
      <c r="A165" s="290"/>
      <c r="B165" s="188"/>
      <c r="C165" s="31"/>
      <c r="D165" s="758"/>
      <c r="E165" s="311"/>
      <c r="F165" s="316"/>
      <c r="G165" s="39"/>
    </row>
    <row r="166" spans="1:14" x14ac:dyDescent="0.25">
      <c r="A166" s="290"/>
      <c r="B166" s="188"/>
      <c r="C166" s="31"/>
      <c r="D166" s="758"/>
      <c r="E166" s="311"/>
      <c r="F166" s="316"/>
      <c r="G166" s="39"/>
    </row>
    <row r="167" spans="1:14" ht="18.75" x14ac:dyDescent="0.25">
      <c r="A167" s="290"/>
      <c r="B167" s="188"/>
      <c r="C167" s="31"/>
      <c r="D167" s="759"/>
      <c r="E167" s="318"/>
      <c r="F167" s="319"/>
      <c r="G167" s="320"/>
    </row>
    <row r="168" spans="1:14" ht="18.75" x14ac:dyDescent="0.25">
      <c r="A168" s="290"/>
      <c r="B168" s="188"/>
      <c r="C168" s="31"/>
      <c r="D168" s="759"/>
      <c r="E168" s="318"/>
      <c r="F168" s="319"/>
      <c r="G168" s="320"/>
    </row>
    <row r="169" spans="1:14" x14ac:dyDescent="0.25">
      <c r="A169" s="290"/>
      <c r="B169" s="188"/>
      <c r="C169" s="31"/>
      <c r="D169" s="759"/>
      <c r="E169" s="321"/>
      <c r="F169" s="322"/>
      <c r="G169" s="323"/>
      <c r="K169"/>
    </row>
    <row r="170" spans="1:14" x14ac:dyDescent="0.25">
      <c r="A170" s="290"/>
      <c r="B170" s="188"/>
      <c r="C170" s="31"/>
      <c r="D170" s="759"/>
      <c r="E170" s="321"/>
      <c r="F170" s="322"/>
      <c r="G170" s="323"/>
      <c r="K170"/>
    </row>
    <row r="171" spans="1:14" x14ac:dyDescent="0.25">
      <c r="A171" s="290"/>
      <c r="B171" s="188"/>
      <c r="C171" s="31"/>
      <c r="D171" s="759"/>
      <c r="E171" s="321"/>
      <c r="F171" s="322"/>
      <c r="G171" s="323"/>
      <c r="K171"/>
    </row>
    <row r="172" spans="1:14" x14ac:dyDescent="0.25">
      <c r="A172" s="290"/>
      <c r="B172" s="188"/>
      <c r="C172" s="31"/>
      <c r="D172" s="759"/>
      <c r="E172" s="321"/>
      <c r="F172" s="322"/>
      <c r="G172" s="323"/>
      <c r="K172"/>
    </row>
    <row r="173" spans="1:14" x14ac:dyDescent="0.25">
      <c r="A173" s="290"/>
      <c r="B173" s="188"/>
      <c r="C173" s="31"/>
      <c r="D173" s="759"/>
      <c r="E173" s="321"/>
      <c r="F173" s="322"/>
      <c r="G173" s="323"/>
      <c r="K173"/>
    </row>
    <row r="174" spans="1:14" x14ac:dyDescent="0.25">
      <c r="A174" s="290"/>
      <c r="B174" s="188"/>
      <c r="C174" s="31"/>
      <c r="D174" s="759"/>
      <c r="E174" s="321"/>
      <c r="F174" s="322"/>
      <c r="G174" s="323"/>
      <c r="K174"/>
    </row>
    <row r="175" spans="1:14" x14ac:dyDescent="0.25">
      <c r="A175" s="290"/>
      <c r="B175" s="188"/>
      <c r="C175" s="31"/>
      <c r="D175" s="759"/>
      <c r="E175" s="321"/>
      <c r="F175" s="322"/>
      <c r="G175" s="323"/>
      <c r="K175"/>
    </row>
    <row r="176" spans="1:14" x14ac:dyDescent="0.25">
      <c r="A176" s="290"/>
      <c r="B176" s="324"/>
      <c r="C176" s="31"/>
      <c r="D176" s="754"/>
      <c r="E176" s="325"/>
      <c r="F176" s="326"/>
      <c r="G176" s="39"/>
      <c r="K176"/>
    </row>
    <row r="177" spans="1:11" x14ac:dyDescent="0.25">
      <c r="A177" s="290"/>
      <c r="B177" s="324"/>
      <c r="C177" s="31"/>
      <c r="D177" s="754"/>
      <c r="E177" s="325"/>
      <c r="F177" s="326"/>
      <c r="G177" s="39"/>
      <c r="K177"/>
    </row>
    <row r="178" spans="1:11" x14ac:dyDescent="0.25">
      <c r="A178" s="290"/>
      <c r="B178" s="324"/>
      <c r="C178" s="31"/>
      <c r="D178" s="754"/>
      <c r="E178" s="325"/>
      <c r="F178" s="326"/>
      <c r="G178" s="39"/>
      <c r="K178"/>
    </row>
    <row r="179" spans="1:11" x14ac:dyDescent="0.25">
      <c r="A179" s="290"/>
      <c r="B179" s="324"/>
      <c r="C179" s="31"/>
      <c r="D179" s="754"/>
      <c r="E179" s="325"/>
      <c r="F179" s="326"/>
      <c r="G179" s="39"/>
      <c r="K179"/>
    </row>
    <row r="180" spans="1:11" x14ac:dyDescent="0.25">
      <c r="A180" s="290"/>
      <c r="B180" s="324"/>
      <c r="C180" s="31"/>
      <c r="D180" s="754"/>
      <c r="E180" s="325"/>
      <c r="F180" s="326"/>
      <c r="G180" s="39"/>
      <c r="K180"/>
    </row>
    <row r="181" spans="1:11" x14ac:dyDescent="0.25">
      <c r="A181" s="290"/>
      <c r="B181" s="324"/>
      <c r="C181" s="31"/>
      <c r="D181" s="754"/>
      <c r="E181" s="325"/>
      <c r="F181" s="326"/>
      <c r="G181" s="39"/>
      <c r="K181"/>
    </row>
    <row r="182" spans="1:11" x14ac:dyDescent="0.25">
      <c r="A182" s="290"/>
      <c r="B182" s="324"/>
      <c r="C182" s="31"/>
      <c r="D182" s="754"/>
      <c r="E182" s="325"/>
      <c r="F182" s="326"/>
      <c r="G182" s="39"/>
      <c r="K182"/>
    </row>
    <row r="183" spans="1:11" x14ac:dyDescent="0.25">
      <c r="A183" s="290"/>
      <c r="B183" s="324"/>
      <c r="C183" s="31"/>
      <c r="D183" s="754"/>
      <c r="E183" s="325"/>
      <c r="F183" s="326"/>
      <c r="G183" s="39"/>
      <c r="K183"/>
    </row>
    <row r="184" spans="1:11" x14ac:dyDescent="0.25">
      <c r="A184" s="290"/>
      <c r="B184" s="324"/>
      <c r="C184" s="31"/>
      <c r="D184" s="754"/>
      <c r="E184" s="325"/>
      <c r="F184" s="326"/>
      <c r="G184" s="39"/>
      <c r="K184"/>
    </row>
    <row r="185" spans="1:11" x14ac:dyDescent="0.25">
      <c r="A185" s="290"/>
      <c r="B185" s="324"/>
      <c r="C185" s="31"/>
      <c r="D185" s="754"/>
      <c r="E185" s="325"/>
      <c r="F185" s="326"/>
      <c r="G185" s="39"/>
      <c r="K185"/>
    </row>
    <row r="186" spans="1:11" x14ac:dyDescent="0.25">
      <c r="A186" s="290"/>
      <c r="B186" s="324"/>
      <c r="C186" s="31"/>
      <c r="D186" s="754"/>
      <c r="E186" s="327"/>
      <c r="F186" s="328"/>
      <c r="G186" s="39"/>
      <c r="K186"/>
    </row>
    <row r="187" spans="1:11" x14ac:dyDescent="0.25">
      <c r="B187" s="324"/>
      <c r="C187" s="329"/>
      <c r="D187" s="754"/>
      <c r="E187" s="327"/>
      <c r="F187" s="328"/>
      <c r="G187" s="39"/>
      <c r="K187"/>
    </row>
    <row r="188" spans="1:11" x14ac:dyDescent="0.25">
      <c r="B188" s="324"/>
      <c r="C188" s="329"/>
      <c r="D188" s="754"/>
      <c r="E188" s="327"/>
      <c r="F188" s="328"/>
      <c r="G188" s="39"/>
      <c r="K188"/>
    </row>
    <row r="189" spans="1:11" x14ac:dyDescent="0.25">
      <c r="B189" s="324"/>
      <c r="C189" s="329"/>
      <c r="D189" s="754"/>
      <c r="E189" s="327"/>
      <c r="F189" s="328"/>
      <c r="G189" s="39"/>
      <c r="K189"/>
    </row>
    <row r="190" spans="1:11" x14ac:dyDescent="0.25">
      <c r="B190" s="324"/>
      <c r="C190" s="329"/>
      <c r="D190" s="754"/>
      <c r="E190" s="327"/>
      <c r="F190" s="328"/>
      <c r="G190" s="39"/>
      <c r="K190"/>
    </row>
    <row r="191" spans="1:11" x14ac:dyDescent="0.25">
      <c r="B191" s="324"/>
      <c r="C191" s="329"/>
      <c r="D191" s="754"/>
      <c r="E191" s="327"/>
      <c r="F191" s="328"/>
      <c r="G191" s="39"/>
      <c r="K191"/>
    </row>
    <row r="192" spans="1:11" x14ac:dyDescent="0.25">
      <c r="A192" s="290"/>
      <c r="B192" s="324"/>
      <c r="C192" s="329"/>
      <c r="D192" s="754"/>
      <c r="E192" s="327"/>
      <c r="F192" s="328"/>
      <c r="G192" s="27"/>
      <c r="K192"/>
    </row>
    <row r="193" spans="2:11" x14ac:dyDescent="0.25">
      <c r="B193" s="324"/>
      <c r="C193" s="329"/>
      <c r="D193" s="754"/>
      <c r="E193" s="327"/>
      <c r="F193" s="328"/>
      <c r="G193" s="330"/>
      <c r="K193"/>
    </row>
    <row r="194" spans="2:11" x14ac:dyDescent="0.25">
      <c r="B194" s="188"/>
      <c r="C194" s="329"/>
      <c r="D194" s="760"/>
      <c r="E194" s="311"/>
      <c r="F194" s="316"/>
      <c r="G194" s="330"/>
      <c r="K194"/>
    </row>
    <row r="195" spans="2:11" x14ac:dyDescent="0.25">
      <c r="B195" s="188"/>
      <c r="C195" s="329"/>
      <c r="D195" s="760"/>
      <c r="E195" s="311"/>
      <c r="F195" s="316"/>
      <c r="G195" s="330"/>
      <c r="K195"/>
    </row>
    <row r="196" spans="2:11" x14ac:dyDescent="0.25">
      <c r="B196" s="188"/>
      <c r="C196" s="329"/>
      <c r="D196" s="760"/>
      <c r="E196" s="311"/>
      <c r="F196" s="316"/>
      <c r="G196" s="330"/>
      <c r="K196"/>
    </row>
    <row r="197" spans="2:11" x14ac:dyDescent="0.25">
      <c r="B197" s="188"/>
      <c r="C197" s="329"/>
      <c r="D197" s="760"/>
      <c r="E197" s="311"/>
      <c r="F197" s="316"/>
      <c r="G197" s="330"/>
      <c r="K197"/>
    </row>
    <row r="198" spans="2:11" x14ac:dyDescent="0.25">
      <c r="B198" s="188"/>
      <c r="C198" s="329"/>
      <c r="D198" s="760"/>
      <c r="E198" s="311"/>
      <c r="F198" s="316"/>
      <c r="G198" s="330"/>
      <c r="K198"/>
    </row>
    <row r="199" spans="2:11" x14ac:dyDescent="0.25">
      <c r="B199" s="188"/>
      <c r="C199" s="329"/>
      <c r="D199" s="760"/>
      <c r="E199" s="311"/>
      <c r="F199" s="316"/>
      <c r="G199" s="330"/>
      <c r="K199"/>
    </row>
    <row r="200" spans="2:11" x14ac:dyDescent="0.25">
      <c r="B200" s="188"/>
      <c r="C200" s="329"/>
      <c r="D200" s="760"/>
      <c r="E200" s="311"/>
      <c r="F200" s="316"/>
      <c r="G200" s="330"/>
      <c r="K200"/>
    </row>
  </sheetData>
  <mergeCells count="2">
    <mergeCell ref="A1:G1"/>
    <mergeCell ref="E163:F163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HD103"/>
  <sheetViews>
    <sheetView topLeftCell="J1" workbookViewId="0">
      <pane xSplit="5" ySplit="3" topLeftCell="O10" activePane="bottomRight" state="frozen"/>
      <selection activeCell="J1" sqref="J1"/>
      <selection pane="topRight" activeCell="N1" sqref="N1"/>
      <selection pane="bottomLeft" activeCell="J4" sqref="J4"/>
      <selection pane="bottomRight" activeCell="J21" sqref="J21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9.425781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219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256" bestFit="1" customWidth="1"/>
    <col min="205" max="205" width="13" style="234" bestFit="1" customWidth="1"/>
    <col min="206" max="206" width="15.5703125" style="206" bestFit="1" customWidth="1"/>
    <col min="207" max="207" width="13.7109375" style="206" customWidth="1"/>
    <col min="208" max="208" width="11.42578125" style="424"/>
    <col min="209" max="209" width="11.42578125" style="219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90</v>
      </c>
      <c r="K1" s="885"/>
      <c r="L1" s="885"/>
      <c r="M1" s="885"/>
      <c r="N1" s="885"/>
      <c r="O1" s="885"/>
      <c r="P1" s="885"/>
      <c r="Q1" s="885"/>
      <c r="R1" s="885"/>
      <c r="S1" s="6"/>
      <c r="T1" s="6"/>
      <c r="U1" s="6"/>
      <c r="V1" s="7">
        <v>1</v>
      </c>
      <c r="X1" s="349" t="s">
        <v>1</v>
      </c>
      <c r="Y1" s="886"/>
      <c r="Z1" s="886"/>
      <c r="AA1" s="886"/>
      <c r="AB1" s="886"/>
      <c r="AC1" s="886"/>
      <c r="AD1" s="886"/>
      <c r="AE1" s="9" t="e">
        <f>#REF!+1</f>
        <v>#REF!</v>
      </c>
      <c r="AG1" s="869" t="e">
        <f>#REF!</f>
        <v>#REF!</v>
      </c>
      <c r="AH1" s="869"/>
      <c r="AI1" s="869"/>
      <c r="AJ1" s="869"/>
      <c r="AK1" s="869"/>
      <c r="AL1" s="869"/>
      <c r="AM1" s="869"/>
      <c r="AN1" s="9" t="e">
        <f>AE1+1</f>
        <v>#REF!</v>
      </c>
      <c r="AP1" s="869" t="e">
        <f>AG1</f>
        <v>#REF!</v>
      </c>
      <c r="AQ1" s="869"/>
      <c r="AR1" s="869"/>
      <c r="AS1" s="869"/>
      <c r="AT1" s="869"/>
      <c r="AU1" s="869"/>
      <c r="AV1" s="869"/>
      <c r="AW1" s="9" t="e">
        <f>AN1+1</f>
        <v>#REF!</v>
      </c>
      <c r="AY1" s="869" t="e">
        <f>AP1</f>
        <v>#REF!</v>
      </c>
      <c r="AZ1" s="869"/>
      <c r="BA1" s="869"/>
      <c r="BB1" s="869"/>
      <c r="BC1" s="869"/>
      <c r="BD1" s="869"/>
      <c r="BE1" s="869"/>
      <c r="BF1" s="9" t="e">
        <f>AW1+1</f>
        <v>#REF!</v>
      </c>
      <c r="BH1" s="869" t="e">
        <f>AY1</f>
        <v>#REF!</v>
      </c>
      <c r="BI1" s="869"/>
      <c r="BJ1" s="869"/>
      <c r="BK1" s="869"/>
      <c r="BL1" s="869"/>
      <c r="BM1" s="869"/>
      <c r="BN1" s="869"/>
      <c r="BO1" s="9" t="e">
        <f>BF1+1</f>
        <v>#REF!</v>
      </c>
      <c r="BQ1" s="869" t="e">
        <f>BH1</f>
        <v>#REF!</v>
      </c>
      <c r="BR1" s="869"/>
      <c r="BS1" s="869"/>
      <c r="BT1" s="869"/>
      <c r="BU1" s="869"/>
      <c r="BV1" s="869"/>
      <c r="BW1" s="869"/>
      <c r="BX1" s="9" t="e">
        <f>BO1+1</f>
        <v>#REF!</v>
      </c>
      <c r="BZ1" s="869" t="e">
        <f>BQ1</f>
        <v>#REF!</v>
      </c>
      <c r="CA1" s="869"/>
      <c r="CB1" s="869"/>
      <c r="CC1" s="869"/>
      <c r="CD1" s="869"/>
      <c r="CE1" s="869"/>
      <c r="CF1" s="869"/>
      <c r="CG1" s="9" t="e">
        <f>BX1+1</f>
        <v>#REF!</v>
      </c>
      <c r="CI1" s="869" t="e">
        <f>BZ1</f>
        <v>#REF!</v>
      </c>
      <c r="CJ1" s="869"/>
      <c r="CK1" s="869"/>
      <c r="CL1" s="869"/>
      <c r="CM1" s="869"/>
      <c r="CN1" s="869"/>
      <c r="CO1" s="869"/>
      <c r="CP1" s="9" t="e">
        <f>CG1+1</f>
        <v>#REF!</v>
      </c>
      <c r="CR1" s="869" t="e">
        <f>CI1</f>
        <v>#REF!</v>
      </c>
      <c r="CS1" s="869"/>
      <c r="CT1" s="869"/>
      <c r="CU1" s="869"/>
      <c r="CV1" s="869"/>
      <c r="CW1" s="869"/>
      <c r="CX1" s="869"/>
      <c r="CY1" s="9" t="e">
        <f>CP1+1</f>
        <v>#REF!</v>
      </c>
      <c r="DA1" s="869" t="e">
        <f>CR1</f>
        <v>#REF!</v>
      </c>
      <c r="DB1" s="869"/>
      <c r="DC1" s="869"/>
      <c r="DD1" s="869"/>
      <c r="DE1" s="869"/>
      <c r="DF1" s="869"/>
      <c r="DG1" s="869"/>
      <c r="DH1" s="9" t="e">
        <f>CY1+1</f>
        <v>#REF!</v>
      </c>
      <c r="DJ1" s="869" t="e">
        <f>DA1</f>
        <v>#REF!</v>
      </c>
      <c r="DK1" s="869"/>
      <c r="DL1" s="869"/>
      <c r="DM1" s="869"/>
      <c r="DN1" s="869"/>
      <c r="DO1" s="869"/>
      <c r="DP1" s="869"/>
      <c r="DQ1" s="9" t="e">
        <f>DH1+1</f>
        <v>#REF!</v>
      </c>
      <c r="DS1" s="869" t="e">
        <f>DJ1</f>
        <v>#REF!</v>
      </c>
      <c r="DT1" s="869"/>
      <c r="DU1" s="869"/>
      <c r="DV1" s="869"/>
      <c r="DW1" s="869"/>
      <c r="DX1" s="869"/>
      <c r="DY1" s="869"/>
      <c r="DZ1" s="9" t="e">
        <f>DQ1+1</f>
        <v>#REF!</v>
      </c>
      <c r="EB1" s="869" t="e">
        <f>DS1</f>
        <v>#REF!</v>
      </c>
      <c r="EC1" s="869"/>
      <c r="ED1" s="869"/>
      <c r="EE1" s="869"/>
      <c r="EF1" s="869"/>
      <c r="EG1" s="869"/>
      <c r="EH1" s="869"/>
      <c r="EI1" s="9" t="e">
        <f>DZ1+1</f>
        <v>#REF!</v>
      </c>
      <c r="EK1" s="869" t="e">
        <f>EB1</f>
        <v>#REF!</v>
      </c>
      <c r="EL1" s="869"/>
      <c r="EM1" s="869"/>
      <c r="EN1" s="869"/>
      <c r="EO1" s="869"/>
      <c r="EP1" s="869"/>
      <c r="EQ1" s="869"/>
      <c r="ER1" s="9" t="e">
        <f>EI1+1</f>
        <v>#REF!</v>
      </c>
      <c r="ET1" s="869" t="e">
        <f>EK1</f>
        <v>#REF!</v>
      </c>
      <c r="EU1" s="869"/>
      <c r="EV1" s="869"/>
      <c r="EW1" s="869"/>
      <c r="EX1" s="869"/>
      <c r="EY1" s="869"/>
      <c r="EZ1" s="869"/>
      <c r="FA1" s="9" t="e">
        <f>ER1+1</f>
        <v>#REF!</v>
      </c>
      <c r="FC1" s="869" t="e">
        <f>ET1</f>
        <v>#REF!</v>
      </c>
      <c r="FD1" s="869"/>
      <c r="FE1" s="869"/>
      <c r="FF1" s="869"/>
      <c r="FG1" s="869"/>
      <c r="FH1" s="869"/>
      <c r="FI1" s="869"/>
      <c r="FJ1" s="9" t="e">
        <f>FA1+1</f>
        <v>#REF!</v>
      </c>
      <c r="FL1" s="869" t="e">
        <f>FC1</f>
        <v>#REF!</v>
      </c>
      <c r="FM1" s="869"/>
      <c r="FN1" s="869"/>
      <c r="FO1" s="869"/>
      <c r="FP1" s="869"/>
      <c r="FQ1" s="869"/>
      <c r="FR1" s="869"/>
      <c r="FS1" s="9" t="e">
        <f>FJ1+1</f>
        <v>#REF!</v>
      </c>
      <c r="FU1" s="869" t="e">
        <f>FL1</f>
        <v>#REF!</v>
      </c>
      <c r="FV1" s="869"/>
      <c r="FW1" s="869"/>
      <c r="FX1" s="869"/>
      <c r="FY1" s="869"/>
      <c r="FZ1" s="869"/>
      <c r="GA1" s="869"/>
      <c r="GB1" s="9" t="e">
        <f>FS1+1</f>
        <v>#REF!</v>
      </c>
      <c r="GD1" s="869" t="e">
        <f>FU1</f>
        <v>#REF!</v>
      </c>
      <c r="GE1" s="869"/>
      <c r="GF1" s="869"/>
      <c r="GG1" s="869"/>
      <c r="GH1" s="869"/>
      <c r="GI1" s="869"/>
      <c r="GJ1" s="869"/>
      <c r="GK1" s="9" t="e">
        <f>GB1+1</f>
        <v>#REF!</v>
      </c>
      <c r="GM1" s="869" t="e">
        <f>GD1</f>
        <v>#REF!</v>
      </c>
      <c r="GN1" s="869"/>
      <c r="GO1" s="869"/>
      <c r="GP1" s="869"/>
      <c r="GQ1" s="869"/>
      <c r="GR1" s="869"/>
      <c r="GS1" s="869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420" t="s">
        <v>5</v>
      </c>
      <c r="HA1" s="15" t="s">
        <v>6</v>
      </c>
    </row>
    <row r="2" spans="1:209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5"/>
      <c r="GU2" s="346"/>
      <c r="GV2" s="347"/>
      <c r="GW2" s="348"/>
      <c r="GX2" s="31"/>
      <c r="GY2" s="31"/>
      <c r="GZ2" s="421"/>
      <c r="HA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350" t="s">
        <v>16</v>
      </c>
      <c r="L3" s="350"/>
      <c r="M3" s="334" t="s">
        <v>17</v>
      </c>
      <c r="N3" s="335" t="s">
        <v>18</v>
      </c>
      <c r="O3" s="43" t="s">
        <v>19</v>
      </c>
      <c r="P3" s="42" t="s">
        <v>20</v>
      </c>
      <c r="Q3" s="332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344"/>
      <c r="Y3" s="38" t="s">
        <v>16</v>
      </c>
      <c r="Z3" s="38"/>
      <c r="AA3" s="38" t="s">
        <v>18</v>
      </c>
      <c r="AB3" s="38" t="s">
        <v>11</v>
      </c>
      <c r="AC3" s="38" t="s">
        <v>26</v>
      </c>
      <c r="AD3" s="58" t="s">
        <v>27</v>
      </c>
      <c r="AE3" s="343" t="s">
        <v>14</v>
      </c>
      <c r="AG3" s="38" t="s">
        <v>8</v>
      </c>
      <c r="AH3" s="38" t="s">
        <v>16</v>
      </c>
      <c r="AI3" s="38"/>
      <c r="AJ3" s="38" t="s">
        <v>18</v>
      </c>
      <c r="AK3" s="38" t="s">
        <v>11</v>
      </c>
      <c r="AL3" s="38" t="s">
        <v>26</v>
      </c>
      <c r="AM3" s="58" t="s">
        <v>27</v>
      </c>
      <c r="AN3" s="343" t="s">
        <v>14</v>
      </c>
      <c r="AP3" s="38" t="s">
        <v>8</v>
      </c>
      <c r="AQ3" s="38" t="s">
        <v>16</v>
      </c>
      <c r="AR3" s="38"/>
      <c r="AS3" s="38" t="s">
        <v>18</v>
      </c>
      <c r="AT3" s="38" t="s">
        <v>11</v>
      </c>
      <c r="AU3" s="38" t="s">
        <v>26</v>
      </c>
      <c r="AV3" s="58" t="s">
        <v>27</v>
      </c>
      <c r="AW3" s="343" t="s">
        <v>14</v>
      </c>
      <c r="AY3" s="38" t="s">
        <v>8</v>
      </c>
      <c r="AZ3" s="38" t="s">
        <v>16</v>
      </c>
      <c r="BA3" s="38"/>
      <c r="BB3" s="38" t="s">
        <v>18</v>
      </c>
      <c r="BC3" s="38" t="s">
        <v>11</v>
      </c>
      <c r="BD3" s="38" t="s">
        <v>26</v>
      </c>
      <c r="BE3" s="58" t="s">
        <v>27</v>
      </c>
      <c r="BF3" s="343" t="s">
        <v>14</v>
      </c>
      <c r="BH3" s="38" t="s">
        <v>8</v>
      </c>
      <c r="BI3" s="38" t="s">
        <v>16</v>
      </c>
      <c r="BJ3" s="38"/>
      <c r="BK3" s="38" t="s">
        <v>18</v>
      </c>
      <c r="BL3" s="38" t="s">
        <v>11</v>
      </c>
      <c r="BM3" s="38" t="s">
        <v>26</v>
      </c>
      <c r="BN3" s="59" t="s">
        <v>27</v>
      </c>
      <c r="BO3" s="343" t="s">
        <v>14</v>
      </c>
      <c r="BQ3" s="38" t="s">
        <v>8</v>
      </c>
      <c r="BR3" s="38" t="s">
        <v>16</v>
      </c>
      <c r="BS3" s="38"/>
      <c r="BT3" s="38" t="s">
        <v>18</v>
      </c>
      <c r="BU3" s="38" t="s">
        <v>11</v>
      </c>
      <c r="BV3" s="38" t="s">
        <v>26</v>
      </c>
      <c r="BW3" s="59" t="s">
        <v>27</v>
      </c>
      <c r="BX3" s="343" t="s">
        <v>14</v>
      </c>
      <c r="BZ3" s="38" t="s">
        <v>8</v>
      </c>
      <c r="CA3" s="38" t="s">
        <v>16</v>
      </c>
      <c r="CB3" s="38"/>
      <c r="CC3" s="38" t="s">
        <v>18</v>
      </c>
      <c r="CD3" s="38" t="s">
        <v>11</v>
      </c>
      <c r="CE3" s="38" t="s">
        <v>26</v>
      </c>
      <c r="CF3" s="59" t="s">
        <v>27</v>
      </c>
      <c r="CG3" s="343" t="s">
        <v>14</v>
      </c>
      <c r="CI3" s="38" t="s">
        <v>8</v>
      </c>
      <c r="CJ3" s="38" t="s">
        <v>16</v>
      </c>
      <c r="CK3" s="38"/>
      <c r="CL3" s="38" t="s">
        <v>18</v>
      </c>
      <c r="CM3" s="38" t="s">
        <v>11</v>
      </c>
      <c r="CN3" s="38" t="s">
        <v>26</v>
      </c>
      <c r="CO3" s="58" t="s">
        <v>27</v>
      </c>
      <c r="CP3" s="343" t="s">
        <v>14</v>
      </c>
      <c r="CR3" s="38" t="s">
        <v>8</v>
      </c>
      <c r="CS3" s="38" t="s">
        <v>16</v>
      </c>
      <c r="CT3" s="38"/>
      <c r="CU3" s="38" t="s">
        <v>18</v>
      </c>
      <c r="CV3" s="38" t="s">
        <v>11</v>
      </c>
      <c r="CW3" s="38" t="s">
        <v>26</v>
      </c>
      <c r="CX3" s="59" t="s">
        <v>27</v>
      </c>
      <c r="CY3" s="343" t="s">
        <v>14</v>
      </c>
      <c r="DA3" s="38" t="s">
        <v>8</v>
      </c>
      <c r="DB3" s="38" t="s">
        <v>16</v>
      </c>
      <c r="DC3" s="38"/>
      <c r="DD3" s="38" t="s">
        <v>18</v>
      </c>
      <c r="DE3" s="38" t="s">
        <v>11</v>
      </c>
      <c r="DF3" s="38" t="s">
        <v>26</v>
      </c>
      <c r="DG3" s="59" t="s">
        <v>27</v>
      </c>
      <c r="DH3" s="343" t="s">
        <v>14</v>
      </c>
      <c r="DJ3" s="38" t="s">
        <v>8</v>
      </c>
      <c r="DK3" s="38" t="s">
        <v>16</v>
      </c>
      <c r="DL3" s="38"/>
      <c r="DM3" s="38" t="s">
        <v>18</v>
      </c>
      <c r="DN3" s="38" t="s">
        <v>11</v>
      </c>
      <c r="DO3" s="38" t="s">
        <v>26</v>
      </c>
      <c r="DP3" s="59" t="s">
        <v>27</v>
      </c>
      <c r="DQ3" s="343" t="s">
        <v>14</v>
      </c>
      <c r="DS3" s="38" t="s">
        <v>8</v>
      </c>
      <c r="DT3" s="38" t="s">
        <v>16</v>
      </c>
      <c r="DU3" s="38"/>
      <c r="DV3" s="38" t="s">
        <v>18</v>
      </c>
      <c r="DW3" s="38" t="s">
        <v>11</v>
      </c>
      <c r="DX3" s="38" t="s">
        <v>26</v>
      </c>
      <c r="DY3" s="59" t="s">
        <v>27</v>
      </c>
      <c r="DZ3" s="343" t="s">
        <v>14</v>
      </c>
      <c r="EB3" s="38" t="s">
        <v>8</v>
      </c>
      <c r="EC3" s="38" t="s">
        <v>16</v>
      </c>
      <c r="ED3" s="38"/>
      <c r="EE3" s="38" t="s">
        <v>18</v>
      </c>
      <c r="EF3" s="38" t="s">
        <v>11</v>
      </c>
      <c r="EG3" s="38" t="s">
        <v>26</v>
      </c>
      <c r="EH3" s="59" t="s">
        <v>27</v>
      </c>
      <c r="EI3" s="343" t="s">
        <v>14</v>
      </c>
      <c r="EK3" s="38" t="s">
        <v>8</v>
      </c>
      <c r="EL3" s="38" t="s">
        <v>16</v>
      </c>
      <c r="EM3" s="38"/>
      <c r="EN3" s="38" t="s">
        <v>18</v>
      </c>
      <c r="EO3" s="38" t="s">
        <v>11</v>
      </c>
      <c r="EP3" s="38" t="s">
        <v>26</v>
      </c>
      <c r="EQ3" s="59" t="s">
        <v>27</v>
      </c>
      <c r="ER3" s="343" t="s">
        <v>14</v>
      </c>
      <c r="ET3" s="38" t="s">
        <v>8</v>
      </c>
      <c r="EU3" s="38" t="s">
        <v>16</v>
      </c>
      <c r="EV3" s="38"/>
      <c r="EW3" s="38" t="s">
        <v>18</v>
      </c>
      <c r="EX3" s="38" t="s">
        <v>11</v>
      </c>
      <c r="EY3" s="38" t="s">
        <v>26</v>
      </c>
      <c r="EZ3" s="59" t="s">
        <v>27</v>
      </c>
      <c r="FA3" s="343" t="s">
        <v>14</v>
      </c>
      <c r="FC3" s="38" t="s">
        <v>8</v>
      </c>
      <c r="FD3" s="38" t="s">
        <v>16</v>
      </c>
      <c r="FE3" s="38"/>
      <c r="FF3" s="38" t="s">
        <v>18</v>
      </c>
      <c r="FG3" s="38" t="s">
        <v>11</v>
      </c>
      <c r="FH3" s="38" t="s">
        <v>26</v>
      </c>
      <c r="FI3" s="59" t="s">
        <v>27</v>
      </c>
      <c r="FJ3" s="343" t="s">
        <v>14</v>
      </c>
      <c r="FL3" s="38" t="s">
        <v>8</v>
      </c>
      <c r="FM3" s="38" t="s">
        <v>16</v>
      </c>
      <c r="FN3" s="38"/>
      <c r="FO3" s="38" t="s">
        <v>18</v>
      </c>
      <c r="FP3" s="38" t="s">
        <v>11</v>
      </c>
      <c r="FQ3" s="38" t="s">
        <v>26</v>
      </c>
      <c r="FR3" s="59" t="s">
        <v>27</v>
      </c>
      <c r="FS3" s="343" t="s">
        <v>14</v>
      </c>
      <c r="FU3" s="38" t="s">
        <v>8</v>
      </c>
      <c r="FV3" s="38" t="s">
        <v>16</v>
      </c>
      <c r="FW3" s="38"/>
      <c r="FX3" s="38" t="s">
        <v>18</v>
      </c>
      <c r="FY3" s="38" t="s">
        <v>11</v>
      </c>
      <c r="FZ3" s="38" t="s">
        <v>26</v>
      </c>
      <c r="GA3" s="59" t="s">
        <v>27</v>
      </c>
      <c r="GB3" s="343" t="s">
        <v>14</v>
      </c>
      <c r="GD3" s="38" t="s">
        <v>8</v>
      </c>
      <c r="GE3" s="38" t="s">
        <v>16</v>
      </c>
      <c r="GF3" s="38"/>
      <c r="GG3" s="38" t="s">
        <v>18</v>
      </c>
      <c r="GH3" s="38" t="s">
        <v>11</v>
      </c>
      <c r="GI3" s="38" t="s">
        <v>26</v>
      </c>
      <c r="GJ3" s="59" t="s">
        <v>27</v>
      </c>
      <c r="GK3" s="343" t="s">
        <v>14</v>
      </c>
      <c r="GM3" s="38" t="s">
        <v>8</v>
      </c>
      <c r="GN3" s="38" t="s">
        <v>16</v>
      </c>
      <c r="GO3" s="38"/>
      <c r="GP3" s="38" t="s">
        <v>18</v>
      </c>
      <c r="GQ3" s="38" t="s">
        <v>11</v>
      </c>
      <c r="GR3" s="38" t="s">
        <v>26</v>
      </c>
      <c r="GS3" s="59" t="s">
        <v>27</v>
      </c>
      <c r="GT3" s="343" t="s">
        <v>14</v>
      </c>
      <c r="GU3" s="49"/>
      <c r="GV3" s="50"/>
      <c r="GW3" s="51"/>
      <c r="GX3" s="52"/>
      <c r="GY3" s="53"/>
      <c r="GZ3" s="422"/>
      <c r="HA3" s="55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91</v>
      </c>
      <c r="K4" s="69" t="s">
        <v>92</v>
      </c>
      <c r="L4" s="69">
        <v>130</v>
      </c>
      <c r="M4" s="77">
        <v>10350</v>
      </c>
      <c r="N4" s="71">
        <v>42767</v>
      </c>
      <c r="O4" s="56" t="s">
        <v>170</v>
      </c>
      <c r="P4" s="351">
        <f>13005-100</f>
        <v>12905</v>
      </c>
      <c r="Q4" s="60">
        <f>P4-M4</f>
        <v>2555</v>
      </c>
      <c r="R4" s="333">
        <v>28.5</v>
      </c>
      <c r="S4" s="57"/>
      <c r="T4" s="57"/>
      <c r="U4" s="39">
        <f>R4*P4</f>
        <v>367792.5</v>
      </c>
      <c r="V4" s="61" t="s">
        <v>72</v>
      </c>
      <c r="W4" s="62">
        <v>42789</v>
      </c>
      <c r="X4" s="63">
        <v>9311.9</v>
      </c>
      <c r="Y4" s="38"/>
      <c r="Z4" s="38"/>
      <c r="AA4" s="38"/>
      <c r="AB4" s="38"/>
      <c r="AC4" s="38"/>
      <c r="AD4" s="58"/>
      <c r="AE4" s="59"/>
      <c r="AG4" s="38"/>
      <c r="AH4" s="38"/>
      <c r="AI4" s="38"/>
      <c r="AJ4" s="38"/>
      <c r="AK4" s="38"/>
      <c r="AL4" s="38"/>
      <c r="AM4" s="58"/>
      <c r="AN4" s="59"/>
      <c r="AP4" s="38"/>
      <c r="AQ4" s="38"/>
      <c r="AR4" s="38"/>
      <c r="AS4" s="38"/>
      <c r="AT4" s="38"/>
      <c r="AU4" s="38"/>
      <c r="AV4" s="58"/>
      <c r="AW4" s="59"/>
      <c r="AY4" s="38"/>
      <c r="AZ4" s="38"/>
      <c r="BA4" s="38"/>
      <c r="BB4" s="38"/>
      <c r="BC4" s="38"/>
      <c r="BD4" s="38"/>
      <c r="BE4" s="58"/>
      <c r="BF4" s="59"/>
      <c r="BH4" s="38"/>
      <c r="BI4" s="38"/>
      <c r="BJ4" s="38"/>
      <c r="BK4" s="38"/>
      <c r="BL4" s="38"/>
      <c r="BM4" s="38"/>
      <c r="BN4" s="59"/>
      <c r="BO4" s="59"/>
      <c r="BQ4" s="38"/>
      <c r="BR4" s="38"/>
      <c r="BS4" s="38"/>
      <c r="BT4" s="38"/>
      <c r="BU4" s="38"/>
      <c r="BV4" s="38"/>
      <c r="BW4" s="59"/>
      <c r="BX4" s="59"/>
      <c r="BZ4" s="38"/>
      <c r="CA4" s="38"/>
      <c r="CB4" s="38"/>
      <c r="CC4" s="38"/>
      <c r="CD4" s="38"/>
      <c r="CE4" s="38"/>
      <c r="CF4" s="59"/>
      <c r="CG4" s="59"/>
      <c r="CI4" s="38"/>
      <c r="CJ4" s="38"/>
      <c r="CK4" s="38"/>
      <c r="CL4" s="38"/>
      <c r="CM4" s="38"/>
      <c r="CN4" s="38"/>
      <c r="CO4" s="58"/>
      <c r="CP4" s="59"/>
      <c r="CR4" s="38"/>
      <c r="CS4" s="38"/>
      <c r="CT4" s="38"/>
      <c r="CU4" s="38"/>
      <c r="CV4" s="38"/>
      <c r="CW4" s="38"/>
      <c r="CX4" s="59"/>
      <c r="CY4" s="59"/>
      <c r="DA4" s="38"/>
      <c r="DB4" s="38"/>
      <c r="DC4" s="38"/>
      <c r="DD4" s="38"/>
      <c r="DE4" s="38"/>
      <c r="DF4" s="38"/>
      <c r="DG4" s="59"/>
      <c r="DH4" s="59"/>
      <c r="DJ4" s="38"/>
      <c r="DK4" s="38"/>
      <c r="DL4" s="38"/>
      <c r="DM4" s="38"/>
      <c r="DN4" s="38"/>
      <c r="DO4" s="38"/>
      <c r="DP4" s="59"/>
      <c r="DQ4" s="59"/>
      <c r="DS4" s="38"/>
      <c r="DT4" s="38"/>
      <c r="DU4" s="38"/>
      <c r="DV4" s="38"/>
      <c r="DW4" s="38"/>
      <c r="DX4" s="38"/>
      <c r="DY4" s="59"/>
      <c r="DZ4" s="59"/>
      <c r="EB4" s="38"/>
      <c r="EC4" s="38"/>
      <c r="ED4" s="38"/>
      <c r="EE4" s="38"/>
      <c r="EF4" s="38"/>
      <c r="EG4" s="38"/>
      <c r="EH4" s="59"/>
      <c r="EI4" s="59"/>
      <c r="EK4" s="38"/>
      <c r="EL4" s="38"/>
      <c r="EM4" s="38"/>
      <c r="EN4" s="38"/>
      <c r="EO4" s="38"/>
      <c r="EP4" s="38"/>
      <c r="EQ4" s="59"/>
      <c r="ER4" s="59"/>
      <c r="ET4" s="38"/>
      <c r="EU4" s="38"/>
      <c r="EV4" s="38"/>
      <c r="EW4" s="38"/>
      <c r="EX4" s="38"/>
      <c r="EY4" s="38"/>
      <c r="EZ4" s="59"/>
      <c r="FA4" s="59"/>
      <c r="FC4" s="38"/>
      <c r="FD4" s="38"/>
      <c r="FE4" s="38"/>
      <c r="FF4" s="38"/>
      <c r="FG4" s="38"/>
      <c r="FH4" s="38"/>
      <c r="FI4" s="59"/>
      <c r="FJ4" s="59"/>
      <c r="FL4" s="38"/>
      <c r="FM4" s="38"/>
      <c r="FN4" s="38"/>
      <c r="FO4" s="38"/>
      <c r="FP4" s="38"/>
      <c r="FQ4" s="38"/>
      <c r="FR4" s="59"/>
      <c r="FS4" s="59"/>
      <c r="FU4" s="38"/>
      <c r="FV4" s="38"/>
      <c r="FW4" s="38"/>
      <c r="FX4" s="38"/>
      <c r="FY4" s="38"/>
      <c r="FZ4" s="38"/>
      <c r="GA4" s="59"/>
      <c r="GB4" s="59"/>
      <c r="GD4" s="38"/>
      <c r="GE4" s="38"/>
      <c r="GF4" s="38"/>
      <c r="GG4" s="38"/>
      <c r="GH4" s="38"/>
      <c r="GI4" s="38"/>
      <c r="GJ4" s="59"/>
      <c r="GK4" s="59"/>
      <c r="GM4" s="38"/>
      <c r="GN4" s="38"/>
      <c r="GO4" s="38"/>
      <c r="GP4" s="38"/>
      <c r="GQ4" s="38"/>
      <c r="GR4" s="38"/>
      <c r="GS4" s="59"/>
      <c r="GT4" s="59"/>
      <c r="GU4" s="257">
        <v>42789</v>
      </c>
      <c r="GV4" s="226"/>
      <c r="GW4" s="258">
        <v>17584</v>
      </c>
      <c r="GX4" s="31" t="s">
        <v>120</v>
      </c>
      <c r="GY4" s="31"/>
      <c r="GZ4" s="427">
        <v>42807</v>
      </c>
      <c r="HA4" s="33">
        <v>2552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69" t="s">
        <v>43</v>
      </c>
      <c r="K5" s="69" t="s">
        <v>59</v>
      </c>
      <c r="L5" s="69">
        <v>230</v>
      </c>
      <c r="M5" s="77">
        <v>18640</v>
      </c>
      <c r="N5" s="71">
        <v>42768</v>
      </c>
      <c r="O5" s="56" t="s">
        <v>172</v>
      </c>
      <c r="P5" s="27">
        <v>27270</v>
      </c>
      <c r="Q5" s="60">
        <f>P5-M5</f>
        <v>8630</v>
      </c>
      <c r="R5" s="29">
        <v>28.5</v>
      </c>
      <c r="S5" s="57"/>
      <c r="T5" s="57"/>
      <c r="U5" s="39">
        <f>R5*P5</f>
        <v>777195</v>
      </c>
      <c r="V5" s="336" t="s">
        <v>72</v>
      </c>
      <c r="W5" s="166">
        <v>42793</v>
      </c>
      <c r="X5" s="86">
        <v>16474.900000000001</v>
      </c>
      <c r="Y5" s="20"/>
      <c r="Z5" s="20"/>
      <c r="AA5" s="20"/>
      <c r="AB5" s="20"/>
      <c r="AC5" s="20"/>
      <c r="AD5" s="337"/>
      <c r="AE5" s="22"/>
      <c r="AF5" s="17"/>
      <c r="AG5" s="20"/>
      <c r="AH5" s="20"/>
      <c r="AI5" s="20"/>
      <c r="AJ5" s="20"/>
      <c r="AK5" s="20"/>
      <c r="AL5" s="20"/>
      <c r="AM5" s="337"/>
      <c r="AN5" s="22"/>
      <c r="AO5" s="17"/>
      <c r="AP5" s="20"/>
      <c r="AQ5" s="20"/>
      <c r="AR5" s="20"/>
      <c r="AS5" s="20"/>
      <c r="AT5" s="20"/>
      <c r="AU5" s="20"/>
      <c r="AV5" s="337"/>
      <c r="AW5" s="22"/>
      <c r="AX5" s="17"/>
      <c r="AY5" s="20"/>
      <c r="AZ5" s="20"/>
      <c r="BA5" s="20"/>
      <c r="BB5" s="20"/>
      <c r="BC5" s="20"/>
      <c r="BD5" s="20"/>
      <c r="BE5" s="337"/>
      <c r="BF5" s="22"/>
      <c r="BG5" s="17"/>
      <c r="BH5" s="20"/>
      <c r="BI5" s="20"/>
      <c r="BJ5" s="20"/>
      <c r="BK5" s="20"/>
      <c r="BL5" s="20"/>
      <c r="BM5" s="20"/>
      <c r="BN5" s="22"/>
      <c r="BO5" s="22"/>
      <c r="BP5" s="17"/>
      <c r="BQ5" s="20"/>
      <c r="BR5" s="20"/>
      <c r="BS5" s="20"/>
      <c r="BT5" s="20"/>
      <c r="BU5" s="20"/>
      <c r="BV5" s="20"/>
      <c r="BW5" s="22"/>
      <c r="BX5" s="22"/>
      <c r="BY5" s="17"/>
      <c r="BZ5" s="20"/>
      <c r="CA5" s="20"/>
      <c r="CB5" s="20"/>
      <c r="CC5" s="20"/>
      <c r="CD5" s="20"/>
      <c r="CE5" s="20"/>
      <c r="CF5" s="22"/>
      <c r="CG5" s="22"/>
      <c r="CH5" s="17"/>
      <c r="CI5" s="20"/>
      <c r="CJ5" s="20"/>
      <c r="CK5" s="20"/>
      <c r="CL5" s="20"/>
      <c r="CM5" s="20"/>
      <c r="CN5" s="20"/>
      <c r="CO5" s="337"/>
      <c r="CP5" s="22"/>
      <c r="CQ5" s="17"/>
      <c r="CR5" s="20"/>
      <c r="CS5" s="20"/>
      <c r="CT5" s="20"/>
      <c r="CU5" s="20"/>
      <c r="CV5" s="20"/>
      <c r="CW5" s="20"/>
      <c r="CX5" s="22"/>
      <c r="CY5" s="22"/>
      <c r="CZ5" s="17"/>
      <c r="DA5" s="20"/>
      <c r="DB5" s="20"/>
      <c r="DC5" s="20"/>
      <c r="DD5" s="20"/>
      <c r="DE5" s="20"/>
      <c r="DF5" s="20"/>
      <c r="DG5" s="22"/>
      <c r="DH5" s="22"/>
      <c r="DI5" s="17"/>
      <c r="DJ5" s="20"/>
      <c r="DK5" s="20"/>
      <c r="DL5" s="20"/>
      <c r="DM5" s="20"/>
      <c r="DN5" s="20"/>
      <c r="DO5" s="20"/>
      <c r="DP5" s="22"/>
      <c r="DQ5" s="22"/>
      <c r="DR5" s="17"/>
      <c r="DS5" s="20"/>
      <c r="DT5" s="20"/>
      <c r="DU5" s="20"/>
      <c r="DV5" s="20"/>
      <c r="DW5" s="20"/>
      <c r="DX5" s="20"/>
      <c r="DY5" s="22"/>
      <c r="DZ5" s="22"/>
      <c r="EA5" s="17"/>
      <c r="EB5" s="20"/>
      <c r="EC5" s="20"/>
      <c r="ED5" s="20"/>
      <c r="EE5" s="20"/>
      <c r="EF5" s="20"/>
      <c r="EG5" s="20"/>
      <c r="EH5" s="22"/>
      <c r="EI5" s="22"/>
      <c r="EJ5" s="17"/>
      <c r="EK5" s="20"/>
      <c r="EL5" s="20"/>
      <c r="EM5" s="20"/>
      <c r="EN5" s="20"/>
      <c r="EO5" s="20"/>
      <c r="EP5" s="20"/>
      <c r="EQ5" s="22"/>
      <c r="ER5" s="22"/>
      <c r="ES5" s="17"/>
      <c r="ET5" s="20"/>
      <c r="EU5" s="20"/>
      <c r="EV5" s="20"/>
      <c r="EW5" s="20"/>
      <c r="EX5" s="20"/>
      <c r="EY5" s="20"/>
      <c r="EZ5" s="22"/>
      <c r="FA5" s="22"/>
      <c r="FB5" s="17"/>
      <c r="FC5" s="20"/>
      <c r="FD5" s="20"/>
      <c r="FE5" s="20"/>
      <c r="FF5" s="20"/>
      <c r="FG5" s="20"/>
      <c r="FH5" s="20"/>
      <c r="FI5" s="22"/>
      <c r="FJ5" s="22"/>
      <c r="FK5" s="17"/>
      <c r="FL5" s="20"/>
      <c r="FM5" s="20"/>
      <c r="FN5" s="20"/>
      <c r="FO5" s="20"/>
      <c r="FP5" s="20"/>
      <c r="FQ5" s="20"/>
      <c r="FR5" s="22"/>
      <c r="FS5" s="22"/>
      <c r="FT5" s="17"/>
      <c r="FU5" s="20"/>
      <c r="FV5" s="20"/>
      <c r="FW5" s="20"/>
      <c r="FX5" s="20"/>
      <c r="FY5" s="20"/>
      <c r="FZ5" s="20"/>
      <c r="GA5" s="22"/>
      <c r="GB5" s="22"/>
      <c r="GC5" s="17"/>
      <c r="GD5" s="20"/>
      <c r="GE5" s="20"/>
      <c r="GF5" s="20"/>
      <c r="GG5" s="20"/>
      <c r="GH5" s="20"/>
      <c r="GI5" s="20"/>
      <c r="GJ5" s="22"/>
      <c r="GK5" s="22"/>
      <c r="GL5" s="17"/>
      <c r="GM5" s="20"/>
      <c r="GN5" s="20"/>
      <c r="GO5" s="20"/>
      <c r="GP5" s="20"/>
      <c r="GQ5" s="20"/>
      <c r="GR5" s="20"/>
      <c r="GS5" s="22"/>
      <c r="GT5" s="22"/>
      <c r="GU5" s="338">
        <v>42793</v>
      </c>
      <c r="GV5" s="64"/>
      <c r="GW5" s="65"/>
      <c r="GX5" s="66"/>
      <c r="GY5" s="66"/>
      <c r="GZ5" s="428">
        <v>42807</v>
      </c>
      <c r="HA5" s="67">
        <v>4408</v>
      </c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68" t="s">
        <v>94</v>
      </c>
      <c r="K6" s="69" t="s">
        <v>93</v>
      </c>
      <c r="L6" s="69">
        <v>100</v>
      </c>
      <c r="M6" s="70">
        <v>12310</v>
      </c>
      <c r="N6" s="71">
        <v>42768</v>
      </c>
      <c r="O6" s="56" t="s">
        <v>171</v>
      </c>
      <c r="P6" s="72">
        <v>11285</v>
      </c>
      <c r="Q6" s="60">
        <f>P6-M6</f>
        <v>-1025</v>
      </c>
      <c r="R6" s="64">
        <v>28.5</v>
      </c>
      <c r="S6" s="57"/>
      <c r="T6" s="57"/>
      <c r="U6" s="39">
        <f t="shared" ref="U6:U73" si="0">R6*P6</f>
        <v>321622.5</v>
      </c>
      <c r="V6" s="82" t="s">
        <v>72</v>
      </c>
      <c r="W6" s="339">
        <v>42793</v>
      </c>
      <c r="X6" s="340">
        <v>7163</v>
      </c>
      <c r="Y6" s="20"/>
      <c r="Z6" s="20"/>
      <c r="AA6" s="20"/>
      <c r="AB6" s="20"/>
      <c r="AC6" s="20"/>
      <c r="AD6" s="337"/>
      <c r="AE6" s="22"/>
      <c r="AF6" s="17"/>
      <c r="AG6" s="20"/>
      <c r="AH6" s="20"/>
      <c r="AI6" s="20"/>
      <c r="AJ6" s="20"/>
      <c r="AK6" s="20"/>
      <c r="AL6" s="20"/>
      <c r="AM6" s="337"/>
      <c r="AN6" s="22"/>
      <c r="AO6" s="17"/>
      <c r="AP6" s="20"/>
      <c r="AQ6" s="20"/>
      <c r="AR6" s="20"/>
      <c r="AS6" s="20"/>
      <c r="AT6" s="20"/>
      <c r="AU6" s="20"/>
      <c r="AV6" s="337"/>
      <c r="AW6" s="22"/>
      <c r="AX6" s="17"/>
      <c r="AY6" s="20"/>
      <c r="AZ6" s="20"/>
      <c r="BA6" s="20"/>
      <c r="BB6" s="20"/>
      <c r="BC6" s="20"/>
      <c r="BD6" s="20"/>
      <c r="BE6" s="337"/>
      <c r="BF6" s="22"/>
      <c r="BG6" s="17"/>
      <c r="BH6" s="20"/>
      <c r="BI6" s="20"/>
      <c r="BJ6" s="20"/>
      <c r="BK6" s="20"/>
      <c r="BL6" s="20"/>
      <c r="BM6" s="20"/>
      <c r="BN6" s="22"/>
      <c r="BO6" s="22"/>
      <c r="BP6" s="17"/>
      <c r="BQ6" s="20"/>
      <c r="BR6" s="20"/>
      <c r="BS6" s="20"/>
      <c r="BT6" s="20"/>
      <c r="BU6" s="20"/>
      <c r="BV6" s="20"/>
      <c r="BW6" s="22"/>
      <c r="BX6" s="22"/>
      <c r="BY6" s="17"/>
      <c r="BZ6" s="20"/>
      <c r="CA6" s="20"/>
      <c r="CB6" s="20"/>
      <c r="CC6" s="20"/>
      <c r="CD6" s="20"/>
      <c r="CE6" s="20"/>
      <c r="CF6" s="22"/>
      <c r="CG6" s="22"/>
      <c r="CH6" s="17"/>
      <c r="CI6" s="20"/>
      <c r="CJ6" s="20"/>
      <c r="CK6" s="20"/>
      <c r="CL6" s="20"/>
      <c r="CM6" s="20"/>
      <c r="CN6" s="20"/>
      <c r="CO6" s="337"/>
      <c r="CP6" s="22"/>
      <c r="CQ6" s="17"/>
      <c r="CR6" s="20"/>
      <c r="CS6" s="20"/>
      <c r="CT6" s="20"/>
      <c r="CU6" s="20"/>
      <c r="CV6" s="20"/>
      <c r="CW6" s="20"/>
      <c r="CX6" s="22"/>
      <c r="CY6" s="22"/>
      <c r="CZ6" s="17"/>
      <c r="DA6" s="20"/>
      <c r="DB6" s="20"/>
      <c r="DC6" s="20"/>
      <c r="DD6" s="20"/>
      <c r="DE6" s="20"/>
      <c r="DF6" s="20"/>
      <c r="DG6" s="22"/>
      <c r="DH6" s="22"/>
      <c r="DI6" s="17"/>
      <c r="DJ6" s="20"/>
      <c r="DK6" s="20"/>
      <c r="DL6" s="20"/>
      <c r="DM6" s="20"/>
      <c r="DN6" s="20"/>
      <c r="DO6" s="20"/>
      <c r="DP6" s="22"/>
      <c r="DQ6" s="22"/>
      <c r="DR6" s="17"/>
      <c r="DS6" s="20"/>
      <c r="DT6" s="20"/>
      <c r="DU6" s="20"/>
      <c r="DV6" s="20"/>
      <c r="DW6" s="20"/>
      <c r="DX6" s="20"/>
      <c r="DY6" s="22"/>
      <c r="DZ6" s="22"/>
      <c r="EA6" s="17"/>
      <c r="EB6" s="20"/>
      <c r="EC6" s="20"/>
      <c r="ED6" s="20"/>
      <c r="EE6" s="20"/>
      <c r="EF6" s="20"/>
      <c r="EG6" s="20"/>
      <c r="EH6" s="22"/>
      <c r="EI6" s="22"/>
      <c r="EJ6" s="17"/>
      <c r="EK6" s="20"/>
      <c r="EL6" s="20"/>
      <c r="EM6" s="20"/>
      <c r="EN6" s="20"/>
      <c r="EO6" s="20"/>
      <c r="EP6" s="20"/>
      <c r="EQ6" s="22"/>
      <c r="ER6" s="22"/>
      <c r="ES6" s="17"/>
      <c r="ET6" s="20"/>
      <c r="EU6" s="20"/>
      <c r="EV6" s="20"/>
      <c r="EW6" s="20"/>
      <c r="EX6" s="20"/>
      <c r="EY6" s="20"/>
      <c r="EZ6" s="22"/>
      <c r="FA6" s="22"/>
      <c r="FB6" s="17"/>
      <c r="FC6" s="20"/>
      <c r="FD6" s="20"/>
      <c r="FE6" s="20"/>
      <c r="FF6" s="20"/>
      <c r="FG6" s="20"/>
      <c r="FH6" s="20"/>
      <c r="FI6" s="22"/>
      <c r="FJ6" s="22"/>
      <c r="FK6" s="17"/>
      <c r="FL6" s="20"/>
      <c r="FM6" s="20"/>
      <c r="FN6" s="20"/>
      <c r="FO6" s="20"/>
      <c r="FP6" s="20"/>
      <c r="FQ6" s="20"/>
      <c r="FR6" s="22"/>
      <c r="FS6" s="22"/>
      <c r="FT6" s="17"/>
      <c r="FU6" s="20"/>
      <c r="FV6" s="20"/>
      <c r="FW6" s="20"/>
      <c r="FX6" s="20"/>
      <c r="FY6" s="20"/>
      <c r="FZ6" s="20"/>
      <c r="GA6" s="22"/>
      <c r="GB6" s="22"/>
      <c r="GC6" s="17"/>
      <c r="GD6" s="20"/>
      <c r="GE6" s="20"/>
      <c r="GF6" s="20"/>
      <c r="GG6" s="20"/>
      <c r="GH6" s="20"/>
      <c r="GI6" s="20"/>
      <c r="GJ6" s="22"/>
      <c r="GK6" s="22"/>
      <c r="GL6" s="17"/>
      <c r="GM6" s="20"/>
      <c r="GN6" s="20"/>
      <c r="GO6" s="20"/>
      <c r="GP6" s="20"/>
      <c r="GQ6" s="20"/>
      <c r="GR6" s="20"/>
      <c r="GS6" s="22"/>
      <c r="GT6" s="22"/>
      <c r="GU6" s="341">
        <v>42793</v>
      </c>
      <c r="GV6" s="73"/>
      <c r="GW6" s="65">
        <v>17584</v>
      </c>
      <c r="GX6" s="74" t="s">
        <v>121</v>
      </c>
      <c r="GY6" s="74"/>
      <c r="GZ6" s="428">
        <v>42807</v>
      </c>
      <c r="HA6" s="429">
        <v>2552</v>
      </c>
    </row>
    <row r="7" spans="1:209" x14ac:dyDescent="0.25">
      <c r="B7" s="34"/>
      <c r="C7" s="34"/>
      <c r="D7" s="35"/>
      <c r="E7" s="36"/>
      <c r="F7" s="37"/>
      <c r="G7" s="38"/>
      <c r="H7" s="39"/>
      <c r="I7" s="40"/>
      <c r="J7" s="383" t="s">
        <v>62</v>
      </c>
      <c r="K7" s="69" t="s">
        <v>70</v>
      </c>
      <c r="L7" s="69">
        <v>252</v>
      </c>
      <c r="M7" s="77">
        <v>22690</v>
      </c>
      <c r="N7" s="71">
        <v>42769</v>
      </c>
      <c r="O7" s="56" t="s">
        <v>126</v>
      </c>
      <c r="P7" s="78">
        <v>22733</v>
      </c>
      <c r="Q7" s="60">
        <f>P7-M7</f>
        <v>43</v>
      </c>
      <c r="R7" s="79">
        <v>37.299999999999997</v>
      </c>
      <c r="S7" s="80"/>
      <c r="T7" s="81"/>
      <c r="U7" s="39">
        <f t="shared" si="0"/>
        <v>847940.89999999991</v>
      </c>
      <c r="V7" s="82" t="s">
        <v>72</v>
      </c>
      <c r="W7" s="339">
        <v>42774</v>
      </c>
      <c r="X7" s="340"/>
      <c r="Y7" s="20"/>
      <c r="Z7" s="20"/>
      <c r="AA7" s="20"/>
      <c r="AB7" s="20"/>
      <c r="AC7" s="20"/>
      <c r="AD7" s="337"/>
      <c r="AE7" s="22"/>
      <c r="AF7" s="17"/>
      <c r="AG7" s="20"/>
      <c r="AH7" s="20"/>
      <c r="AI7" s="20"/>
      <c r="AJ7" s="20"/>
      <c r="AK7" s="20"/>
      <c r="AL7" s="20"/>
      <c r="AM7" s="337"/>
      <c r="AN7" s="22"/>
      <c r="AO7" s="17"/>
      <c r="AP7" s="20"/>
      <c r="AQ7" s="20"/>
      <c r="AR7" s="20"/>
      <c r="AS7" s="20"/>
      <c r="AT7" s="20"/>
      <c r="AU7" s="20"/>
      <c r="AV7" s="337"/>
      <c r="AW7" s="22"/>
      <c r="AX7" s="17"/>
      <c r="AY7" s="20"/>
      <c r="AZ7" s="20"/>
      <c r="BA7" s="20"/>
      <c r="BB7" s="20"/>
      <c r="BC7" s="20"/>
      <c r="BD7" s="20"/>
      <c r="BE7" s="337"/>
      <c r="BF7" s="22"/>
      <c r="BG7" s="17"/>
      <c r="BH7" s="20"/>
      <c r="BI7" s="20"/>
      <c r="BJ7" s="20"/>
      <c r="BK7" s="20"/>
      <c r="BL7" s="20"/>
      <c r="BM7" s="20"/>
      <c r="BN7" s="22"/>
      <c r="BO7" s="22"/>
      <c r="BP7" s="17"/>
      <c r="BQ7" s="20"/>
      <c r="BR7" s="20"/>
      <c r="BS7" s="20"/>
      <c r="BT7" s="20"/>
      <c r="BU7" s="20"/>
      <c r="BV7" s="20"/>
      <c r="BW7" s="22"/>
      <c r="BX7" s="22"/>
      <c r="BY7" s="17"/>
      <c r="BZ7" s="20"/>
      <c r="CA7" s="20"/>
      <c r="CB7" s="20"/>
      <c r="CC7" s="20"/>
      <c r="CD7" s="20"/>
      <c r="CE7" s="20"/>
      <c r="CF7" s="22"/>
      <c r="CG7" s="22"/>
      <c r="CH7" s="17"/>
      <c r="CI7" s="20"/>
      <c r="CJ7" s="20"/>
      <c r="CK7" s="20"/>
      <c r="CL7" s="20"/>
      <c r="CM7" s="20"/>
      <c r="CN7" s="20"/>
      <c r="CO7" s="337"/>
      <c r="CP7" s="22"/>
      <c r="CQ7" s="17"/>
      <c r="CR7" s="20"/>
      <c r="CS7" s="20"/>
      <c r="CT7" s="20"/>
      <c r="CU7" s="20"/>
      <c r="CV7" s="20"/>
      <c r="CW7" s="20"/>
      <c r="CX7" s="22"/>
      <c r="CY7" s="22"/>
      <c r="CZ7" s="17"/>
      <c r="DA7" s="20"/>
      <c r="DB7" s="20"/>
      <c r="DC7" s="20"/>
      <c r="DD7" s="20"/>
      <c r="DE7" s="20"/>
      <c r="DF7" s="20"/>
      <c r="DG7" s="22"/>
      <c r="DH7" s="22"/>
      <c r="DI7" s="17"/>
      <c r="DJ7" s="20"/>
      <c r="DK7" s="20"/>
      <c r="DL7" s="20"/>
      <c r="DM7" s="20"/>
      <c r="DN7" s="20"/>
      <c r="DO7" s="20"/>
      <c r="DP7" s="22"/>
      <c r="DQ7" s="22"/>
      <c r="DR7" s="17"/>
      <c r="DS7" s="20"/>
      <c r="DT7" s="20"/>
      <c r="DU7" s="20"/>
      <c r="DV7" s="20"/>
      <c r="DW7" s="20"/>
      <c r="DX7" s="20"/>
      <c r="DY7" s="22"/>
      <c r="DZ7" s="22"/>
      <c r="EA7" s="17"/>
      <c r="EB7" s="20"/>
      <c r="EC7" s="20"/>
      <c r="ED7" s="20"/>
      <c r="EE7" s="20"/>
      <c r="EF7" s="20"/>
      <c r="EG7" s="20"/>
      <c r="EH7" s="22"/>
      <c r="EI7" s="22"/>
      <c r="EJ7" s="17"/>
      <c r="EK7" s="20"/>
      <c r="EL7" s="20"/>
      <c r="EM7" s="20"/>
      <c r="EN7" s="20"/>
      <c r="EO7" s="20"/>
      <c r="EP7" s="20"/>
      <c r="EQ7" s="22"/>
      <c r="ER7" s="22"/>
      <c r="ES7" s="17"/>
      <c r="ET7" s="20"/>
      <c r="EU7" s="20"/>
      <c r="EV7" s="20"/>
      <c r="EW7" s="20"/>
      <c r="EX7" s="20"/>
      <c r="EY7" s="20"/>
      <c r="EZ7" s="22"/>
      <c r="FA7" s="22"/>
      <c r="FB7" s="17"/>
      <c r="FC7" s="20"/>
      <c r="FD7" s="20"/>
      <c r="FE7" s="20"/>
      <c r="FF7" s="20"/>
      <c r="FG7" s="20"/>
      <c r="FH7" s="20"/>
      <c r="FI7" s="22"/>
      <c r="FJ7" s="22"/>
      <c r="FK7" s="17"/>
      <c r="FL7" s="20"/>
      <c r="FM7" s="20"/>
      <c r="FN7" s="20"/>
      <c r="FO7" s="20"/>
      <c r="FP7" s="20"/>
      <c r="FQ7" s="20"/>
      <c r="FR7" s="22"/>
      <c r="FS7" s="22"/>
      <c r="FT7" s="17"/>
      <c r="FU7" s="20"/>
      <c r="FV7" s="20"/>
      <c r="FW7" s="20"/>
      <c r="FX7" s="20"/>
      <c r="FY7" s="20"/>
      <c r="FZ7" s="20"/>
      <c r="GA7" s="22"/>
      <c r="GB7" s="22"/>
      <c r="GC7" s="17"/>
      <c r="GD7" s="20"/>
      <c r="GE7" s="20"/>
      <c r="GF7" s="20"/>
      <c r="GG7" s="20"/>
      <c r="GH7" s="20"/>
      <c r="GI7" s="20"/>
      <c r="GJ7" s="22"/>
      <c r="GK7" s="22"/>
      <c r="GL7" s="17"/>
      <c r="GM7" s="20"/>
      <c r="GN7" s="20"/>
      <c r="GO7" s="20"/>
      <c r="GP7" s="20"/>
      <c r="GQ7" s="20"/>
      <c r="GR7" s="20"/>
      <c r="GS7" s="22"/>
      <c r="GT7" s="22"/>
      <c r="GU7" s="342"/>
      <c r="GV7" s="73"/>
      <c r="GW7" s="84">
        <v>0</v>
      </c>
      <c r="GX7" s="74" t="s">
        <v>923</v>
      </c>
      <c r="GY7" s="74"/>
      <c r="GZ7" s="428" t="s">
        <v>223</v>
      </c>
      <c r="HA7" s="67">
        <v>0</v>
      </c>
    </row>
    <row r="8" spans="1:209" x14ac:dyDescent="0.25">
      <c r="C8" s="87"/>
      <c r="D8" s="35"/>
      <c r="E8" s="36"/>
      <c r="F8" s="37"/>
      <c r="G8" s="38"/>
      <c r="H8" s="39"/>
      <c r="I8" s="40"/>
      <c r="J8" s="88" t="s">
        <v>38</v>
      </c>
      <c r="K8" s="69" t="s">
        <v>95</v>
      </c>
      <c r="L8" s="69">
        <v>249</v>
      </c>
      <c r="M8" s="77">
        <v>23400</v>
      </c>
      <c r="N8" s="71">
        <v>42771</v>
      </c>
      <c r="O8" s="380" t="s">
        <v>186</v>
      </c>
      <c r="P8" s="78">
        <v>28975</v>
      </c>
      <c r="Q8" s="60">
        <f>P8-M8</f>
        <v>5575</v>
      </c>
      <c r="R8" s="79">
        <v>27.5</v>
      </c>
      <c r="S8" s="64"/>
      <c r="T8" s="89"/>
      <c r="U8" s="39">
        <f t="shared" si="0"/>
        <v>796812.5</v>
      </c>
      <c r="V8" s="352" t="s">
        <v>72</v>
      </c>
      <c r="W8" s="408">
        <v>42796</v>
      </c>
      <c r="X8" s="367">
        <v>18485.759999999998</v>
      </c>
      <c r="Y8" s="355"/>
      <c r="Z8" s="356"/>
      <c r="AA8" s="357"/>
      <c r="AB8" s="358"/>
      <c r="AC8" s="357"/>
      <c r="AD8" s="359"/>
      <c r="AE8" s="360"/>
      <c r="AF8" s="355"/>
      <c r="AG8" s="355"/>
      <c r="AH8" s="355"/>
      <c r="AI8" s="356"/>
      <c r="AJ8" s="357"/>
      <c r="AK8" s="358"/>
      <c r="AL8" s="357"/>
      <c r="AM8" s="359"/>
      <c r="AN8" s="360"/>
      <c r="AO8" s="355"/>
      <c r="AP8" s="355"/>
      <c r="AQ8" s="355"/>
      <c r="AR8" s="356"/>
      <c r="AS8" s="357"/>
      <c r="AT8" s="358"/>
      <c r="AU8" s="357"/>
      <c r="AV8" s="359"/>
      <c r="AW8" s="360"/>
      <c r="AX8" s="355"/>
      <c r="AY8" s="355"/>
      <c r="AZ8" s="355"/>
      <c r="BA8" s="356"/>
      <c r="BB8" s="357"/>
      <c r="BC8" s="358"/>
      <c r="BD8" s="357"/>
      <c r="BE8" s="359"/>
      <c r="BF8" s="360"/>
      <c r="BG8" s="355"/>
      <c r="BH8" s="355"/>
      <c r="BI8" s="355"/>
      <c r="BJ8" s="356"/>
      <c r="BK8" s="357"/>
      <c r="BL8" s="358"/>
      <c r="BM8" s="357"/>
      <c r="BN8" s="359"/>
      <c r="BO8" s="360"/>
      <c r="BP8" s="355"/>
      <c r="BQ8" s="355"/>
      <c r="BR8" s="355"/>
      <c r="BS8" s="356"/>
      <c r="BT8" s="357"/>
      <c r="BU8" s="358"/>
      <c r="BV8" s="357"/>
      <c r="BW8" s="359"/>
      <c r="BX8" s="360"/>
      <c r="BY8" s="355"/>
      <c r="BZ8" s="355"/>
      <c r="CA8" s="355"/>
      <c r="CB8" s="356"/>
      <c r="CC8" s="357"/>
      <c r="CD8" s="358"/>
      <c r="CE8" s="357"/>
      <c r="CF8" s="359"/>
      <c r="CG8" s="360"/>
      <c r="CH8" s="355"/>
      <c r="CI8" s="355"/>
      <c r="CJ8" s="355"/>
      <c r="CK8" s="356"/>
      <c r="CL8" s="357"/>
      <c r="CM8" s="358"/>
      <c r="CN8" s="357"/>
      <c r="CO8" s="359"/>
      <c r="CP8" s="360"/>
      <c r="CQ8" s="355"/>
      <c r="CR8" s="355"/>
      <c r="CS8" s="355"/>
      <c r="CT8" s="356"/>
      <c r="CU8" s="357"/>
      <c r="CV8" s="358"/>
      <c r="CW8" s="361"/>
      <c r="CX8" s="359"/>
      <c r="CY8" s="360"/>
      <c r="CZ8" s="355"/>
      <c r="DA8" s="355"/>
      <c r="DB8" s="355"/>
      <c r="DC8" s="356"/>
      <c r="DD8" s="357"/>
      <c r="DE8" s="358"/>
      <c r="DF8" s="357"/>
      <c r="DG8" s="359"/>
      <c r="DH8" s="360"/>
      <c r="DI8" s="355"/>
      <c r="DJ8" s="355"/>
      <c r="DK8" s="355"/>
      <c r="DL8" s="356"/>
      <c r="DM8" s="357"/>
      <c r="DN8" s="358"/>
      <c r="DO8" s="357"/>
      <c r="DP8" s="359"/>
      <c r="DQ8" s="360"/>
      <c r="DR8" s="355"/>
      <c r="DS8" s="355"/>
      <c r="DT8" s="355"/>
      <c r="DU8" s="356"/>
      <c r="DV8" s="357"/>
      <c r="DW8" s="358"/>
      <c r="DX8" s="357"/>
      <c r="DY8" s="359"/>
      <c r="DZ8" s="360"/>
      <c r="EA8" s="355"/>
      <c r="EB8" s="355"/>
      <c r="EC8" s="355"/>
      <c r="ED8" s="356"/>
      <c r="EE8" s="357"/>
      <c r="EF8" s="358"/>
      <c r="EG8" s="357"/>
      <c r="EH8" s="359"/>
      <c r="EI8" s="360"/>
      <c r="EJ8" s="355"/>
      <c r="EK8" s="355"/>
      <c r="EL8" s="355"/>
      <c r="EM8" s="356"/>
      <c r="EN8" s="357"/>
      <c r="EO8" s="358"/>
      <c r="EP8" s="357"/>
      <c r="EQ8" s="359"/>
      <c r="ER8" s="360"/>
      <c r="ES8" s="355"/>
      <c r="ET8" s="355"/>
      <c r="EU8" s="355"/>
      <c r="EV8" s="356"/>
      <c r="EW8" s="357"/>
      <c r="EX8" s="358"/>
      <c r="EY8" s="357"/>
      <c r="EZ8" s="359"/>
      <c r="FA8" s="360"/>
      <c r="FB8" s="355"/>
      <c r="FC8" s="355"/>
      <c r="FD8" s="355"/>
      <c r="FE8" s="356"/>
      <c r="FF8" s="357"/>
      <c r="FG8" s="358"/>
      <c r="FH8" s="357"/>
      <c r="FI8" s="359"/>
      <c r="FJ8" s="360"/>
      <c r="FK8" s="355"/>
      <c r="FL8" s="355"/>
      <c r="FM8" s="355"/>
      <c r="FN8" s="356"/>
      <c r="FO8" s="357"/>
      <c r="FP8" s="358"/>
      <c r="FQ8" s="357"/>
      <c r="FR8" s="359"/>
      <c r="FS8" s="360"/>
      <c r="FT8" s="355"/>
      <c r="FU8" s="355"/>
      <c r="FV8" s="355"/>
      <c r="FW8" s="356"/>
      <c r="FX8" s="357"/>
      <c r="FY8" s="358"/>
      <c r="FZ8" s="357"/>
      <c r="GA8" s="359"/>
      <c r="GB8" s="360"/>
      <c r="GC8" s="355"/>
      <c r="GD8" s="355"/>
      <c r="GE8" s="355"/>
      <c r="GF8" s="356"/>
      <c r="GG8" s="357"/>
      <c r="GH8" s="358"/>
      <c r="GI8" s="357"/>
      <c r="GJ8" s="359"/>
      <c r="GK8" s="360"/>
      <c r="GL8" s="355"/>
      <c r="GM8" s="355"/>
      <c r="GN8" s="355"/>
      <c r="GO8" s="356"/>
      <c r="GP8" s="357"/>
      <c r="GQ8" s="358"/>
      <c r="GR8" s="357"/>
      <c r="GS8" s="359"/>
      <c r="GT8" s="360"/>
      <c r="GU8" s="362">
        <v>42796</v>
      </c>
      <c r="GV8" s="98"/>
      <c r="GW8" s="65"/>
      <c r="GX8" s="74" t="s">
        <v>1285</v>
      </c>
      <c r="GY8" s="74"/>
      <c r="GZ8" s="428">
        <v>42807</v>
      </c>
      <c r="HA8" s="67">
        <v>4176</v>
      </c>
    </row>
    <row r="9" spans="1:209" x14ac:dyDescent="0.25">
      <c r="C9" s="87"/>
      <c r="D9" s="35"/>
      <c r="E9" s="36"/>
      <c r="F9" s="37"/>
      <c r="G9" s="38"/>
      <c r="H9" s="39"/>
      <c r="I9" s="40"/>
      <c r="J9" s="68" t="s">
        <v>96</v>
      </c>
      <c r="K9" s="69" t="s">
        <v>67</v>
      </c>
      <c r="L9" s="69">
        <v>199</v>
      </c>
      <c r="M9" s="70">
        <v>18780</v>
      </c>
      <c r="N9" s="71">
        <v>42772</v>
      </c>
      <c r="O9" s="380" t="s">
        <v>189</v>
      </c>
      <c r="P9" s="72">
        <v>23505</v>
      </c>
      <c r="Q9" s="60">
        <f t="shared" ref="Q9:Q66" si="1">P9-M9</f>
        <v>4725</v>
      </c>
      <c r="R9" s="64">
        <v>27.5</v>
      </c>
      <c r="S9" s="64"/>
      <c r="T9" s="99"/>
      <c r="U9" s="39">
        <f t="shared" si="0"/>
        <v>646387.5</v>
      </c>
      <c r="V9" s="352" t="s">
        <v>72</v>
      </c>
      <c r="W9" s="408">
        <v>42800</v>
      </c>
      <c r="X9" s="367">
        <v>15004.6</v>
      </c>
      <c r="Y9" s="355"/>
      <c r="Z9" s="356"/>
      <c r="AA9" s="357"/>
      <c r="AB9" s="358"/>
      <c r="AC9" s="357"/>
      <c r="AD9" s="359"/>
      <c r="AE9" s="360"/>
      <c r="AF9" s="355"/>
      <c r="AG9" s="355"/>
      <c r="AH9" s="355"/>
      <c r="AI9" s="356"/>
      <c r="AJ9" s="357"/>
      <c r="AK9" s="358"/>
      <c r="AL9" s="357"/>
      <c r="AM9" s="359"/>
      <c r="AN9" s="360"/>
      <c r="AO9" s="355"/>
      <c r="AP9" s="355"/>
      <c r="AQ9" s="355"/>
      <c r="AR9" s="356"/>
      <c r="AS9" s="357"/>
      <c r="AT9" s="358"/>
      <c r="AU9" s="357"/>
      <c r="AV9" s="359"/>
      <c r="AW9" s="360"/>
      <c r="AX9" s="355"/>
      <c r="AY9" s="355"/>
      <c r="AZ9" s="355"/>
      <c r="BA9" s="356"/>
      <c r="BB9" s="357"/>
      <c r="BC9" s="358"/>
      <c r="BD9" s="357"/>
      <c r="BE9" s="359"/>
      <c r="BF9" s="360"/>
      <c r="BG9" s="355"/>
      <c r="BH9" s="355"/>
      <c r="BI9" s="355"/>
      <c r="BJ9" s="356"/>
      <c r="BK9" s="357"/>
      <c r="BL9" s="358"/>
      <c r="BM9" s="357"/>
      <c r="BN9" s="359"/>
      <c r="BO9" s="360"/>
      <c r="BP9" s="355"/>
      <c r="BQ9" s="355"/>
      <c r="BR9" s="355"/>
      <c r="BS9" s="356"/>
      <c r="BT9" s="357"/>
      <c r="BU9" s="358"/>
      <c r="BV9" s="357"/>
      <c r="BW9" s="359"/>
      <c r="BX9" s="360"/>
      <c r="BY9" s="355"/>
      <c r="BZ9" s="355"/>
      <c r="CA9" s="355"/>
      <c r="CB9" s="356"/>
      <c r="CC9" s="357"/>
      <c r="CD9" s="358"/>
      <c r="CE9" s="357"/>
      <c r="CF9" s="359"/>
      <c r="CG9" s="360"/>
      <c r="CH9" s="355"/>
      <c r="CI9" s="355"/>
      <c r="CJ9" s="355"/>
      <c r="CK9" s="356"/>
      <c r="CL9" s="357"/>
      <c r="CM9" s="358"/>
      <c r="CN9" s="357"/>
      <c r="CO9" s="359"/>
      <c r="CP9" s="360"/>
      <c r="CQ9" s="355"/>
      <c r="CR9" s="355"/>
      <c r="CS9" s="355"/>
      <c r="CT9" s="356"/>
      <c r="CU9" s="357"/>
      <c r="CV9" s="358"/>
      <c r="CW9" s="361"/>
      <c r="CX9" s="359"/>
      <c r="CY9" s="360"/>
      <c r="CZ9" s="355"/>
      <c r="DA9" s="355"/>
      <c r="DB9" s="355"/>
      <c r="DC9" s="356"/>
      <c r="DD9" s="357"/>
      <c r="DE9" s="358"/>
      <c r="DF9" s="357"/>
      <c r="DG9" s="359"/>
      <c r="DH9" s="360"/>
      <c r="DI9" s="355"/>
      <c r="DJ9" s="355"/>
      <c r="DK9" s="355"/>
      <c r="DL9" s="356"/>
      <c r="DM9" s="357"/>
      <c r="DN9" s="358"/>
      <c r="DO9" s="357"/>
      <c r="DP9" s="359"/>
      <c r="DQ9" s="360"/>
      <c r="DR9" s="355"/>
      <c r="DS9" s="355"/>
      <c r="DT9" s="355"/>
      <c r="DU9" s="356"/>
      <c r="DV9" s="357"/>
      <c r="DW9" s="358"/>
      <c r="DX9" s="357"/>
      <c r="DY9" s="359"/>
      <c r="DZ9" s="360"/>
      <c r="EA9" s="355"/>
      <c r="EB9" s="355"/>
      <c r="EC9" s="355"/>
      <c r="ED9" s="356"/>
      <c r="EE9" s="357"/>
      <c r="EF9" s="358"/>
      <c r="EG9" s="357"/>
      <c r="EH9" s="359"/>
      <c r="EI9" s="360"/>
      <c r="EJ9" s="355"/>
      <c r="EK9" s="355"/>
      <c r="EL9" s="355"/>
      <c r="EM9" s="356"/>
      <c r="EN9" s="357"/>
      <c r="EO9" s="358"/>
      <c r="EP9" s="357"/>
      <c r="EQ9" s="359"/>
      <c r="ER9" s="360"/>
      <c r="ES9" s="355"/>
      <c r="ET9" s="355"/>
      <c r="EU9" s="355"/>
      <c r="EV9" s="356"/>
      <c r="EW9" s="357"/>
      <c r="EX9" s="358"/>
      <c r="EY9" s="357"/>
      <c r="EZ9" s="359"/>
      <c r="FA9" s="360"/>
      <c r="FB9" s="355"/>
      <c r="FC9" s="355"/>
      <c r="FD9" s="355"/>
      <c r="FE9" s="356"/>
      <c r="FF9" s="357"/>
      <c r="FG9" s="358"/>
      <c r="FH9" s="357"/>
      <c r="FI9" s="359"/>
      <c r="FJ9" s="360"/>
      <c r="FK9" s="355"/>
      <c r="FL9" s="355"/>
      <c r="FM9" s="355"/>
      <c r="FN9" s="356"/>
      <c r="FO9" s="357"/>
      <c r="FP9" s="358"/>
      <c r="FQ9" s="357"/>
      <c r="FR9" s="359"/>
      <c r="FS9" s="360"/>
      <c r="FT9" s="355"/>
      <c r="FU9" s="355"/>
      <c r="FV9" s="355"/>
      <c r="FW9" s="356"/>
      <c r="FX9" s="357"/>
      <c r="FY9" s="358"/>
      <c r="FZ9" s="357"/>
      <c r="GA9" s="359"/>
      <c r="GB9" s="360"/>
      <c r="GC9" s="355"/>
      <c r="GD9" s="355"/>
      <c r="GE9" s="355"/>
      <c r="GF9" s="356"/>
      <c r="GG9" s="357"/>
      <c r="GH9" s="358"/>
      <c r="GI9" s="357"/>
      <c r="GJ9" s="359"/>
      <c r="GK9" s="360"/>
      <c r="GL9" s="355"/>
      <c r="GM9" s="355"/>
      <c r="GN9" s="355"/>
      <c r="GO9" s="356"/>
      <c r="GP9" s="357"/>
      <c r="GQ9" s="358"/>
      <c r="GR9" s="357"/>
      <c r="GS9" s="359"/>
      <c r="GT9" s="360"/>
      <c r="GU9" s="362">
        <v>42800</v>
      </c>
      <c r="GV9" s="98"/>
      <c r="GW9" s="65">
        <v>22176</v>
      </c>
      <c r="GX9" s="74" t="s">
        <v>130</v>
      </c>
      <c r="GY9" s="74"/>
      <c r="GZ9" s="428">
        <v>42807</v>
      </c>
      <c r="HA9" s="67">
        <v>4176</v>
      </c>
    </row>
    <row r="10" spans="1:209" x14ac:dyDescent="0.25">
      <c r="C10" s="87"/>
      <c r="D10" s="35"/>
      <c r="E10" s="36"/>
      <c r="F10" s="37"/>
      <c r="G10" s="38"/>
      <c r="H10" s="39"/>
      <c r="I10" s="40"/>
      <c r="J10" s="68" t="s">
        <v>38</v>
      </c>
      <c r="K10" s="100" t="s">
        <v>37</v>
      </c>
      <c r="L10" s="100">
        <v>200</v>
      </c>
      <c r="M10" s="101">
        <v>17890</v>
      </c>
      <c r="N10" s="102">
        <v>42773</v>
      </c>
      <c r="O10" s="416" t="s">
        <v>185</v>
      </c>
      <c r="P10" s="104">
        <v>22165</v>
      </c>
      <c r="Q10" s="60">
        <f t="shared" si="1"/>
        <v>4275</v>
      </c>
      <c r="R10" s="29">
        <v>27.5</v>
      </c>
      <c r="S10" s="105"/>
      <c r="T10" s="106"/>
      <c r="U10" s="39">
        <f t="shared" si="0"/>
        <v>609537.5</v>
      </c>
      <c r="V10" s="409" t="s">
        <v>72</v>
      </c>
      <c r="W10" s="410">
        <v>42795</v>
      </c>
      <c r="X10" s="354">
        <v>15080</v>
      </c>
      <c r="Y10" s="355"/>
      <c r="Z10" s="356"/>
      <c r="AA10" s="357"/>
      <c r="AB10" s="358"/>
      <c r="AC10" s="357"/>
      <c r="AD10" s="359"/>
      <c r="AE10" s="360"/>
      <c r="AF10" s="355"/>
      <c r="AG10" s="355"/>
      <c r="AH10" s="355"/>
      <c r="AI10" s="356"/>
      <c r="AJ10" s="357"/>
      <c r="AK10" s="358"/>
      <c r="AL10" s="357"/>
      <c r="AM10" s="359"/>
      <c r="AN10" s="360"/>
      <c r="AO10" s="355"/>
      <c r="AP10" s="355"/>
      <c r="AQ10" s="355"/>
      <c r="AR10" s="356"/>
      <c r="AS10" s="357"/>
      <c r="AT10" s="358"/>
      <c r="AU10" s="357"/>
      <c r="AV10" s="359"/>
      <c r="AW10" s="360"/>
      <c r="AX10" s="355"/>
      <c r="AY10" s="355"/>
      <c r="AZ10" s="355"/>
      <c r="BA10" s="356"/>
      <c r="BB10" s="357"/>
      <c r="BC10" s="358"/>
      <c r="BD10" s="357"/>
      <c r="BE10" s="359"/>
      <c r="BF10" s="360"/>
      <c r="BG10" s="355"/>
      <c r="BH10" s="355"/>
      <c r="BI10" s="355"/>
      <c r="BJ10" s="356"/>
      <c r="BK10" s="357"/>
      <c r="BL10" s="358"/>
      <c r="BM10" s="357"/>
      <c r="BN10" s="359"/>
      <c r="BO10" s="360"/>
      <c r="BP10" s="355"/>
      <c r="BQ10" s="355"/>
      <c r="BR10" s="355"/>
      <c r="BS10" s="356"/>
      <c r="BT10" s="357"/>
      <c r="BU10" s="358"/>
      <c r="BV10" s="357"/>
      <c r="BW10" s="359"/>
      <c r="BX10" s="360"/>
      <c r="BY10" s="355"/>
      <c r="BZ10" s="355"/>
      <c r="CA10" s="355"/>
      <c r="CB10" s="356"/>
      <c r="CC10" s="357"/>
      <c r="CD10" s="358"/>
      <c r="CE10" s="357"/>
      <c r="CF10" s="359"/>
      <c r="CG10" s="360"/>
      <c r="CH10" s="355"/>
      <c r="CI10" s="355"/>
      <c r="CJ10" s="355"/>
      <c r="CK10" s="356"/>
      <c r="CL10" s="357"/>
      <c r="CM10" s="358"/>
      <c r="CN10" s="357"/>
      <c r="CO10" s="359"/>
      <c r="CP10" s="360"/>
      <c r="CQ10" s="355"/>
      <c r="CR10" s="355"/>
      <c r="CS10" s="355"/>
      <c r="CT10" s="356"/>
      <c r="CU10" s="357"/>
      <c r="CV10" s="358"/>
      <c r="CW10" s="361"/>
      <c r="CX10" s="359"/>
      <c r="CY10" s="360"/>
      <c r="CZ10" s="355"/>
      <c r="DA10" s="355"/>
      <c r="DB10" s="355"/>
      <c r="DC10" s="356"/>
      <c r="DD10" s="357"/>
      <c r="DE10" s="358"/>
      <c r="DF10" s="357"/>
      <c r="DG10" s="359"/>
      <c r="DH10" s="360"/>
      <c r="DI10" s="355"/>
      <c r="DJ10" s="355"/>
      <c r="DK10" s="355"/>
      <c r="DL10" s="356"/>
      <c r="DM10" s="357"/>
      <c r="DN10" s="358"/>
      <c r="DO10" s="357"/>
      <c r="DP10" s="359"/>
      <c r="DQ10" s="360"/>
      <c r="DR10" s="355"/>
      <c r="DS10" s="355"/>
      <c r="DT10" s="355"/>
      <c r="DU10" s="356"/>
      <c r="DV10" s="357"/>
      <c r="DW10" s="358"/>
      <c r="DX10" s="357"/>
      <c r="DY10" s="359"/>
      <c r="DZ10" s="360"/>
      <c r="EA10" s="355"/>
      <c r="EB10" s="355"/>
      <c r="EC10" s="355"/>
      <c r="ED10" s="356"/>
      <c r="EE10" s="357"/>
      <c r="EF10" s="358"/>
      <c r="EG10" s="357"/>
      <c r="EH10" s="359"/>
      <c r="EI10" s="360"/>
      <c r="EJ10" s="355"/>
      <c r="EK10" s="355"/>
      <c r="EL10" s="355"/>
      <c r="EM10" s="356"/>
      <c r="EN10" s="357"/>
      <c r="EO10" s="358"/>
      <c r="EP10" s="357"/>
      <c r="EQ10" s="359"/>
      <c r="ER10" s="360"/>
      <c r="ES10" s="355"/>
      <c r="ET10" s="355"/>
      <c r="EU10" s="355"/>
      <c r="EV10" s="356"/>
      <c r="EW10" s="357"/>
      <c r="EX10" s="358"/>
      <c r="EY10" s="357"/>
      <c r="EZ10" s="359"/>
      <c r="FA10" s="360"/>
      <c r="FB10" s="355"/>
      <c r="FC10" s="355"/>
      <c r="FD10" s="355"/>
      <c r="FE10" s="356"/>
      <c r="FF10" s="357"/>
      <c r="FG10" s="358"/>
      <c r="FH10" s="357"/>
      <c r="FI10" s="359"/>
      <c r="FJ10" s="360"/>
      <c r="FK10" s="355"/>
      <c r="FL10" s="355"/>
      <c r="FM10" s="355"/>
      <c r="FN10" s="356"/>
      <c r="FO10" s="357"/>
      <c r="FP10" s="358"/>
      <c r="FQ10" s="357"/>
      <c r="FR10" s="359"/>
      <c r="FS10" s="360"/>
      <c r="FT10" s="355"/>
      <c r="FU10" s="355"/>
      <c r="FV10" s="355"/>
      <c r="FW10" s="356"/>
      <c r="FX10" s="357"/>
      <c r="FY10" s="358"/>
      <c r="FZ10" s="357"/>
      <c r="GA10" s="359"/>
      <c r="GB10" s="360"/>
      <c r="GC10" s="355"/>
      <c r="GD10" s="355"/>
      <c r="GE10" s="355"/>
      <c r="GF10" s="356"/>
      <c r="GG10" s="357"/>
      <c r="GH10" s="358"/>
      <c r="GI10" s="357"/>
      <c r="GJ10" s="359"/>
      <c r="GK10" s="360"/>
      <c r="GL10" s="355"/>
      <c r="GM10" s="355"/>
      <c r="GN10" s="355"/>
      <c r="GO10" s="356"/>
      <c r="GP10" s="357"/>
      <c r="GQ10" s="358"/>
      <c r="GR10" s="357"/>
      <c r="GS10" s="359"/>
      <c r="GT10" s="360"/>
      <c r="GU10" s="362">
        <v>42795</v>
      </c>
      <c r="GV10" s="98"/>
      <c r="GW10" s="65"/>
      <c r="GX10" s="74"/>
      <c r="GY10" s="74"/>
      <c r="GZ10" s="428">
        <v>42807</v>
      </c>
      <c r="HA10" s="67">
        <v>4176</v>
      </c>
    </row>
    <row r="11" spans="1:209" ht="36.75" x14ac:dyDescent="0.25">
      <c r="C11" s="87"/>
      <c r="D11" s="35"/>
      <c r="E11" s="36"/>
      <c r="F11" s="37"/>
      <c r="G11" s="38"/>
      <c r="H11" s="39"/>
      <c r="I11" s="40"/>
      <c r="J11" s="68" t="s">
        <v>43</v>
      </c>
      <c r="K11" s="69" t="s">
        <v>41</v>
      </c>
      <c r="L11" s="69">
        <v>250</v>
      </c>
      <c r="M11" s="110">
        <v>26020</v>
      </c>
      <c r="N11" s="71">
        <v>42774</v>
      </c>
      <c r="O11" s="417" t="s">
        <v>187</v>
      </c>
      <c r="P11" s="72">
        <v>32190</v>
      </c>
      <c r="Q11" s="60">
        <f t="shared" si="1"/>
        <v>6170</v>
      </c>
      <c r="R11" s="64">
        <v>27.5</v>
      </c>
      <c r="S11" s="64"/>
      <c r="T11" s="111"/>
      <c r="U11" s="39">
        <f>R11*P11-5644</f>
        <v>879581</v>
      </c>
      <c r="V11" s="352" t="s">
        <v>72</v>
      </c>
      <c r="W11" s="353">
        <v>42797</v>
      </c>
      <c r="X11" s="354">
        <v>18850</v>
      </c>
      <c r="Y11" s="355"/>
      <c r="Z11" s="356"/>
      <c r="AA11" s="357"/>
      <c r="AB11" s="358"/>
      <c r="AC11" s="357"/>
      <c r="AD11" s="359"/>
      <c r="AE11" s="360"/>
      <c r="AF11" s="355"/>
      <c r="AG11" s="355"/>
      <c r="AH11" s="355"/>
      <c r="AI11" s="356"/>
      <c r="AJ11" s="357"/>
      <c r="AK11" s="358"/>
      <c r="AL11" s="357"/>
      <c r="AM11" s="359"/>
      <c r="AN11" s="360"/>
      <c r="AO11" s="355"/>
      <c r="AP11" s="355"/>
      <c r="AQ11" s="355"/>
      <c r="AR11" s="356"/>
      <c r="AS11" s="357"/>
      <c r="AT11" s="358"/>
      <c r="AU11" s="357"/>
      <c r="AV11" s="359"/>
      <c r="AW11" s="360"/>
      <c r="AX11" s="355"/>
      <c r="AY11" s="355"/>
      <c r="AZ11" s="355"/>
      <c r="BA11" s="356"/>
      <c r="BB11" s="357"/>
      <c r="BC11" s="358"/>
      <c r="BD11" s="357"/>
      <c r="BE11" s="359"/>
      <c r="BF11" s="360"/>
      <c r="BG11" s="355"/>
      <c r="BH11" s="355"/>
      <c r="BI11" s="355"/>
      <c r="BJ11" s="356"/>
      <c r="BK11" s="357"/>
      <c r="BL11" s="358"/>
      <c r="BM11" s="357"/>
      <c r="BN11" s="359"/>
      <c r="BO11" s="360"/>
      <c r="BP11" s="355"/>
      <c r="BQ11" s="355"/>
      <c r="BR11" s="355"/>
      <c r="BS11" s="356"/>
      <c r="BT11" s="357"/>
      <c r="BU11" s="358"/>
      <c r="BV11" s="357"/>
      <c r="BW11" s="359"/>
      <c r="BX11" s="360"/>
      <c r="BY11" s="355"/>
      <c r="BZ11" s="355"/>
      <c r="CA11" s="355"/>
      <c r="CB11" s="356"/>
      <c r="CC11" s="357"/>
      <c r="CD11" s="358"/>
      <c r="CE11" s="357"/>
      <c r="CF11" s="359"/>
      <c r="CG11" s="360"/>
      <c r="CH11" s="355"/>
      <c r="CI11" s="355"/>
      <c r="CJ11" s="355"/>
      <c r="CK11" s="356"/>
      <c r="CL11" s="357"/>
      <c r="CM11" s="358"/>
      <c r="CN11" s="357"/>
      <c r="CO11" s="359"/>
      <c r="CP11" s="360"/>
      <c r="CQ11" s="355"/>
      <c r="CR11" s="355"/>
      <c r="CS11" s="355"/>
      <c r="CT11" s="356"/>
      <c r="CU11" s="357"/>
      <c r="CV11" s="358"/>
      <c r="CW11" s="361"/>
      <c r="CX11" s="359"/>
      <c r="CY11" s="360"/>
      <c r="CZ11" s="355"/>
      <c r="DA11" s="355"/>
      <c r="DB11" s="355"/>
      <c r="DC11" s="356"/>
      <c r="DD11" s="357"/>
      <c r="DE11" s="358"/>
      <c r="DF11" s="357"/>
      <c r="DG11" s="359"/>
      <c r="DH11" s="360"/>
      <c r="DI11" s="355"/>
      <c r="DJ11" s="355"/>
      <c r="DK11" s="355"/>
      <c r="DL11" s="356"/>
      <c r="DM11" s="357"/>
      <c r="DN11" s="358"/>
      <c r="DO11" s="357"/>
      <c r="DP11" s="359"/>
      <c r="DQ11" s="360"/>
      <c r="DR11" s="355"/>
      <c r="DS11" s="355"/>
      <c r="DT11" s="355"/>
      <c r="DU11" s="356"/>
      <c r="DV11" s="357"/>
      <c r="DW11" s="358"/>
      <c r="DX11" s="357"/>
      <c r="DY11" s="359"/>
      <c r="DZ11" s="360"/>
      <c r="EA11" s="355"/>
      <c r="EB11" s="355"/>
      <c r="EC11" s="355"/>
      <c r="ED11" s="356"/>
      <c r="EE11" s="357"/>
      <c r="EF11" s="358"/>
      <c r="EG11" s="357"/>
      <c r="EH11" s="359"/>
      <c r="EI11" s="360"/>
      <c r="EJ11" s="355"/>
      <c r="EK11" s="355"/>
      <c r="EL11" s="355"/>
      <c r="EM11" s="356"/>
      <c r="EN11" s="357"/>
      <c r="EO11" s="358"/>
      <c r="EP11" s="357"/>
      <c r="EQ11" s="359"/>
      <c r="ER11" s="360"/>
      <c r="ES11" s="355"/>
      <c r="ET11" s="355"/>
      <c r="EU11" s="355"/>
      <c r="EV11" s="356"/>
      <c r="EW11" s="357"/>
      <c r="EX11" s="358"/>
      <c r="EY11" s="357"/>
      <c r="EZ11" s="359"/>
      <c r="FA11" s="360"/>
      <c r="FB11" s="355"/>
      <c r="FC11" s="355"/>
      <c r="FD11" s="355"/>
      <c r="FE11" s="356"/>
      <c r="FF11" s="357"/>
      <c r="FG11" s="358"/>
      <c r="FH11" s="357"/>
      <c r="FI11" s="359"/>
      <c r="FJ11" s="360"/>
      <c r="FK11" s="355"/>
      <c r="FL11" s="355"/>
      <c r="FM11" s="355"/>
      <c r="FN11" s="356"/>
      <c r="FO11" s="357"/>
      <c r="FP11" s="358"/>
      <c r="FQ11" s="357"/>
      <c r="FR11" s="359"/>
      <c r="FS11" s="360"/>
      <c r="FT11" s="355"/>
      <c r="FU11" s="355"/>
      <c r="FV11" s="355"/>
      <c r="FW11" s="356"/>
      <c r="FX11" s="357"/>
      <c r="FY11" s="358"/>
      <c r="FZ11" s="357"/>
      <c r="GA11" s="359"/>
      <c r="GB11" s="360"/>
      <c r="GC11" s="355"/>
      <c r="GD11" s="355"/>
      <c r="GE11" s="355"/>
      <c r="GF11" s="356"/>
      <c r="GG11" s="357"/>
      <c r="GH11" s="358"/>
      <c r="GI11" s="357"/>
      <c r="GJ11" s="359"/>
      <c r="GK11" s="360"/>
      <c r="GL11" s="355"/>
      <c r="GM11" s="355"/>
      <c r="GN11" s="355"/>
      <c r="GO11" s="356"/>
      <c r="GP11" s="357"/>
      <c r="GQ11" s="358"/>
      <c r="GR11" s="357"/>
      <c r="GS11" s="359"/>
      <c r="GT11" s="360"/>
      <c r="GU11" s="362">
        <v>42797</v>
      </c>
      <c r="GV11" s="98"/>
      <c r="GW11" s="65">
        <v>22176</v>
      </c>
      <c r="GX11" s="74" t="s">
        <v>138</v>
      </c>
      <c r="GY11" s="74"/>
      <c r="GZ11" s="428">
        <v>42807</v>
      </c>
      <c r="HA11" s="67">
        <v>4176</v>
      </c>
    </row>
    <row r="12" spans="1:209" x14ac:dyDescent="0.25">
      <c r="C12" s="87"/>
      <c r="D12" s="35"/>
      <c r="E12" s="36"/>
      <c r="F12" s="37"/>
      <c r="G12" s="38"/>
      <c r="H12" s="39"/>
      <c r="I12" s="40"/>
      <c r="J12" s="68" t="s">
        <v>98</v>
      </c>
      <c r="K12" s="69" t="s">
        <v>97</v>
      </c>
      <c r="L12" s="69">
        <v>122</v>
      </c>
      <c r="M12" s="110">
        <v>13110</v>
      </c>
      <c r="N12" s="71">
        <v>42775</v>
      </c>
      <c r="O12" s="56" t="s">
        <v>157</v>
      </c>
      <c r="P12" s="72">
        <v>13950</v>
      </c>
      <c r="Q12" s="113">
        <f t="shared" si="1"/>
        <v>840</v>
      </c>
      <c r="R12" s="64">
        <v>27.5</v>
      </c>
      <c r="S12" s="64"/>
      <c r="T12" s="64"/>
      <c r="U12" s="39">
        <f t="shared" si="0"/>
        <v>383625</v>
      </c>
      <c r="V12" s="372" t="s">
        <v>72</v>
      </c>
      <c r="W12" s="144">
        <v>42794</v>
      </c>
      <c r="X12" s="373">
        <v>9198.7999999999993</v>
      </c>
      <c r="Y12" s="146"/>
      <c r="Z12" s="147"/>
      <c r="AA12" s="148"/>
      <c r="AB12" s="149"/>
      <c r="AC12" s="148"/>
      <c r="AD12" s="150"/>
      <c r="AE12" s="151"/>
      <c r="AF12" s="146"/>
      <c r="AG12" s="146"/>
      <c r="AH12" s="146"/>
      <c r="AI12" s="147"/>
      <c r="AJ12" s="148"/>
      <c r="AK12" s="149"/>
      <c r="AL12" s="148"/>
      <c r="AM12" s="150"/>
      <c r="AN12" s="151"/>
      <c r="AO12" s="146"/>
      <c r="AP12" s="146"/>
      <c r="AQ12" s="146"/>
      <c r="AR12" s="147"/>
      <c r="AS12" s="148"/>
      <c r="AT12" s="149"/>
      <c r="AU12" s="148"/>
      <c r="AV12" s="150"/>
      <c r="AW12" s="151"/>
      <c r="AX12" s="146"/>
      <c r="AY12" s="146"/>
      <c r="AZ12" s="146"/>
      <c r="BA12" s="147"/>
      <c r="BB12" s="148"/>
      <c r="BC12" s="149"/>
      <c r="BD12" s="148"/>
      <c r="BE12" s="150"/>
      <c r="BF12" s="151"/>
      <c r="BG12" s="146"/>
      <c r="BH12" s="146"/>
      <c r="BI12" s="146"/>
      <c r="BJ12" s="147"/>
      <c r="BK12" s="148"/>
      <c r="BL12" s="149"/>
      <c r="BM12" s="148"/>
      <c r="BN12" s="150"/>
      <c r="BO12" s="151"/>
      <c r="BP12" s="146"/>
      <c r="BQ12" s="146"/>
      <c r="BR12" s="146"/>
      <c r="BS12" s="147"/>
      <c r="BT12" s="148"/>
      <c r="BU12" s="149"/>
      <c r="BV12" s="148"/>
      <c r="BW12" s="150"/>
      <c r="BX12" s="151"/>
      <c r="BY12" s="146"/>
      <c r="BZ12" s="146"/>
      <c r="CA12" s="146"/>
      <c r="CB12" s="147"/>
      <c r="CC12" s="148"/>
      <c r="CD12" s="149"/>
      <c r="CE12" s="148"/>
      <c r="CF12" s="150"/>
      <c r="CG12" s="151"/>
      <c r="CH12" s="146"/>
      <c r="CI12" s="146"/>
      <c r="CJ12" s="146"/>
      <c r="CK12" s="147"/>
      <c r="CL12" s="148"/>
      <c r="CM12" s="149"/>
      <c r="CN12" s="148"/>
      <c r="CO12" s="150"/>
      <c r="CP12" s="151"/>
      <c r="CQ12" s="146"/>
      <c r="CR12" s="146"/>
      <c r="CS12" s="146"/>
      <c r="CT12" s="147"/>
      <c r="CU12" s="148"/>
      <c r="CV12" s="149"/>
      <c r="CW12" s="374"/>
      <c r="CX12" s="150"/>
      <c r="CY12" s="151"/>
      <c r="CZ12" s="146"/>
      <c r="DA12" s="146"/>
      <c r="DB12" s="146"/>
      <c r="DC12" s="147"/>
      <c r="DD12" s="148"/>
      <c r="DE12" s="149"/>
      <c r="DF12" s="148"/>
      <c r="DG12" s="150"/>
      <c r="DH12" s="151"/>
      <c r="DI12" s="146"/>
      <c r="DJ12" s="146"/>
      <c r="DK12" s="146"/>
      <c r="DL12" s="147"/>
      <c r="DM12" s="148"/>
      <c r="DN12" s="149"/>
      <c r="DO12" s="148"/>
      <c r="DP12" s="150"/>
      <c r="DQ12" s="151"/>
      <c r="DR12" s="146"/>
      <c r="DS12" s="146"/>
      <c r="DT12" s="146"/>
      <c r="DU12" s="147"/>
      <c r="DV12" s="148"/>
      <c r="DW12" s="149"/>
      <c r="DX12" s="148"/>
      <c r="DY12" s="150"/>
      <c r="DZ12" s="151"/>
      <c r="EA12" s="146"/>
      <c r="EB12" s="146"/>
      <c r="EC12" s="146"/>
      <c r="ED12" s="147"/>
      <c r="EE12" s="148"/>
      <c r="EF12" s="149"/>
      <c r="EG12" s="148"/>
      <c r="EH12" s="150"/>
      <c r="EI12" s="151"/>
      <c r="EJ12" s="146"/>
      <c r="EK12" s="146"/>
      <c r="EL12" s="146"/>
      <c r="EM12" s="147"/>
      <c r="EN12" s="148"/>
      <c r="EO12" s="149"/>
      <c r="EP12" s="148"/>
      <c r="EQ12" s="150"/>
      <c r="ER12" s="151"/>
      <c r="ES12" s="146"/>
      <c r="ET12" s="146"/>
      <c r="EU12" s="146"/>
      <c r="EV12" s="147"/>
      <c r="EW12" s="148"/>
      <c r="EX12" s="149"/>
      <c r="EY12" s="148"/>
      <c r="EZ12" s="150"/>
      <c r="FA12" s="151"/>
      <c r="FB12" s="146"/>
      <c r="FC12" s="146"/>
      <c r="FD12" s="146"/>
      <c r="FE12" s="147"/>
      <c r="FF12" s="148"/>
      <c r="FG12" s="149"/>
      <c r="FH12" s="148"/>
      <c r="FI12" s="150"/>
      <c r="FJ12" s="151"/>
      <c r="FK12" s="146"/>
      <c r="FL12" s="146"/>
      <c r="FM12" s="146"/>
      <c r="FN12" s="147"/>
      <c r="FO12" s="148"/>
      <c r="FP12" s="149"/>
      <c r="FQ12" s="148"/>
      <c r="FR12" s="150"/>
      <c r="FS12" s="151"/>
      <c r="FT12" s="146"/>
      <c r="FU12" s="146"/>
      <c r="FV12" s="146"/>
      <c r="FW12" s="147"/>
      <c r="FX12" s="148"/>
      <c r="FY12" s="149"/>
      <c r="FZ12" s="148"/>
      <c r="GA12" s="150"/>
      <c r="GB12" s="151"/>
      <c r="GC12" s="146"/>
      <c r="GD12" s="146"/>
      <c r="GE12" s="146"/>
      <c r="GF12" s="147"/>
      <c r="GG12" s="148"/>
      <c r="GH12" s="149"/>
      <c r="GI12" s="148"/>
      <c r="GJ12" s="150"/>
      <c r="GK12" s="151"/>
      <c r="GL12" s="146"/>
      <c r="GM12" s="146"/>
      <c r="GN12" s="146"/>
      <c r="GO12" s="147"/>
      <c r="GP12" s="148"/>
      <c r="GQ12" s="149"/>
      <c r="GR12" s="148"/>
      <c r="GS12" s="150"/>
      <c r="GT12" s="151"/>
      <c r="GU12" s="152">
        <v>42794</v>
      </c>
      <c r="GV12" s="114"/>
      <c r="GW12" s="65">
        <v>17584</v>
      </c>
      <c r="GX12" s="74" t="s">
        <v>139</v>
      </c>
      <c r="GY12" s="74"/>
      <c r="GZ12" s="428">
        <v>42807</v>
      </c>
      <c r="HA12" s="67">
        <v>2088</v>
      </c>
    </row>
    <row r="13" spans="1:209" x14ac:dyDescent="0.25">
      <c r="C13" s="87"/>
      <c r="D13" s="35"/>
      <c r="E13" s="36"/>
      <c r="F13" s="37"/>
      <c r="G13" s="38"/>
      <c r="H13" s="39"/>
      <c r="I13" s="40"/>
      <c r="J13" s="68" t="s">
        <v>99</v>
      </c>
      <c r="K13" s="69" t="s">
        <v>100</v>
      </c>
      <c r="L13" s="69">
        <v>208</v>
      </c>
      <c r="M13" s="110">
        <v>18990</v>
      </c>
      <c r="N13" s="71">
        <v>42775</v>
      </c>
      <c r="O13" s="380" t="s">
        <v>188</v>
      </c>
      <c r="P13" s="72">
        <v>26075</v>
      </c>
      <c r="Q13" s="113">
        <f t="shared" si="1"/>
        <v>7085</v>
      </c>
      <c r="R13" s="64">
        <v>27.5</v>
      </c>
      <c r="S13" s="64"/>
      <c r="T13" s="64"/>
      <c r="U13" s="39">
        <f t="shared" si="0"/>
        <v>717062.5</v>
      </c>
      <c r="V13" s="352" t="s">
        <v>72</v>
      </c>
      <c r="W13" s="353">
        <v>42800</v>
      </c>
      <c r="X13" s="354">
        <v>15683.2</v>
      </c>
      <c r="Y13" s="355"/>
      <c r="Z13" s="356"/>
      <c r="AA13" s="357"/>
      <c r="AB13" s="358"/>
      <c r="AC13" s="357"/>
      <c r="AD13" s="359"/>
      <c r="AE13" s="360"/>
      <c r="AF13" s="355"/>
      <c r="AG13" s="355"/>
      <c r="AH13" s="355"/>
      <c r="AI13" s="356"/>
      <c r="AJ13" s="357"/>
      <c r="AK13" s="358"/>
      <c r="AL13" s="357"/>
      <c r="AM13" s="359"/>
      <c r="AN13" s="360"/>
      <c r="AO13" s="355"/>
      <c r="AP13" s="355"/>
      <c r="AQ13" s="355"/>
      <c r="AR13" s="356"/>
      <c r="AS13" s="357"/>
      <c r="AT13" s="358"/>
      <c r="AU13" s="357"/>
      <c r="AV13" s="359"/>
      <c r="AW13" s="360"/>
      <c r="AX13" s="355"/>
      <c r="AY13" s="355"/>
      <c r="AZ13" s="355"/>
      <c r="BA13" s="356"/>
      <c r="BB13" s="357"/>
      <c r="BC13" s="358"/>
      <c r="BD13" s="357"/>
      <c r="BE13" s="359"/>
      <c r="BF13" s="360"/>
      <c r="BG13" s="355"/>
      <c r="BH13" s="355"/>
      <c r="BI13" s="355"/>
      <c r="BJ13" s="356"/>
      <c r="BK13" s="357"/>
      <c r="BL13" s="358"/>
      <c r="BM13" s="357"/>
      <c r="BN13" s="359"/>
      <c r="BO13" s="360"/>
      <c r="BP13" s="355"/>
      <c r="BQ13" s="355"/>
      <c r="BR13" s="355"/>
      <c r="BS13" s="356"/>
      <c r="BT13" s="357"/>
      <c r="BU13" s="358"/>
      <c r="BV13" s="357"/>
      <c r="BW13" s="359"/>
      <c r="BX13" s="360"/>
      <c r="BY13" s="355"/>
      <c r="BZ13" s="355"/>
      <c r="CA13" s="355"/>
      <c r="CB13" s="356"/>
      <c r="CC13" s="357"/>
      <c r="CD13" s="358"/>
      <c r="CE13" s="357"/>
      <c r="CF13" s="359"/>
      <c r="CG13" s="360"/>
      <c r="CH13" s="355"/>
      <c r="CI13" s="355"/>
      <c r="CJ13" s="355"/>
      <c r="CK13" s="356"/>
      <c r="CL13" s="357"/>
      <c r="CM13" s="358"/>
      <c r="CN13" s="357"/>
      <c r="CO13" s="359"/>
      <c r="CP13" s="360"/>
      <c r="CQ13" s="355"/>
      <c r="CR13" s="355"/>
      <c r="CS13" s="355"/>
      <c r="CT13" s="356"/>
      <c r="CU13" s="357"/>
      <c r="CV13" s="358"/>
      <c r="CW13" s="361"/>
      <c r="CX13" s="359"/>
      <c r="CY13" s="360"/>
      <c r="CZ13" s="355"/>
      <c r="DA13" s="355"/>
      <c r="DB13" s="355"/>
      <c r="DC13" s="356"/>
      <c r="DD13" s="357"/>
      <c r="DE13" s="358"/>
      <c r="DF13" s="357"/>
      <c r="DG13" s="359"/>
      <c r="DH13" s="360"/>
      <c r="DI13" s="355"/>
      <c r="DJ13" s="355"/>
      <c r="DK13" s="355"/>
      <c r="DL13" s="356"/>
      <c r="DM13" s="357"/>
      <c r="DN13" s="358"/>
      <c r="DO13" s="357"/>
      <c r="DP13" s="359"/>
      <c r="DQ13" s="360"/>
      <c r="DR13" s="355"/>
      <c r="DS13" s="355"/>
      <c r="DT13" s="355"/>
      <c r="DU13" s="356"/>
      <c r="DV13" s="357"/>
      <c r="DW13" s="358"/>
      <c r="DX13" s="357"/>
      <c r="DY13" s="359"/>
      <c r="DZ13" s="360"/>
      <c r="EA13" s="355"/>
      <c r="EB13" s="355"/>
      <c r="EC13" s="355"/>
      <c r="ED13" s="356"/>
      <c r="EE13" s="357"/>
      <c r="EF13" s="358"/>
      <c r="EG13" s="357"/>
      <c r="EH13" s="359"/>
      <c r="EI13" s="360"/>
      <c r="EJ13" s="355"/>
      <c r="EK13" s="355"/>
      <c r="EL13" s="355"/>
      <c r="EM13" s="356"/>
      <c r="EN13" s="357"/>
      <c r="EO13" s="358"/>
      <c r="EP13" s="357"/>
      <c r="EQ13" s="359"/>
      <c r="ER13" s="360"/>
      <c r="ES13" s="355"/>
      <c r="ET13" s="355"/>
      <c r="EU13" s="355"/>
      <c r="EV13" s="356"/>
      <c r="EW13" s="357"/>
      <c r="EX13" s="358"/>
      <c r="EY13" s="357"/>
      <c r="EZ13" s="359"/>
      <c r="FA13" s="360"/>
      <c r="FB13" s="355"/>
      <c r="FC13" s="355"/>
      <c r="FD13" s="355"/>
      <c r="FE13" s="356"/>
      <c r="FF13" s="357"/>
      <c r="FG13" s="358"/>
      <c r="FH13" s="357"/>
      <c r="FI13" s="359"/>
      <c r="FJ13" s="360"/>
      <c r="FK13" s="355"/>
      <c r="FL13" s="355"/>
      <c r="FM13" s="355"/>
      <c r="FN13" s="356"/>
      <c r="FO13" s="357"/>
      <c r="FP13" s="358"/>
      <c r="FQ13" s="357"/>
      <c r="FR13" s="359"/>
      <c r="FS13" s="360"/>
      <c r="FT13" s="355"/>
      <c r="FU13" s="355"/>
      <c r="FV13" s="355"/>
      <c r="FW13" s="356"/>
      <c r="FX13" s="357"/>
      <c r="FY13" s="358"/>
      <c r="FZ13" s="357"/>
      <c r="GA13" s="359"/>
      <c r="GB13" s="360"/>
      <c r="GC13" s="355"/>
      <c r="GD13" s="355"/>
      <c r="GE13" s="355"/>
      <c r="GF13" s="356"/>
      <c r="GG13" s="357"/>
      <c r="GH13" s="358"/>
      <c r="GI13" s="357"/>
      <c r="GJ13" s="359"/>
      <c r="GK13" s="360"/>
      <c r="GL13" s="355"/>
      <c r="GM13" s="355"/>
      <c r="GN13" s="355"/>
      <c r="GO13" s="356"/>
      <c r="GP13" s="357"/>
      <c r="GQ13" s="358"/>
      <c r="GR13" s="357"/>
      <c r="GS13" s="359"/>
      <c r="GT13" s="360"/>
      <c r="GU13" s="362">
        <v>42800</v>
      </c>
      <c r="GV13" s="98"/>
      <c r="GW13" s="65"/>
      <c r="GX13" s="74"/>
      <c r="GY13" s="74"/>
      <c r="GZ13" s="428">
        <v>42807</v>
      </c>
      <c r="HA13" s="67">
        <v>4176</v>
      </c>
    </row>
    <row r="14" spans="1:209" ht="30" x14ac:dyDescent="0.25">
      <c r="C14" s="87"/>
      <c r="D14" s="35"/>
      <c r="E14" s="36"/>
      <c r="F14" s="37"/>
      <c r="G14" s="38"/>
      <c r="H14" s="39"/>
      <c r="I14" s="40"/>
      <c r="J14" s="434" t="s">
        <v>142</v>
      </c>
      <c r="K14" s="385" t="s">
        <v>143</v>
      </c>
      <c r="L14" s="385">
        <v>0</v>
      </c>
      <c r="M14" s="110">
        <v>360</v>
      </c>
      <c r="N14" s="71">
        <v>42775</v>
      </c>
      <c r="O14" s="431" t="s">
        <v>242</v>
      </c>
      <c r="P14" s="72">
        <v>360</v>
      </c>
      <c r="Q14" s="113">
        <f t="shared" si="1"/>
        <v>0</v>
      </c>
      <c r="R14" s="64">
        <v>140</v>
      </c>
      <c r="S14" s="64"/>
      <c r="T14" s="64"/>
      <c r="U14" s="39">
        <f t="shared" si="0"/>
        <v>50400</v>
      </c>
      <c r="V14" s="352"/>
      <c r="W14" s="353"/>
      <c r="X14" s="354"/>
      <c r="Y14" s="355"/>
      <c r="Z14" s="356"/>
      <c r="AA14" s="357"/>
      <c r="AB14" s="358"/>
      <c r="AC14" s="357"/>
      <c r="AD14" s="359"/>
      <c r="AE14" s="360"/>
      <c r="AF14" s="355"/>
      <c r="AG14" s="355"/>
      <c r="AH14" s="355"/>
      <c r="AI14" s="356"/>
      <c r="AJ14" s="357"/>
      <c r="AK14" s="358"/>
      <c r="AL14" s="357"/>
      <c r="AM14" s="359"/>
      <c r="AN14" s="360"/>
      <c r="AO14" s="355"/>
      <c r="AP14" s="355"/>
      <c r="AQ14" s="355"/>
      <c r="AR14" s="356"/>
      <c r="AS14" s="357"/>
      <c r="AT14" s="358"/>
      <c r="AU14" s="357"/>
      <c r="AV14" s="359"/>
      <c r="AW14" s="360"/>
      <c r="AX14" s="355"/>
      <c r="AY14" s="355"/>
      <c r="AZ14" s="355"/>
      <c r="BA14" s="356"/>
      <c r="BB14" s="357"/>
      <c r="BC14" s="358"/>
      <c r="BD14" s="357"/>
      <c r="BE14" s="359"/>
      <c r="BF14" s="360"/>
      <c r="BG14" s="355"/>
      <c r="BH14" s="355"/>
      <c r="BI14" s="355"/>
      <c r="BJ14" s="356"/>
      <c r="BK14" s="357"/>
      <c r="BL14" s="358"/>
      <c r="BM14" s="357"/>
      <c r="BN14" s="359"/>
      <c r="BO14" s="360"/>
      <c r="BP14" s="355"/>
      <c r="BQ14" s="355"/>
      <c r="BR14" s="355"/>
      <c r="BS14" s="356"/>
      <c r="BT14" s="357"/>
      <c r="BU14" s="358"/>
      <c r="BV14" s="357"/>
      <c r="BW14" s="359"/>
      <c r="BX14" s="360"/>
      <c r="BY14" s="355"/>
      <c r="BZ14" s="355"/>
      <c r="CA14" s="355"/>
      <c r="CB14" s="356"/>
      <c r="CC14" s="357"/>
      <c r="CD14" s="358"/>
      <c r="CE14" s="357"/>
      <c r="CF14" s="359"/>
      <c r="CG14" s="360"/>
      <c r="CH14" s="355"/>
      <c r="CI14" s="355"/>
      <c r="CJ14" s="355"/>
      <c r="CK14" s="356"/>
      <c r="CL14" s="357"/>
      <c r="CM14" s="358"/>
      <c r="CN14" s="357"/>
      <c r="CO14" s="359"/>
      <c r="CP14" s="360"/>
      <c r="CQ14" s="355"/>
      <c r="CR14" s="355"/>
      <c r="CS14" s="355"/>
      <c r="CT14" s="356"/>
      <c r="CU14" s="357"/>
      <c r="CV14" s="358"/>
      <c r="CW14" s="361"/>
      <c r="CX14" s="359"/>
      <c r="CY14" s="360"/>
      <c r="CZ14" s="355"/>
      <c r="DA14" s="355"/>
      <c r="DB14" s="355"/>
      <c r="DC14" s="356"/>
      <c r="DD14" s="357"/>
      <c r="DE14" s="358"/>
      <c r="DF14" s="357"/>
      <c r="DG14" s="359"/>
      <c r="DH14" s="360"/>
      <c r="DI14" s="355"/>
      <c r="DJ14" s="355"/>
      <c r="DK14" s="355"/>
      <c r="DL14" s="356"/>
      <c r="DM14" s="357"/>
      <c r="DN14" s="358"/>
      <c r="DO14" s="357"/>
      <c r="DP14" s="359"/>
      <c r="DQ14" s="360"/>
      <c r="DR14" s="355"/>
      <c r="DS14" s="355"/>
      <c r="DT14" s="355"/>
      <c r="DU14" s="356"/>
      <c r="DV14" s="357"/>
      <c r="DW14" s="358"/>
      <c r="DX14" s="357"/>
      <c r="DY14" s="359"/>
      <c r="DZ14" s="360"/>
      <c r="EA14" s="355"/>
      <c r="EB14" s="355"/>
      <c r="EC14" s="355"/>
      <c r="ED14" s="356"/>
      <c r="EE14" s="357"/>
      <c r="EF14" s="358"/>
      <c r="EG14" s="357"/>
      <c r="EH14" s="359"/>
      <c r="EI14" s="360"/>
      <c r="EJ14" s="355"/>
      <c r="EK14" s="355"/>
      <c r="EL14" s="355"/>
      <c r="EM14" s="356"/>
      <c r="EN14" s="357"/>
      <c r="EO14" s="358"/>
      <c r="EP14" s="357"/>
      <c r="EQ14" s="359"/>
      <c r="ER14" s="360"/>
      <c r="ES14" s="355"/>
      <c r="ET14" s="355"/>
      <c r="EU14" s="355"/>
      <c r="EV14" s="356"/>
      <c r="EW14" s="357"/>
      <c r="EX14" s="358"/>
      <c r="EY14" s="357"/>
      <c r="EZ14" s="359"/>
      <c r="FA14" s="360"/>
      <c r="FB14" s="355"/>
      <c r="FC14" s="355"/>
      <c r="FD14" s="355"/>
      <c r="FE14" s="356"/>
      <c r="FF14" s="357"/>
      <c r="FG14" s="358"/>
      <c r="FH14" s="357"/>
      <c r="FI14" s="359"/>
      <c r="FJ14" s="360"/>
      <c r="FK14" s="355"/>
      <c r="FL14" s="355"/>
      <c r="FM14" s="355"/>
      <c r="FN14" s="356"/>
      <c r="FO14" s="357"/>
      <c r="FP14" s="358"/>
      <c r="FQ14" s="357"/>
      <c r="FR14" s="359"/>
      <c r="FS14" s="360"/>
      <c r="FT14" s="355"/>
      <c r="FU14" s="355"/>
      <c r="FV14" s="355"/>
      <c r="FW14" s="356"/>
      <c r="FX14" s="357"/>
      <c r="FY14" s="358"/>
      <c r="FZ14" s="357"/>
      <c r="GA14" s="359"/>
      <c r="GB14" s="360"/>
      <c r="GC14" s="355"/>
      <c r="GD14" s="355"/>
      <c r="GE14" s="355"/>
      <c r="GF14" s="356"/>
      <c r="GG14" s="357"/>
      <c r="GH14" s="358"/>
      <c r="GI14" s="357"/>
      <c r="GJ14" s="359"/>
      <c r="GK14" s="360"/>
      <c r="GL14" s="355"/>
      <c r="GM14" s="355"/>
      <c r="GN14" s="355"/>
      <c r="GO14" s="356"/>
      <c r="GP14" s="357"/>
      <c r="GQ14" s="358"/>
      <c r="GR14" s="357"/>
      <c r="GS14" s="359"/>
      <c r="GT14" s="360"/>
      <c r="GU14" s="362"/>
      <c r="GV14" s="98"/>
      <c r="GW14" s="65"/>
      <c r="GX14" s="74"/>
      <c r="GY14" s="74"/>
      <c r="GZ14" s="428" t="s">
        <v>223</v>
      </c>
      <c r="HA14" s="67">
        <v>0</v>
      </c>
    </row>
    <row r="15" spans="1:209" ht="30" x14ac:dyDescent="0.25">
      <c r="C15" s="87"/>
      <c r="D15" s="35"/>
      <c r="E15" s="36"/>
      <c r="F15" s="37"/>
      <c r="G15" s="38"/>
      <c r="H15" s="39"/>
      <c r="I15" s="40"/>
      <c r="J15" s="383" t="s">
        <v>62</v>
      </c>
      <c r="K15" s="69" t="s">
        <v>70</v>
      </c>
      <c r="L15" s="69">
        <v>252</v>
      </c>
      <c r="M15" s="70">
        <v>22460</v>
      </c>
      <c r="N15" s="71">
        <v>42776</v>
      </c>
      <c r="O15" s="56" t="s">
        <v>136</v>
      </c>
      <c r="P15" s="72">
        <f>22588.1-80</f>
        <v>22508.1</v>
      </c>
      <c r="Q15" s="113">
        <f t="shared" si="1"/>
        <v>48.099999999998545</v>
      </c>
      <c r="R15" s="64">
        <v>36.200000000000003</v>
      </c>
      <c r="S15" s="64"/>
      <c r="T15" s="64"/>
      <c r="U15" s="39">
        <f t="shared" si="0"/>
        <v>814793.22</v>
      </c>
      <c r="V15" s="115" t="s">
        <v>72</v>
      </c>
      <c r="W15" s="112">
        <v>42781</v>
      </c>
      <c r="X15" s="376"/>
      <c r="Y15" s="146"/>
      <c r="Z15" s="147"/>
      <c r="AA15" s="148"/>
      <c r="AB15" s="149"/>
      <c r="AC15" s="148"/>
      <c r="AD15" s="150"/>
      <c r="AE15" s="151"/>
      <c r="AF15" s="146"/>
      <c r="AG15" s="146"/>
      <c r="AH15" s="146"/>
      <c r="AI15" s="147"/>
      <c r="AJ15" s="148"/>
      <c r="AK15" s="149"/>
      <c r="AL15" s="148"/>
      <c r="AM15" s="150"/>
      <c r="AN15" s="151"/>
      <c r="AO15" s="146"/>
      <c r="AP15" s="146"/>
      <c r="AQ15" s="146"/>
      <c r="AR15" s="147"/>
      <c r="AS15" s="148"/>
      <c r="AT15" s="149"/>
      <c r="AU15" s="148"/>
      <c r="AV15" s="150"/>
      <c r="AW15" s="151"/>
      <c r="AX15" s="146"/>
      <c r="AY15" s="146"/>
      <c r="AZ15" s="146"/>
      <c r="BA15" s="147"/>
      <c r="BB15" s="148"/>
      <c r="BC15" s="149"/>
      <c r="BD15" s="148"/>
      <c r="BE15" s="150"/>
      <c r="BF15" s="151"/>
      <c r="BG15" s="146"/>
      <c r="BH15" s="146"/>
      <c r="BI15" s="146"/>
      <c r="BJ15" s="147"/>
      <c r="BK15" s="148"/>
      <c r="BL15" s="149"/>
      <c r="BM15" s="148"/>
      <c r="BN15" s="150"/>
      <c r="BO15" s="151"/>
      <c r="BP15" s="146"/>
      <c r="BQ15" s="146"/>
      <c r="BR15" s="146"/>
      <c r="BS15" s="147"/>
      <c r="BT15" s="148"/>
      <c r="BU15" s="149"/>
      <c r="BV15" s="148"/>
      <c r="BW15" s="150"/>
      <c r="BX15" s="151"/>
      <c r="BY15" s="146"/>
      <c r="BZ15" s="146"/>
      <c r="CA15" s="146"/>
      <c r="CB15" s="147"/>
      <c r="CC15" s="148"/>
      <c r="CD15" s="149"/>
      <c r="CE15" s="148"/>
      <c r="CF15" s="150"/>
      <c r="CG15" s="151"/>
      <c r="CH15" s="146"/>
      <c r="CI15" s="146"/>
      <c r="CJ15" s="146"/>
      <c r="CK15" s="147"/>
      <c r="CL15" s="148"/>
      <c r="CM15" s="149"/>
      <c r="CN15" s="148"/>
      <c r="CO15" s="150"/>
      <c r="CP15" s="151"/>
      <c r="CQ15" s="146"/>
      <c r="CR15" s="146"/>
      <c r="CS15" s="146"/>
      <c r="CT15" s="147"/>
      <c r="CU15" s="148"/>
      <c r="CV15" s="149"/>
      <c r="CW15" s="374"/>
      <c r="CX15" s="150"/>
      <c r="CY15" s="151"/>
      <c r="CZ15" s="146"/>
      <c r="DA15" s="146"/>
      <c r="DB15" s="146"/>
      <c r="DC15" s="147"/>
      <c r="DD15" s="148"/>
      <c r="DE15" s="149"/>
      <c r="DF15" s="148"/>
      <c r="DG15" s="150"/>
      <c r="DH15" s="151"/>
      <c r="DI15" s="146"/>
      <c r="DJ15" s="146"/>
      <c r="DK15" s="146"/>
      <c r="DL15" s="147"/>
      <c r="DM15" s="148"/>
      <c r="DN15" s="149"/>
      <c r="DO15" s="148"/>
      <c r="DP15" s="150"/>
      <c r="DQ15" s="151"/>
      <c r="DR15" s="146"/>
      <c r="DS15" s="146"/>
      <c r="DT15" s="146"/>
      <c r="DU15" s="147"/>
      <c r="DV15" s="148"/>
      <c r="DW15" s="149"/>
      <c r="DX15" s="148"/>
      <c r="DY15" s="150"/>
      <c r="DZ15" s="151"/>
      <c r="EA15" s="146"/>
      <c r="EB15" s="146"/>
      <c r="EC15" s="146"/>
      <c r="ED15" s="147"/>
      <c r="EE15" s="148"/>
      <c r="EF15" s="149"/>
      <c r="EG15" s="148"/>
      <c r="EH15" s="150"/>
      <c r="EI15" s="151"/>
      <c r="EJ15" s="146"/>
      <c r="EK15" s="146"/>
      <c r="EL15" s="146"/>
      <c r="EM15" s="147"/>
      <c r="EN15" s="148"/>
      <c r="EO15" s="149"/>
      <c r="EP15" s="148"/>
      <c r="EQ15" s="150"/>
      <c r="ER15" s="151"/>
      <c r="ES15" s="146"/>
      <c r="ET15" s="146"/>
      <c r="EU15" s="146"/>
      <c r="EV15" s="147"/>
      <c r="EW15" s="148"/>
      <c r="EX15" s="149"/>
      <c r="EY15" s="148"/>
      <c r="EZ15" s="150"/>
      <c r="FA15" s="151"/>
      <c r="FB15" s="146"/>
      <c r="FC15" s="146"/>
      <c r="FD15" s="146"/>
      <c r="FE15" s="147"/>
      <c r="FF15" s="148"/>
      <c r="FG15" s="149"/>
      <c r="FH15" s="148"/>
      <c r="FI15" s="150"/>
      <c r="FJ15" s="151"/>
      <c r="FK15" s="146"/>
      <c r="FL15" s="146"/>
      <c r="FM15" s="146"/>
      <c r="FN15" s="147"/>
      <c r="FO15" s="148"/>
      <c r="FP15" s="149"/>
      <c r="FQ15" s="148"/>
      <c r="FR15" s="150"/>
      <c r="FS15" s="151"/>
      <c r="FT15" s="146"/>
      <c r="FU15" s="146"/>
      <c r="FV15" s="146"/>
      <c r="FW15" s="147"/>
      <c r="FX15" s="148"/>
      <c r="FY15" s="149"/>
      <c r="FZ15" s="148"/>
      <c r="GA15" s="150"/>
      <c r="GB15" s="151"/>
      <c r="GC15" s="146"/>
      <c r="GD15" s="146"/>
      <c r="GE15" s="146"/>
      <c r="GF15" s="147"/>
      <c r="GG15" s="148"/>
      <c r="GH15" s="149"/>
      <c r="GI15" s="148"/>
      <c r="GJ15" s="150"/>
      <c r="GK15" s="151"/>
      <c r="GL15" s="146"/>
      <c r="GM15" s="146"/>
      <c r="GN15" s="146"/>
      <c r="GO15" s="147"/>
      <c r="GP15" s="148"/>
      <c r="GQ15" s="149"/>
      <c r="GR15" s="148"/>
      <c r="GS15" s="150"/>
      <c r="GT15" s="151"/>
      <c r="GU15" s="152"/>
      <c r="GV15" s="98"/>
      <c r="GW15" s="65"/>
      <c r="GX15" s="74"/>
      <c r="GY15" s="74"/>
      <c r="GZ15" s="428" t="s">
        <v>223</v>
      </c>
      <c r="HA15" s="67">
        <v>0</v>
      </c>
    </row>
    <row r="16" spans="1:209" x14ac:dyDescent="0.25">
      <c r="C16" s="87"/>
      <c r="D16" s="35"/>
      <c r="E16" s="36"/>
      <c r="F16" s="37"/>
      <c r="G16" s="38"/>
      <c r="H16" s="39"/>
      <c r="I16" s="40"/>
      <c r="J16" s="68" t="s">
        <v>38</v>
      </c>
      <c r="K16" s="69" t="s">
        <v>35</v>
      </c>
      <c r="L16" s="69">
        <v>130</v>
      </c>
      <c r="M16" s="70">
        <v>12740</v>
      </c>
      <c r="N16" s="71">
        <v>42776</v>
      </c>
      <c r="O16" s="380" t="s">
        <v>198</v>
      </c>
      <c r="P16" s="72">
        <v>15700</v>
      </c>
      <c r="Q16" s="113">
        <f t="shared" si="1"/>
        <v>2960</v>
      </c>
      <c r="R16" s="64">
        <v>27.5</v>
      </c>
      <c r="S16" s="64"/>
      <c r="T16" s="64"/>
      <c r="U16" s="39">
        <f t="shared" si="0"/>
        <v>431750</v>
      </c>
      <c r="V16" s="363" t="s">
        <v>72</v>
      </c>
      <c r="W16" s="353">
        <v>42801</v>
      </c>
      <c r="X16" s="364">
        <v>9802</v>
      </c>
      <c r="Y16" s="355"/>
      <c r="Z16" s="356"/>
      <c r="AA16" s="357"/>
      <c r="AB16" s="358"/>
      <c r="AC16" s="357"/>
      <c r="AD16" s="359"/>
      <c r="AE16" s="360"/>
      <c r="AF16" s="355"/>
      <c r="AG16" s="355"/>
      <c r="AH16" s="355"/>
      <c r="AI16" s="356"/>
      <c r="AJ16" s="357"/>
      <c r="AK16" s="358"/>
      <c r="AL16" s="357"/>
      <c r="AM16" s="359"/>
      <c r="AN16" s="360"/>
      <c r="AO16" s="355"/>
      <c r="AP16" s="355"/>
      <c r="AQ16" s="355"/>
      <c r="AR16" s="356"/>
      <c r="AS16" s="357"/>
      <c r="AT16" s="358"/>
      <c r="AU16" s="357"/>
      <c r="AV16" s="359"/>
      <c r="AW16" s="360"/>
      <c r="AX16" s="355"/>
      <c r="AY16" s="355"/>
      <c r="AZ16" s="355"/>
      <c r="BA16" s="356"/>
      <c r="BB16" s="357"/>
      <c r="BC16" s="358"/>
      <c r="BD16" s="357"/>
      <c r="BE16" s="359"/>
      <c r="BF16" s="360"/>
      <c r="BG16" s="355"/>
      <c r="BH16" s="355"/>
      <c r="BI16" s="355"/>
      <c r="BJ16" s="356"/>
      <c r="BK16" s="357"/>
      <c r="BL16" s="358"/>
      <c r="BM16" s="357"/>
      <c r="BN16" s="359"/>
      <c r="BO16" s="360"/>
      <c r="BP16" s="355"/>
      <c r="BQ16" s="355"/>
      <c r="BR16" s="355"/>
      <c r="BS16" s="356"/>
      <c r="BT16" s="357"/>
      <c r="BU16" s="358"/>
      <c r="BV16" s="357"/>
      <c r="BW16" s="359"/>
      <c r="BX16" s="360"/>
      <c r="BY16" s="355"/>
      <c r="BZ16" s="355"/>
      <c r="CA16" s="355"/>
      <c r="CB16" s="356"/>
      <c r="CC16" s="357"/>
      <c r="CD16" s="358"/>
      <c r="CE16" s="357"/>
      <c r="CF16" s="359"/>
      <c r="CG16" s="360"/>
      <c r="CH16" s="355"/>
      <c r="CI16" s="355"/>
      <c r="CJ16" s="355"/>
      <c r="CK16" s="356"/>
      <c r="CL16" s="357"/>
      <c r="CM16" s="358"/>
      <c r="CN16" s="357"/>
      <c r="CO16" s="359"/>
      <c r="CP16" s="360"/>
      <c r="CQ16" s="355"/>
      <c r="CR16" s="355"/>
      <c r="CS16" s="355"/>
      <c r="CT16" s="356"/>
      <c r="CU16" s="357"/>
      <c r="CV16" s="358"/>
      <c r="CW16" s="361"/>
      <c r="CX16" s="359"/>
      <c r="CY16" s="360"/>
      <c r="CZ16" s="355"/>
      <c r="DA16" s="355"/>
      <c r="DB16" s="355"/>
      <c r="DC16" s="356"/>
      <c r="DD16" s="357"/>
      <c r="DE16" s="358"/>
      <c r="DF16" s="357"/>
      <c r="DG16" s="359"/>
      <c r="DH16" s="360"/>
      <c r="DI16" s="355"/>
      <c r="DJ16" s="355"/>
      <c r="DK16" s="355"/>
      <c r="DL16" s="356"/>
      <c r="DM16" s="357"/>
      <c r="DN16" s="358"/>
      <c r="DO16" s="357"/>
      <c r="DP16" s="359"/>
      <c r="DQ16" s="360"/>
      <c r="DR16" s="355"/>
      <c r="DS16" s="355"/>
      <c r="DT16" s="355"/>
      <c r="DU16" s="356"/>
      <c r="DV16" s="357"/>
      <c r="DW16" s="358"/>
      <c r="DX16" s="357"/>
      <c r="DY16" s="359"/>
      <c r="DZ16" s="360"/>
      <c r="EA16" s="355"/>
      <c r="EB16" s="355"/>
      <c r="EC16" s="355"/>
      <c r="ED16" s="356"/>
      <c r="EE16" s="357"/>
      <c r="EF16" s="358"/>
      <c r="EG16" s="357"/>
      <c r="EH16" s="359"/>
      <c r="EI16" s="360"/>
      <c r="EJ16" s="355"/>
      <c r="EK16" s="355"/>
      <c r="EL16" s="355"/>
      <c r="EM16" s="356"/>
      <c r="EN16" s="357"/>
      <c r="EO16" s="358"/>
      <c r="EP16" s="357"/>
      <c r="EQ16" s="359"/>
      <c r="ER16" s="360"/>
      <c r="ES16" s="355"/>
      <c r="ET16" s="355"/>
      <c r="EU16" s="355"/>
      <c r="EV16" s="356"/>
      <c r="EW16" s="357"/>
      <c r="EX16" s="358"/>
      <c r="EY16" s="357"/>
      <c r="EZ16" s="359"/>
      <c r="FA16" s="360"/>
      <c r="FB16" s="355"/>
      <c r="FC16" s="355"/>
      <c r="FD16" s="355"/>
      <c r="FE16" s="356"/>
      <c r="FF16" s="357"/>
      <c r="FG16" s="358"/>
      <c r="FH16" s="357"/>
      <c r="FI16" s="359"/>
      <c r="FJ16" s="360"/>
      <c r="FK16" s="355"/>
      <c r="FL16" s="355"/>
      <c r="FM16" s="355"/>
      <c r="FN16" s="356"/>
      <c r="FO16" s="357"/>
      <c r="FP16" s="358"/>
      <c r="FQ16" s="357"/>
      <c r="FR16" s="359"/>
      <c r="FS16" s="360"/>
      <c r="FT16" s="355"/>
      <c r="FU16" s="355"/>
      <c r="FV16" s="355"/>
      <c r="FW16" s="356"/>
      <c r="FX16" s="357"/>
      <c r="FY16" s="358"/>
      <c r="FZ16" s="357"/>
      <c r="GA16" s="359"/>
      <c r="GB16" s="360"/>
      <c r="GC16" s="355"/>
      <c r="GD16" s="355"/>
      <c r="GE16" s="355"/>
      <c r="GF16" s="356"/>
      <c r="GG16" s="357"/>
      <c r="GH16" s="358"/>
      <c r="GI16" s="357"/>
      <c r="GJ16" s="359"/>
      <c r="GK16" s="360"/>
      <c r="GL16" s="355"/>
      <c r="GM16" s="355"/>
      <c r="GN16" s="355"/>
      <c r="GO16" s="356"/>
      <c r="GP16" s="357"/>
      <c r="GQ16" s="358"/>
      <c r="GR16" s="357"/>
      <c r="GS16" s="359"/>
      <c r="GT16" s="360"/>
      <c r="GU16" s="362">
        <v>42801</v>
      </c>
      <c r="GV16" s="98"/>
      <c r="GW16" s="84">
        <v>17584</v>
      </c>
      <c r="GX16" s="74" t="s">
        <v>140</v>
      </c>
      <c r="GY16" s="74"/>
      <c r="GZ16" s="428">
        <v>42807</v>
      </c>
      <c r="HA16" s="67">
        <v>2088</v>
      </c>
    </row>
    <row r="17" spans="1:210" x14ac:dyDescent="0.25">
      <c r="C17" s="87"/>
      <c r="D17" s="35"/>
      <c r="E17" s="36"/>
      <c r="F17" s="37"/>
      <c r="G17" s="38"/>
      <c r="H17" s="39"/>
      <c r="I17" s="40"/>
      <c r="J17" s="68" t="s">
        <v>101</v>
      </c>
      <c r="K17" s="69" t="s">
        <v>34</v>
      </c>
      <c r="L17" s="69">
        <v>210</v>
      </c>
      <c r="M17" s="70">
        <v>17890</v>
      </c>
      <c r="N17" s="71">
        <v>42778</v>
      </c>
      <c r="O17" s="380" t="s">
        <v>200</v>
      </c>
      <c r="P17" s="72">
        <v>22915</v>
      </c>
      <c r="Q17" s="113">
        <f t="shared" si="1"/>
        <v>5025</v>
      </c>
      <c r="R17" s="64">
        <v>27</v>
      </c>
      <c r="S17" s="64"/>
      <c r="T17" s="64"/>
      <c r="U17" s="39">
        <f t="shared" si="0"/>
        <v>618705</v>
      </c>
      <c r="V17" s="363" t="s">
        <v>72</v>
      </c>
      <c r="W17" s="353">
        <v>42803</v>
      </c>
      <c r="X17" s="364">
        <v>15834</v>
      </c>
      <c r="Y17" s="355"/>
      <c r="Z17" s="356"/>
      <c r="AA17" s="357"/>
      <c r="AB17" s="358"/>
      <c r="AC17" s="357"/>
      <c r="AD17" s="359"/>
      <c r="AE17" s="360"/>
      <c r="AF17" s="355"/>
      <c r="AG17" s="355"/>
      <c r="AH17" s="355"/>
      <c r="AI17" s="356"/>
      <c r="AJ17" s="357"/>
      <c r="AK17" s="358"/>
      <c r="AL17" s="357"/>
      <c r="AM17" s="359"/>
      <c r="AN17" s="360"/>
      <c r="AO17" s="355"/>
      <c r="AP17" s="355"/>
      <c r="AQ17" s="355"/>
      <c r="AR17" s="356"/>
      <c r="AS17" s="357"/>
      <c r="AT17" s="358"/>
      <c r="AU17" s="357"/>
      <c r="AV17" s="359"/>
      <c r="AW17" s="360"/>
      <c r="AX17" s="355"/>
      <c r="AY17" s="355"/>
      <c r="AZ17" s="355"/>
      <c r="BA17" s="356"/>
      <c r="BB17" s="357"/>
      <c r="BC17" s="358"/>
      <c r="BD17" s="357"/>
      <c r="BE17" s="359"/>
      <c r="BF17" s="360"/>
      <c r="BG17" s="355"/>
      <c r="BH17" s="355"/>
      <c r="BI17" s="355"/>
      <c r="BJ17" s="356"/>
      <c r="BK17" s="357"/>
      <c r="BL17" s="358"/>
      <c r="BM17" s="357"/>
      <c r="BN17" s="359"/>
      <c r="BO17" s="360"/>
      <c r="BP17" s="355"/>
      <c r="BQ17" s="355"/>
      <c r="BR17" s="355"/>
      <c r="BS17" s="356"/>
      <c r="BT17" s="357"/>
      <c r="BU17" s="358"/>
      <c r="BV17" s="357"/>
      <c r="BW17" s="359"/>
      <c r="BX17" s="360"/>
      <c r="BY17" s="355"/>
      <c r="BZ17" s="355"/>
      <c r="CA17" s="355"/>
      <c r="CB17" s="356"/>
      <c r="CC17" s="357"/>
      <c r="CD17" s="358"/>
      <c r="CE17" s="357"/>
      <c r="CF17" s="359"/>
      <c r="CG17" s="360"/>
      <c r="CH17" s="355"/>
      <c r="CI17" s="355"/>
      <c r="CJ17" s="355"/>
      <c r="CK17" s="356"/>
      <c r="CL17" s="357"/>
      <c r="CM17" s="358"/>
      <c r="CN17" s="357"/>
      <c r="CO17" s="359"/>
      <c r="CP17" s="360"/>
      <c r="CQ17" s="355"/>
      <c r="CR17" s="355"/>
      <c r="CS17" s="355"/>
      <c r="CT17" s="356"/>
      <c r="CU17" s="357"/>
      <c r="CV17" s="358"/>
      <c r="CW17" s="361"/>
      <c r="CX17" s="359"/>
      <c r="CY17" s="360"/>
      <c r="CZ17" s="355"/>
      <c r="DA17" s="355"/>
      <c r="DB17" s="355"/>
      <c r="DC17" s="356"/>
      <c r="DD17" s="357"/>
      <c r="DE17" s="358"/>
      <c r="DF17" s="357"/>
      <c r="DG17" s="359"/>
      <c r="DH17" s="360"/>
      <c r="DI17" s="355"/>
      <c r="DJ17" s="355"/>
      <c r="DK17" s="355"/>
      <c r="DL17" s="356"/>
      <c r="DM17" s="357"/>
      <c r="DN17" s="358"/>
      <c r="DO17" s="357"/>
      <c r="DP17" s="359"/>
      <c r="DQ17" s="360"/>
      <c r="DR17" s="355"/>
      <c r="DS17" s="355"/>
      <c r="DT17" s="355"/>
      <c r="DU17" s="356"/>
      <c r="DV17" s="357"/>
      <c r="DW17" s="358"/>
      <c r="DX17" s="357"/>
      <c r="DY17" s="359"/>
      <c r="DZ17" s="360"/>
      <c r="EA17" s="355"/>
      <c r="EB17" s="355"/>
      <c r="EC17" s="355"/>
      <c r="ED17" s="356"/>
      <c r="EE17" s="357"/>
      <c r="EF17" s="358"/>
      <c r="EG17" s="357"/>
      <c r="EH17" s="359"/>
      <c r="EI17" s="360"/>
      <c r="EJ17" s="355"/>
      <c r="EK17" s="355"/>
      <c r="EL17" s="355"/>
      <c r="EM17" s="356"/>
      <c r="EN17" s="357"/>
      <c r="EO17" s="358"/>
      <c r="EP17" s="357"/>
      <c r="EQ17" s="359"/>
      <c r="ER17" s="360"/>
      <c r="ES17" s="355"/>
      <c r="ET17" s="355"/>
      <c r="EU17" s="355"/>
      <c r="EV17" s="356"/>
      <c r="EW17" s="357"/>
      <c r="EX17" s="358"/>
      <c r="EY17" s="357"/>
      <c r="EZ17" s="359"/>
      <c r="FA17" s="360"/>
      <c r="FB17" s="355"/>
      <c r="FC17" s="355"/>
      <c r="FD17" s="355"/>
      <c r="FE17" s="356"/>
      <c r="FF17" s="357"/>
      <c r="FG17" s="358"/>
      <c r="FH17" s="357"/>
      <c r="FI17" s="359"/>
      <c r="FJ17" s="360"/>
      <c r="FK17" s="355"/>
      <c r="FL17" s="355"/>
      <c r="FM17" s="355"/>
      <c r="FN17" s="356"/>
      <c r="FO17" s="357"/>
      <c r="FP17" s="358"/>
      <c r="FQ17" s="357"/>
      <c r="FR17" s="359"/>
      <c r="FS17" s="360"/>
      <c r="FT17" s="355"/>
      <c r="FU17" s="355"/>
      <c r="FV17" s="355"/>
      <c r="FW17" s="356"/>
      <c r="FX17" s="357"/>
      <c r="FY17" s="358"/>
      <c r="FZ17" s="357"/>
      <c r="GA17" s="359"/>
      <c r="GB17" s="360"/>
      <c r="GC17" s="355"/>
      <c r="GD17" s="355"/>
      <c r="GE17" s="355"/>
      <c r="GF17" s="356"/>
      <c r="GG17" s="357"/>
      <c r="GH17" s="358"/>
      <c r="GI17" s="357"/>
      <c r="GJ17" s="359"/>
      <c r="GK17" s="360"/>
      <c r="GL17" s="355"/>
      <c r="GM17" s="355"/>
      <c r="GN17" s="355"/>
      <c r="GO17" s="356"/>
      <c r="GP17" s="357"/>
      <c r="GQ17" s="358"/>
      <c r="GR17" s="357"/>
      <c r="GS17" s="359"/>
      <c r="GT17" s="360"/>
      <c r="GU17" s="362">
        <v>42803</v>
      </c>
      <c r="GV17" s="98"/>
      <c r="GW17" s="65"/>
      <c r="GX17" s="74"/>
      <c r="GY17" s="74"/>
      <c r="GZ17" s="428">
        <v>42807</v>
      </c>
      <c r="HA17" s="67">
        <v>4176</v>
      </c>
    </row>
    <row r="18" spans="1:210" x14ac:dyDescent="0.25">
      <c r="C18" s="87"/>
      <c r="D18" s="35"/>
      <c r="E18" s="36"/>
      <c r="F18" s="37"/>
      <c r="G18" s="38"/>
      <c r="H18" s="39"/>
      <c r="I18" s="40"/>
      <c r="J18" s="68" t="s">
        <v>102</v>
      </c>
      <c r="K18" s="116" t="s">
        <v>103</v>
      </c>
      <c r="L18" s="116">
        <v>120</v>
      </c>
      <c r="M18" s="70">
        <v>11410</v>
      </c>
      <c r="N18" s="71">
        <v>42778</v>
      </c>
      <c r="O18" s="380" t="s">
        <v>197</v>
      </c>
      <c r="P18" s="72">
        <v>13495</v>
      </c>
      <c r="Q18" s="113">
        <f t="shared" si="1"/>
        <v>2085</v>
      </c>
      <c r="R18" s="64">
        <v>27</v>
      </c>
      <c r="S18" s="64"/>
      <c r="T18" s="64"/>
      <c r="U18" s="39">
        <f t="shared" si="0"/>
        <v>364365</v>
      </c>
      <c r="V18" s="363" t="s">
        <v>72</v>
      </c>
      <c r="W18" s="353">
        <v>42801</v>
      </c>
      <c r="X18" s="364">
        <v>9048</v>
      </c>
      <c r="Y18" s="355"/>
      <c r="Z18" s="356"/>
      <c r="AA18" s="357"/>
      <c r="AB18" s="358"/>
      <c r="AC18" s="357"/>
      <c r="AD18" s="359"/>
      <c r="AE18" s="360"/>
      <c r="AF18" s="355"/>
      <c r="AG18" s="355"/>
      <c r="AH18" s="355"/>
      <c r="AI18" s="356"/>
      <c r="AJ18" s="357"/>
      <c r="AK18" s="358"/>
      <c r="AL18" s="357"/>
      <c r="AM18" s="359"/>
      <c r="AN18" s="360"/>
      <c r="AO18" s="355"/>
      <c r="AP18" s="355"/>
      <c r="AQ18" s="355"/>
      <c r="AR18" s="356"/>
      <c r="AS18" s="357"/>
      <c r="AT18" s="358"/>
      <c r="AU18" s="357"/>
      <c r="AV18" s="359"/>
      <c r="AW18" s="360"/>
      <c r="AX18" s="355"/>
      <c r="AY18" s="355"/>
      <c r="AZ18" s="355"/>
      <c r="BA18" s="356"/>
      <c r="BB18" s="357"/>
      <c r="BC18" s="358"/>
      <c r="BD18" s="357"/>
      <c r="BE18" s="359"/>
      <c r="BF18" s="360"/>
      <c r="BG18" s="355"/>
      <c r="BH18" s="355"/>
      <c r="BI18" s="355"/>
      <c r="BJ18" s="356"/>
      <c r="BK18" s="357"/>
      <c r="BL18" s="358"/>
      <c r="BM18" s="357"/>
      <c r="BN18" s="359"/>
      <c r="BO18" s="360"/>
      <c r="BP18" s="355"/>
      <c r="BQ18" s="355"/>
      <c r="BR18" s="355"/>
      <c r="BS18" s="356"/>
      <c r="BT18" s="357"/>
      <c r="BU18" s="358"/>
      <c r="BV18" s="357"/>
      <c r="BW18" s="359"/>
      <c r="BX18" s="360"/>
      <c r="BY18" s="355"/>
      <c r="BZ18" s="355"/>
      <c r="CA18" s="355"/>
      <c r="CB18" s="356"/>
      <c r="CC18" s="357"/>
      <c r="CD18" s="358"/>
      <c r="CE18" s="357"/>
      <c r="CF18" s="359"/>
      <c r="CG18" s="360"/>
      <c r="CH18" s="355"/>
      <c r="CI18" s="355"/>
      <c r="CJ18" s="355"/>
      <c r="CK18" s="356"/>
      <c r="CL18" s="357"/>
      <c r="CM18" s="358"/>
      <c r="CN18" s="357"/>
      <c r="CO18" s="359"/>
      <c r="CP18" s="360"/>
      <c r="CQ18" s="355"/>
      <c r="CR18" s="355"/>
      <c r="CS18" s="355"/>
      <c r="CT18" s="356"/>
      <c r="CU18" s="357"/>
      <c r="CV18" s="358"/>
      <c r="CW18" s="361"/>
      <c r="CX18" s="359"/>
      <c r="CY18" s="360"/>
      <c r="CZ18" s="355"/>
      <c r="DA18" s="355"/>
      <c r="DB18" s="355"/>
      <c r="DC18" s="356"/>
      <c r="DD18" s="357"/>
      <c r="DE18" s="358"/>
      <c r="DF18" s="357"/>
      <c r="DG18" s="359"/>
      <c r="DH18" s="360"/>
      <c r="DI18" s="355"/>
      <c r="DJ18" s="355"/>
      <c r="DK18" s="355"/>
      <c r="DL18" s="356"/>
      <c r="DM18" s="357"/>
      <c r="DN18" s="358"/>
      <c r="DO18" s="357"/>
      <c r="DP18" s="359"/>
      <c r="DQ18" s="360"/>
      <c r="DR18" s="355"/>
      <c r="DS18" s="355"/>
      <c r="DT18" s="355"/>
      <c r="DU18" s="356"/>
      <c r="DV18" s="357"/>
      <c r="DW18" s="358"/>
      <c r="DX18" s="357"/>
      <c r="DY18" s="359"/>
      <c r="DZ18" s="360"/>
      <c r="EA18" s="355"/>
      <c r="EB18" s="355"/>
      <c r="EC18" s="355"/>
      <c r="ED18" s="356"/>
      <c r="EE18" s="357"/>
      <c r="EF18" s="358"/>
      <c r="EG18" s="357"/>
      <c r="EH18" s="359"/>
      <c r="EI18" s="360"/>
      <c r="EJ18" s="355"/>
      <c r="EK18" s="355"/>
      <c r="EL18" s="355"/>
      <c r="EM18" s="356"/>
      <c r="EN18" s="357"/>
      <c r="EO18" s="358"/>
      <c r="EP18" s="357"/>
      <c r="EQ18" s="359"/>
      <c r="ER18" s="360"/>
      <c r="ES18" s="355"/>
      <c r="ET18" s="355"/>
      <c r="EU18" s="355"/>
      <c r="EV18" s="356"/>
      <c r="EW18" s="357"/>
      <c r="EX18" s="358"/>
      <c r="EY18" s="357"/>
      <c r="EZ18" s="359"/>
      <c r="FA18" s="360"/>
      <c r="FB18" s="355"/>
      <c r="FC18" s="355"/>
      <c r="FD18" s="355"/>
      <c r="FE18" s="356"/>
      <c r="FF18" s="357"/>
      <c r="FG18" s="358"/>
      <c r="FH18" s="357"/>
      <c r="FI18" s="359"/>
      <c r="FJ18" s="360"/>
      <c r="FK18" s="355"/>
      <c r="FL18" s="355"/>
      <c r="FM18" s="355"/>
      <c r="FN18" s="356"/>
      <c r="FO18" s="357"/>
      <c r="FP18" s="358"/>
      <c r="FQ18" s="357"/>
      <c r="FR18" s="359"/>
      <c r="FS18" s="360"/>
      <c r="FT18" s="355"/>
      <c r="FU18" s="355"/>
      <c r="FV18" s="355"/>
      <c r="FW18" s="356"/>
      <c r="FX18" s="357"/>
      <c r="FY18" s="358"/>
      <c r="FZ18" s="357"/>
      <c r="GA18" s="359"/>
      <c r="GB18" s="360"/>
      <c r="GC18" s="355"/>
      <c r="GD18" s="355"/>
      <c r="GE18" s="355"/>
      <c r="GF18" s="356"/>
      <c r="GG18" s="357"/>
      <c r="GH18" s="358"/>
      <c r="GI18" s="357"/>
      <c r="GJ18" s="359"/>
      <c r="GK18" s="360"/>
      <c r="GL18" s="355"/>
      <c r="GM18" s="355"/>
      <c r="GN18" s="355"/>
      <c r="GO18" s="356"/>
      <c r="GP18" s="357"/>
      <c r="GQ18" s="358"/>
      <c r="GR18" s="357"/>
      <c r="GS18" s="359"/>
      <c r="GT18" s="360"/>
      <c r="GU18" s="362">
        <v>42801</v>
      </c>
      <c r="GV18" s="98"/>
      <c r="GW18" s="65">
        <v>17584</v>
      </c>
      <c r="GX18" s="74" t="s">
        <v>165</v>
      </c>
      <c r="GY18" s="74"/>
      <c r="GZ18" s="428">
        <v>42807</v>
      </c>
      <c r="HA18" s="67">
        <v>2088</v>
      </c>
    </row>
    <row r="19" spans="1:210" x14ac:dyDescent="0.25">
      <c r="C19" s="87"/>
      <c r="D19" s="35"/>
      <c r="E19" s="36"/>
      <c r="F19" s="37"/>
      <c r="G19" s="38"/>
      <c r="H19" s="39"/>
      <c r="I19" s="40"/>
      <c r="J19" s="68" t="s">
        <v>101</v>
      </c>
      <c r="K19" s="69" t="s">
        <v>37</v>
      </c>
      <c r="L19" s="69">
        <v>200</v>
      </c>
      <c r="M19" s="70">
        <v>18960</v>
      </c>
      <c r="N19" s="71">
        <v>42779</v>
      </c>
      <c r="O19" s="380" t="s">
        <v>199</v>
      </c>
      <c r="P19" s="72">
        <v>23785</v>
      </c>
      <c r="Q19" s="113">
        <f t="shared" si="1"/>
        <v>4825</v>
      </c>
      <c r="R19" s="64">
        <v>27</v>
      </c>
      <c r="S19" s="64"/>
      <c r="T19" s="64"/>
      <c r="U19" s="39">
        <f t="shared" si="0"/>
        <v>642195</v>
      </c>
      <c r="V19" s="363" t="s">
        <v>72</v>
      </c>
      <c r="W19" s="353">
        <v>42803</v>
      </c>
      <c r="X19" s="364">
        <v>15080</v>
      </c>
      <c r="Y19" s="355"/>
      <c r="Z19" s="356"/>
      <c r="AA19" s="357"/>
      <c r="AB19" s="358"/>
      <c r="AC19" s="357"/>
      <c r="AD19" s="359"/>
      <c r="AE19" s="360"/>
      <c r="AF19" s="355"/>
      <c r="AG19" s="355"/>
      <c r="AH19" s="355"/>
      <c r="AI19" s="356"/>
      <c r="AJ19" s="357"/>
      <c r="AK19" s="358"/>
      <c r="AL19" s="357"/>
      <c r="AM19" s="359"/>
      <c r="AN19" s="360"/>
      <c r="AO19" s="355"/>
      <c r="AP19" s="355"/>
      <c r="AQ19" s="355"/>
      <c r="AR19" s="356"/>
      <c r="AS19" s="357"/>
      <c r="AT19" s="358"/>
      <c r="AU19" s="357"/>
      <c r="AV19" s="359"/>
      <c r="AW19" s="360"/>
      <c r="AX19" s="355"/>
      <c r="AY19" s="355"/>
      <c r="AZ19" s="355"/>
      <c r="BA19" s="356"/>
      <c r="BB19" s="357"/>
      <c r="BC19" s="358"/>
      <c r="BD19" s="357"/>
      <c r="BE19" s="359"/>
      <c r="BF19" s="360"/>
      <c r="BG19" s="355"/>
      <c r="BH19" s="355"/>
      <c r="BI19" s="355"/>
      <c r="BJ19" s="356"/>
      <c r="BK19" s="357"/>
      <c r="BL19" s="358"/>
      <c r="BM19" s="357"/>
      <c r="BN19" s="359"/>
      <c r="BO19" s="360"/>
      <c r="BP19" s="355"/>
      <c r="BQ19" s="355"/>
      <c r="BR19" s="355"/>
      <c r="BS19" s="356"/>
      <c r="BT19" s="357"/>
      <c r="BU19" s="358"/>
      <c r="BV19" s="357"/>
      <c r="BW19" s="359"/>
      <c r="BX19" s="360"/>
      <c r="BY19" s="355"/>
      <c r="BZ19" s="355"/>
      <c r="CA19" s="355"/>
      <c r="CB19" s="356"/>
      <c r="CC19" s="357"/>
      <c r="CD19" s="358"/>
      <c r="CE19" s="357"/>
      <c r="CF19" s="359"/>
      <c r="CG19" s="360"/>
      <c r="CH19" s="355"/>
      <c r="CI19" s="355"/>
      <c r="CJ19" s="355"/>
      <c r="CK19" s="356"/>
      <c r="CL19" s="357"/>
      <c r="CM19" s="358"/>
      <c r="CN19" s="357"/>
      <c r="CO19" s="359"/>
      <c r="CP19" s="360"/>
      <c r="CQ19" s="355"/>
      <c r="CR19" s="355"/>
      <c r="CS19" s="355"/>
      <c r="CT19" s="356"/>
      <c r="CU19" s="357"/>
      <c r="CV19" s="358"/>
      <c r="CW19" s="361"/>
      <c r="CX19" s="359"/>
      <c r="CY19" s="360"/>
      <c r="CZ19" s="355"/>
      <c r="DA19" s="355"/>
      <c r="DB19" s="355"/>
      <c r="DC19" s="356"/>
      <c r="DD19" s="357"/>
      <c r="DE19" s="358"/>
      <c r="DF19" s="357"/>
      <c r="DG19" s="359"/>
      <c r="DH19" s="360"/>
      <c r="DI19" s="355"/>
      <c r="DJ19" s="355"/>
      <c r="DK19" s="355"/>
      <c r="DL19" s="356"/>
      <c r="DM19" s="357"/>
      <c r="DN19" s="358"/>
      <c r="DO19" s="357"/>
      <c r="DP19" s="359"/>
      <c r="DQ19" s="360"/>
      <c r="DR19" s="355"/>
      <c r="DS19" s="355"/>
      <c r="DT19" s="355"/>
      <c r="DU19" s="356"/>
      <c r="DV19" s="357"/>
      <c r="DW19" s="358"/>
      <c r="DX19" s="357"/>
      <c r="DY19" s="359"/>
      <c r="DZ19" s="360"/>
      <c r="EA19" s="355"/>
      <c r="EB19" s="355"/>
      <c r="EC19" s="355"/>
      <c r="ED19" s="356"/>
      <c r="EE19" s="357"/>
      <c r="EF19" s="358"/>
      <c r="EG19" s="357"/>
      <c r="EH19" s="359"/>
      <c r="EI19" s="360"/>
      <c r="EJ19" s="355"/>
      <c r="EK19" s="355"/>
      <c r="EL19" s="355"/>
      <c r="EM19" s="356"/>
      <c r="EN19" s="357"/>
      <c r="EO19" s="358"/>
      <c r="EP19" s="357"/>
      <c r="EQ19" s="359"/>
      <c r="ER19" s="360"/>
      <c r="ES19" s="355"/>
      <c r="ET19" s="355"/>
      <c r="EU19" s="355"/>
      <c r="EV19" s="356"/>
      <c r="EW19" s="357"/>
      <c r="EX19" s="358"/>
      <c r="EY19" s="357"/>
      <c r="EZ19" s="359"/>
      <c r="FA19" s="360"/>
      <c r="FB19" s="355"/>
      <c r="FC19" s="355"/>
      <c r="FD19" s="355"/>
      <c r="FE19" s="356"/>
      <c r="FF19" s="357"/>
      <c r="FG19" s="358"/>
      <c r="FH19" s="357"/>
      <c r="FI19" s="359"/>
      <c r="FJ19" s="360"/>
      <c r="FK19" s="355"/>
      <c r="FL19" s="355"/>
      <c r="FM19" s="355"/>
      <c r="FN19" s="356"/>
      <c r="FO19" s="357"/>
      <c r="FP19" s="358"/>
      <c r="FQ19" s="357"/>
      <c r="FR19" s="359"/>
      <c r="FS19" s="360"/>
      <c r="FT19" s="355"/>
      <c r="FU19" s="355"/>
      <c r="FV19" s="355"/>
      <c r="FW19" s="356"/>
      <c r="FX19" s="357"/>
      <c r="FY19" s="358"/>
      <c r="FZ19" s="357"/>
      <c r="GA19" s="359"/>
      <c r="GB19" s="360"/>
      <c r="GC19" s="355"/>
      <c r="GD19" s="355"/>
      <c r="GE19" s="355"/>
      <c r="GF19" s="356"/>
      <c r="GG19" s="357"/>
      <c r="GH19" s="358"/>
      <c r="GI19" s="357"/>
      <c r="GJ19" s="359"/>
      <c r="GK19" s="360"/>
      <c r="GL19" s="355"/>
      <c r="GM19" s="355"/>
      <c r="GN19" s="355"/>
      <c r="GO19" s="356"/>
      <c r="GP19" s="357"/>
      <c r="GQ19" s="358"/>
      <c r="GR19" s="357"/>
      <c r="GS19" s="359"/>
      <c r="GT19" s="360"/>
      <c r="GU19" s="365">
        <v>42803</v>
      </c>
      <c r="GV19" s="98"/>
      <c r="GW19" s="65">
        <v>22176</v>
      </c>
      <c r="GX19" s="74" t="s">
        <v>166</v>
      </c>
      <c r="GY19" s="74"/>
      <c r="GZ19" s="428">
        <v>42807</v>
      </c>
      <c r="HA19" s="67">
        <v>4176</v>
      </c>
    </row>
    <row r="20" spans="1:210" ht="30" x14ac:dyDescent="0.25">
      <c r="C20" s="87"/>
      <c r="D20" s="35"/>
      <c r="E20" s="36"/>
      <c r="F20" s="37"/>
      <c r="G20" s="38"/>
      <c r="H20" s="39"/>
      <c r="I20" s="40"/>
      <c r="J20" s="434" t="s">
        <v>142</v>
      </c>
      <c r="K20" s="69" t="s">
        <v>248</v>
      </c>
      <c r="L20" s="69"/>
      <c r="M20" s="70">
        <v>360</v>
      </c>
      <c r="N20" s="71">
        <v>42779</v>
      </c>
      <c r="O20" s="380" t="s">
        <v>1343</v>
      </c>
      <c r="P20" s="72">
        <v>360</v>
      </c>
      <c r="Q20" s="113">
        <f t="shared" si="1"/>
        <v>0</v>
      </c>
      <c r="R20" s="64">
        <v>140</v>
      </c>
      <c r="S20" s="433" t="s">
        <v>249</v>
      </c>
      <c r="T20" s="64"/>
      <c r="U20" s="39">
        <f t="shared" si="0"/>
        <v>50400</v>
      </c>
      <c r="V20" s="363" t="s">
        <v>72</v>
      </c>
      <c r="W20" s="353">
        <v>42786</v>
      </c>
      <c r="X20" s="364"/>
      <c r="Y20" s="355"/>
      <c r="Z20" s="356"/>
      <c r="AA20" s="357"/>
      <c r="AB20" s="358"/>
      <c r="AC20" s="357"/>
      <c r="AD20" s="359"/>
      <c r="AE20" s="360"/>
      <c r="AF20" s="355"/>
      <c r="AG20" s="355"/>
      <c r="AH20" s="355"/>
      <c r="AI20" s="356"/>
      <c r="AJ20" s="357"/>
      <c r="AK20" s="358"/>
      <c r="AL20" s="357"/>
      <c r="AM20" s="359"/>
      <c r="AN20" s="360"/>
      <c r="AO20" s="355"/>
      <c r="AP20" s="355"/>
      <c r="AQ20" s="355"/>
      <c r="AR20" s="356"/>
      <c r="AS20" s="357"/>
      <c r="AT20" s="358"/>
      <c r="AU20" s="357"/>
      <c r="AV20" s="359"/>
      <c r="AW20" s="360"/>
      <c r="AX20" s="355"/>
      <c r="AY20" s="355"/>
      <c r="AZ20" s="355"/>
      <c r="BA20" s="356"/>
      <c r="BB20" s="357"/>
      <c r="BC20" s="358"/>
      <c r="BD20" s="357"/>
      <c r="BE20" s="359"/>
      <c r="BF20" s="360"/>
      <c r="BG20" s="355"/>
      <c r="BH20" s="355"/>
      <c r="BI20" s="355"/>
      <c r="BJ20" s="356"/>
      <c r="BK20" s="357"/>
      <c r="BL20" s="358"/>
      <c r="BM20" s="357"/>
      <c r="BN20" s="359"/>
      <c r="BO20" s="360"/>
      <c r="BP20" s="355"/>
      <c r="BQ20" s="355"/>
      <c r="BR20" s="355"/>
      <c r="BS20" s="356"/>
      <c r="BT20" s="357"/>
      <c r="BU20" s="358"/>
      <c r="BV20" s="357"/>
      <c r="BW20" s="359"/>
      <c r="BX20" s="360"/>
      <c r="BY20" s="355"/>
      <c r="BZ20" s="355"/>
      <c r="CA20" s="355"/>
      <c r="CB20" s="356"/>
      <c r="CC20" s="357"/>
      <c r="CD20" s="358"/>
      <c r="CE20" s="357"/>
      <c r="CF20" s="359"/>
      <c r="CG20" s="360"/>
      <c r="CH20" s="355"/>
      <c r="CI20" s="355"/>
      <c r="CJ20" s="355"/>
      <c r="CK20" s="356"/>
      <c r="CL20" s="357"/>
      <c r="CM20" s="358"/>
      <c r="CN20" s="357"/>
      <c r="CO20" s="359"/>
      <c r="CP20" s="360"/>
      <c r="CQ20" s="355"/>
      <c r="CR20" s="355"/>
      <c r="CS20" s="355"/>
      <c r="CT20" s="356"/>
      <c r="CU20" s="357"/>
      <c r="CV20" s="358"/>
      <c r="CW20" s="361"/>
      <c r="CX20" s="359"/>
      <c r="CY20" s="360"/>
      <c r="CZ20" s="355"/>
      <c r="DA20" s="355"/>
      <c r="DB20" s="355"/>
      <c r="DC20" s="356"/>
      <c r="DD20" s="357"/>
      <c r="DE20" s="358"/>
      <c r="DF20" s="357"/>
      <c r="DG20" s="359"/>
      <c r="DH20" s="360"/>
      <c r="DI20" s="355"/>
      <c r="DJ20" s="355"/>
      <c r="DK20" s="355"/>
      <c r="DL20" s="356"/>
      <c r="DM20" s="357"/>
      <c r="DN20" s="358"/>
      <c r="DO20" s="357"/>
      <c r="DP20" s="359"/>
      <c r="DQ20" s="360"/>
      <c r="DR20" s="355"/>
      <c r="DS20" s="355"/>
      <c r="DT20" s="355"/>
      <c r="DU20" s="356"/>
      <c r="DV20" s="357"/>
      <c r="DW20" s="358"/>
      <c r="DX20" s="357"/>
      <c r="DY20" s="359"/>
      <c r="DZ20" s="360"/>
      <c r="EA20" s="355"/>
      <c r="EB20" s="355"/>
      <c r="EC20" s="355"/>
      <c r="ED20" s="356"/>
      <c r="EE20" s="357"/>
      <c r="EF20" s="358"/>
      <c r="EG20" s="357"/>
      <c r="EH20" s="359"/>
      <c r="EI20" s="360"/>
      <c r="EJ20" s="355"/>
      <c r="EK20" s="355"/>
      <c r="EL20" s="355"/>
      <c r="EM20" s="356"/>
      <c r="EN20" s="357"/>
      <c r="EO20" s="358"/>
      <c r="EP20" s="357"/>
      <c r="EQ20" s="359"/>
      <c r="ER20" s="360"/>
      <c r="ES20" s="355"/>
      <c r="ET20" s="355"/>
      <c r="EU20" s="355"/>
      <c r="EV20" s="356"/>
      <c r="EW20" s="357"/>
      <c r="EX20" s="358"/>
      <c r="EY20" s="357"/>
      <c r="EZ20" s="359"/>
      <c r="FA20" s="360"/>
      <c r="FB20" s="355"/>
      <c r="FC20" s="355"/>
      <c r="FD20" s="355"/>
      <c r="FE20" s="356"/>
      <c r="FF20" s="357"/>
      <c r="FG20" s="358"/>
      <c r="FH20" s="357"/>
      <c r="FI20" s="359"/>
      <c r="FJ20" s="360"/>
      <c r="FK20" s="355"/>
      <c r="FL20" s="355"/>
      <c r="FM20" s="355"/>
      <c r="FN20" s="356"/>
      <c r="FO20" s="357"/>
      <c r="FP20" s="358"/>
      <c r="FQ20" s="357"/>
      <c r="FR20" s="359"/>
      <c r="FS20" s="360"/>
      <c r="FT20" s="355"/>
      <c r="FU20" s="355"/>
      <c r="FV20" s="355"/>
      <c r="FW20" s="356"/>
      <c r="FX20" s="357"/>
      <c r="FY20" s="358"/>
      <c r="FZ20" s="357"/>
      <c r="GA20" s="359"/>
      <c r="GB20" s="360"/>
      <c r="GC20" s="355"/>
      <c r="GD20" s="355"/>
      <c r="GE20" s="355"/>
      <c r="GF20" s="356"/>
      <c r="GG20" s="357"/>
      <c r="GH20" s="358"/>
      <c r="GI20" s="357"/>
      <c r="GJ20" s="359"/>
      <c r="GK20" s="360"/>
      <c r="GL20" s="355"/>
      <c r="GM20" s="355"/>
      <c r="GN20" s="355"/>
      <c r="GO20" s="356"/>
      <c r="GP20" s="357"/>
      <c r="GQ20" s="358"/>
      <c r="GR20" s="357"/>
      <c r="GS20" s="359"/>
      <c r="GT20" s="360"/>
      <c r="GU20" s="365"/>
      <c r="GV20" s="98"/>
      <c r="GW20" s="65"/>
      <c r="GX20" s="74"/>
      <c r="GY20" s="74"/>
      <c r="GZ20" s="428"/>
      <c r="HA20" s="67"/>
    </row>
    <row r="21" spans="1:210" x14ac:dyDescent="0.25">
      <c r="C21" s="87"/>
      <c r="D21" s="35"/>
      <c r="E21" s="36"/>
      <c r="F21" s="37"/>
      <c r="G21" s="38"/>
      <c r="H21" s="39"/>
      <c r="I21" s="40"/>
      <c r="J21" s="68" t="s">
        <v>104</v>
      </c>
      <c r="K21" s="69" t="s">
        <v>37</v>
      </c>
      <c r="L21" s="69">
        <v>200</v>
      </c>
      <c r="M21" s="70">
        <v>19700</v>
      </c>
      <c r="N21" s="71">
        <v>42780</v>
      </c>
      <c r="O21" s="380" t="s">
        <v>201</v>
      </c>
      <c r="P21" s="72">
        <v>24395</v>
      </c>
      <c r="Q21" s="113">
        <f t="shared" si="1"/>
        <v>4695</v>
      </c>
      <c r="R21" s="64">
        <v>27</v>
      </c>
      <c r="S21" s="64"/>
      <c r="T21" s="64"/>
      <c r="U21" s="39">
        <f t="shared" si="0"/>
        <v>658665</v>
      </c>
      <c r="V21" s="363" t="s">
        <v>72</v>
      </c>
      <c r="W21" s="353">
        <v>42804</v>
      </c>
      <c r="X21" s="364">
        <v>15080</v>
      </c>
      <c r="Y21" s="355"/>
      <c r="Z21" s="356"/>
      <c r="AA21" s="357"/>
      <c r="AB21" s="358"/>
      <c r="AC21" s="357"/>
      <c r="AD21" s="359"/>
      <c r="AE21" s="360"/>
      <c r="AF21" s="355"/>
      <c r="AG21" s="355"/>
      <c r="AH21" s="355"/>
      <c r="AI21" s="356"/>
      <c r="AJ21" s="357"/>
      <c r="AK21" s="358"/>
      <c r="AL21" s="357"/>
      <c r="AM21" s="359"/>
      <c r="AN21" s="360"/>
      <c r="AO21" s="355"/>
      <c r="AP21" s="355"/>
      <c r="AQ21" s="355"/>
      <c r="AR21" s="356"/>
      <c r="AS21" s="357"/>
      <c r="AT21" s="358"/>
      <c r="AU21" s="357"/>
      <c r="AV21" s="359"/>
      <c r="AW21" s="360"/>
      <c r="AX21" s="355"/>
      <c r="AY21" s="355"/>
      <c r="AZ21" s="355"/>
      <c r="BA21" s="356"/>
      <c r="BB21" s="357"/>
      <c r="BC21" s="358"/>
      <c r="BD21" s="357"/>
      <c r="BE21" s="359"/>
      <c r="BF21" s="360"/>
      <c r="BG21" s="355"/>
      <c r="BH21" s="355"/>
      <c r="BI21" s="355"/>
      <c r="BJ21" s="356"/>
      <c r="BK21" s="357"/>
      <c r="BL21" s="358"/>
      <c r="BM21" s="357"/>
      <c r="BN21" s="359"/>
      <c r="BO21" s="360"/>
      <c r="BP21" s="355"/>
      <c r="BQ21" s="355"/>
      <c r="BR21" s="355"/>
      <c r="BS21" s="356"/>
      <c r="BT21" s="357"/>
      <c r="BU21" s="358"/>
      <c r="BV21" s="357"/>
      <c r="BW21" s="359"/>
      <c r="BX21" s="360"/>
      <c r="BY21" s="355"/>
      <c r="BZ21" s="355"/>
      <c r="CA21" s="355"/>
      <c r="CB21" s="356"/>
      <c r="CC21" s="357"/>
      <c r="CD21" s="358"/>
      <c r="CE21" s="357"/>
      <c r="CF21" s="359"/>
      <c r="CG21" s="360"/>
      <c r="CH21" s="355"/>
      <c r="CI21" s="355"/>
      <c r="CJ21" s="355"/>
      <c r="CK21" s="356"/>
      <c r="CL21" s="357"/>
      <c r="CM21" s="358"/>
      <c r="CN21" s="357"/>
      <c r="CO21" s="359"/>
      <c r="CP21" s="360"/>
      <c r="CQ21" s="355"/>
      <c r="CR21" s="355"/>
      <c r="CS21" s="355"/>
      <c r="CT21" s="356"/>
      <c r="CU21" s="357"/>
      <c r="CV21" s="358"/>
      <c r="CW21" s="361"/>
      <c r="CX21" s="359"/>
      <c r="CY21" s="360"/>
      <c r="CZ21" s="355"/>
      <c r="DA21" s="355"/>
      <c r="DB21" s="355"/>
      <c r="DC21" s="356"/>
      <c r="DD21" s="357"/>
      <c r="DE21" s="358"/>
      <c r="DF21" s="357"/>
      <c r="DG21" s="359"/>
      <c r="DH21" s="360"/>
      <c r="DI21" s="355"/>
      <c r="DJ21" s="355"/>
      <c r="DK21" s="355"/>
      <c r="DL21" s="356"/>
      <c r="DM21" s="357"/>
      <c r="DN21" s="358"/>
      <c r="DO21" s="357"/>
      <c r="DP21" s="359"/>
      <c r="DQ21" s="360"/>
      <c r="DR21" s="355"/>
      <c r="DS21" s="355"/>
      <c r="DT21" s="355"/>
      <c r="DU21" s="356"/>
      <c r="DV21" s="357"/>
      <c r="DW21" s="358"/>
      <c r="DX21" s="357"/>
      <c r="DY21" s="359"/>
      <c r="DZ21" s="360"/>
      <c r="EA21" s="355"/>
      <c r="EB21" s="355"/>
      <c r="EC21" s="355"/>
      <c r="ED21" s="356"/>
      <c r="EE21" s="357"/>
      <c r="EF21" s="358"/>
      <c r="EG21" s="357"/>
      <c r="EH21" s="359"/>
      <c r="EI21" s="360"/>
      <c r="EJ21" s="355"/>
      <c r="EK21" s="355"/>
      <c r="EL21" s="355"/>
      <c r="EM21" s="356"/>
      <c r="EN21" s="357"/>
      <c r="EO21" s="358"/>
      <c r="EP21" s="357"/>
      <c r="EQ21" s="359"/>
      <c r="ER21" s="360"/>
      <c r="ES21" s="355"/>
      <c r="ET21" s="355"/>
      <c r="EU21" s="355"/>
      <c r="EV21" s="356"/>
      <c r="EW21" s="357"/>
      <c r="EX21" s="358"/>
      <c r="EY21" s="357"/>
      <c r="EZ21" s="359"/>
      <c r="FA21" s="360"/>
      <c r="FB21" s="355"/>
      <c r="FC21" s="355"/>
      <c r="FD21" s="355"/>
      <c r="FE21" s="356"/>
      <c r="FF21" s="357"/>
      <c r="FG21" s="358"/>
      <c r="FH21" s="357"/>
      <c r="FI21" s="359"/>
      <c r="FJ21" s="360"/>
      <c r="FK21" s="355"/>
      <c r="FL21" s="355"/>
      <c r="FM21" s="355"/>
      <c r="FN21" s="356"/>
      <c r="FO21" s="357"/>
      <c r="FP21" s="358"/>
      <c r="FQ21" s="357"/>
      <c r="FR21" s="359"/>
      <c r="FS21" s="360"/>
      <c r="FT21" s="355"/>
      <c r="FU21" s="355"/>
      <c r="FV21" s="355"/>
      <c r="FW21" s="356"/>
      <c r="FX21" s="357"/>
      <c r="FY21" s="358"/>
      <c r="FZ21" s="357"/>
      <c r="GA21" s="359"/>
      <c r="GB21" s="360"/>
      <c r="GC21" s="355"/>
      <c r="GD21" s="355"/>
      <c r="GE21" s="355"/>
      <c r="GF21" s="356"/>
      <c r="GG21" s="357"/>
      <c r="GH21" s="358"/>
      <c r="GI21" s="357"/>
      <c r="GJ21" s="359"/>
      <c r="GK21" s="360"/>
      <c r="GL21" s="355"/>
      <c r="GM21" s="355"/>
      <c r="GN21" s="355"/>
      <c r="GO21" s="356"/>
      <c r="GP21" s="357"/>
      <c r="GQ21" s="358"/>
      <c r="GR21" s="357"/>
      <c r="GS21" s="359"/>
      <c r="GT21" s="360"/>
      <c r="GU21" s="362">
        <v>42804</v>
      </c>
      <c r="GV21" s="98"/>
      <c r="GW21" s="65"/>
      <c r="GX21" s="74"/>
      <c r="GY21" s="74"/>
      <c r="GZ21" s="428">
        <v>42807</v>
      </c>
      <c r="HA21" s="67">
        <v>4176</v>
      </c>
    </row>
    <row r="22" spans="1:210" x14ac:dyDescent="0.25">
      <c r="A22" s="1">
        <v>23</v>
      </c>
      <c r="B22" t="e">
        <f>#REF!</f>
        <v>#REF!</v>
      </c>
      <c r="C22" t="e">
        <f>#REF!</f>
        <v>#REF!</v>
      </c>
      <c r="D22" s="35" t="e">
        <f>#REF!</f>
        <v>#REF!</v>
      </c>
      <c r="E22" s="36" t="e">
        <f>#REF!</f>
        <v>#REF!</v>
      </c>
      <c r="F22" s="37" t="e">
        <f>#REF!</f>
        <v>#REF!</v>
      </c>
      <c r="G22" s="38" t="e">
        <f>#REF!</f>
        <v>#REF!</v>
      </c>
      <c r="H22" s="39" t="e">
        <f>#REF!</f>
        <v>#REF!</v>
      </c>
      <c r="I22" s="40" t="e">
        <f>#REF!</f>
        <v>#REF!</v>
      </c>
      <c r="J22" s="68" t="s">
        <v>91</v>
      </c>
      <c r="K22" s="69" t="s">
        <v>105</v>
      </c>
      <c r="L22" s="69">
        <v>248</v>
      </c>
      <c r="M22" s="70">
        <v>23770</v>
      </c>
      <c r="N22" s="71">
        <v>42781</v>
      </c>
      <c r="O22" s="380" t="s">
        <v>202</v>
      </c>
      <c r="P22" s="72">
        <v>29260</v>
      </c>
      <c r="Q22" s="113">
        <f t="shared" si="1"/>
        <v>5490</v>
      </c>
      <c r="R22" s="64">
        <v>27</v>
      </c>
      <c r="S22" s="64"/>
      <c r="T22" s="64"/>
      <c r="U22" s="39">
        <f t="shared" si="0"/>
        <v>790020</v>
      </c>
      <c r="V22" s="363" t="s">
        <v>72</v>
      </c>
      <c r="W22" s="366">
        <v>42807</v>
      </c>
      <c r="X22" s="367">
        <v>18699.2</v>
      </c>
      <c r="Y22" s="355"/>
      <c r="Z22" s="356"/>
      <c r="AA22" s="357"/>
      <c r="AB22" s="358"/>
      <c r="AC22" s="357"/>
      <c r="AD22" s="359"/>
      <c r="AE22" s="360"/>
      <c r="AF22" s="355"/>
      <c r="AG22" s="355"/>
      <c r="AH22" s="355"/>
      <c r="AI22" s="356"/>
      <c r="AJ22" s="357"/>
      <c r="AK22" s="358"/>
      <c r="AL22" s="357"/>
      <c r="AM22" s="359"/>
      <c r="AN22" s="360"/>
      <c r="AO22" s="355"/>
      <c r="AP22" s="355"/>
      <c r="AQ22" s="355"/>
      <c r="AR22" s="356"/>
      <c r="AS22" s="357"/>
      <c r="AT22" s="358"/>
      <c r="AU22" s="357"/>
      <c r="AV22" s="359"/>
      <c r="AW22" s="360"/>
      <c r="AX22" s="355"/>
      <c r="AY22" s="355"/>
      <c r="AZ22" s="355"/>
      <c r="BA22" s="356"/>
      <c r="BB22" s="357"/>
      <c r="BC22" s="358"/>
      <c r="BD22" s="357"/>
      <c r="BE22" s="359"/>
      <c r="BF22" s="360"/>
      <c r="BG22" s="355"/>
      <c r="BH22" s="355"/>
      <c r="BI22" s="355"/>
      <c r="BJ22" s="356"/>
      <c r="BK22" s="357"/>
      <c r="BL22" s="358"/>
      <c r="BM22" s="357"/>
      <c r="BN22" s="359"/>
      <c r="BO22" s="360"/>
      <c r="BP22" s="355"/>
      <c r="BQ22" s="355"/>
      <c r="BR22" s="355"/>
      <c r="BS22" s="356"/>
      <c r="BT22" s="357"/>
      <c r="BU22" s="358"/>
      <c r="BV22" s="357"/>
      <c r="BW22" s="359"/>
      <c r="BX22" s="360"/>
      <c r="BY22" s="355"/>
      <c r="BZ22" s="355"/>
      <c r="CA22" s="355"/>
      <c r="CB22" s="356"/>
      <c r="CC22" s="357"/>
      <c r="CD22" s="358"/>
      <c r="CE22" s="357"/>
      <c r="CF22" s="359"/>
      <c r="CG22" s="360"/>
      <c r="CH22" s="355"/>
      <c r="CI22" s="355"/>
      <c r="CJ22" s="355"/>
      <c r="CK22" s="356"/>
      <c r="CL22" s="357"/>
      <c r="CM22" s="358"/>
      <c r="CN22" s="357"/>
      <c r="CO22" s="359"/>
      <c r="CP22" s="360"/>
      <c r="CQ22" s="355"/>
      <c r="CR22" s="355"/>
      <c r="CS22" s="355"/>
      <c r="CT22" s="356"/>
      <c r="CU22" s="357"/>
      <c r="CV22" s="358"/>
      <c r="CW22" s="357"/>
      <c r="CX22" s="359"/>
      <c r="CY22" s="360"/>
      <c r="CZ22" s="355"/>
      <c r="DA22" s="355"/>
      <c r="DB22" s="355"/>
      <c r="DC22" s="356"/>
      <c r="DD22" s="357"/>
      <c r="DE22" s="358"/>
      <c r="DF22" s="357"/>
      <c r="DG22" s="359"/>
      <c r="DH22" s="360"/>
      <c r="DI22" s="355"/>
      <c r="DJ22" s="355"/>
      <c r="DK22" s="355"/>
      <c r="DL22" s="356"/>
      <c r="DM22" s="357"/>
      <c r="DN22" s="358"/>
      <c r="DO22" s="357"/>
      <c r="DP22" s="359"/>
      <c r="DQ22" s="360"/>
      <c r="DR22" s="355"/>
      <c r="DS22" s="355"/>
      <c r="DT22" s="355"/>
      <c r="DU22" s="356"/>
      <c r="DV22" s="357"/>
      <c r="DW22" s="358"/>
      <c r="DX22" s="357"/>
      <c r="DY22" s="359"/>
      <c r="DZ22" s="360"/>
      <c r="EA22" s="355"/>
      <c r="EB22" s="355"/>
      <c r="EC22" s="355"/>
      <c r="ED22" s="356"/>
      <c r="EE22" s="357"/>
      <c r="EF22" s="358"/>
      <c r="EG22" s="357"/>
      <c r="EH22" s="359"/>
      <c r="EI22" s="360"/>
      <c r="EJ22" s="355"/>
      <c r="EK22" s="355"/>
      <c r="EL22" s="355"/>
      <c r="EM22" s="356"/>
      <c r="EN22" s="357"/>
      <c r="EO22" s="358"/>
      <c r="EP22" s="357"/>
      <c r="EQ22" s="359"/>
      <c r="ER22" s="360"/>
      <c r="ES22" s="355"/>
      <c r="ET22" s="355"/>
      <c r="EU22" s="355"/>
      <c r="EV22" s="356"/>
      <c r="EW22" s="357"/>
      <c r="EX22" s="358"/>
      <c r="EY22" s="357"/>
      <c r="EZ22" s="359"/>
      <c r="FA22" s="360"/>
      <c r="FB22" s="355"/>
      <c r="FC22" s="355"/>
      <c r="FD22" s="355"/>
      <c r="FE22" s="356"/>
      <c r="FF22" s="357"/>
      <c r="FG22" s="358"/>
      <c r="FH22" s="357"/>
      <c r="FI22" s="359"/>
      <c r="FJ22" s="360"/>
      <c r="FK22" s="355"/>
      <c r="FL22" s="355"/>
      <c r="FM22" s="355"/>
      <c r="FN22" s="356"/>
      <c r="FO22" s="357"/>
      <c r="FP22" s="358"/>
      <c r="FQ22" s="357"/>
      <c r="FR22" s="359"/>
      <c r="FS22" s="360"/>
      <c r="FT22" s="355"/>
      <c r="FU22" s="355"/>
      <c r="FV22" s="355"/>
      <c r="FW22" s="356"/>
      <c r="FX22" s="357"/>
      <c r="FY22" s="358"/>
      <c r="FZ22" s="357"/>
      <c r="GA22" s="359"/>
      <c r="GB22" s="360"/>
      <c r="GC22" s="355"/>
      <c r="GD22" s="355"/>
      <c r="GE22" s="355"/>
      <c r="GF22" s="356"/>
      <c r="GG22" s="357"/>
      <c r="GH22" s="358"/>
      <c r="GI22" s="357"/>
      <c r="GJ22" s="359"/>
      <c r="GK22" s="360"/>
      <c r="GL22" s="355"/>
      <c r="GM22" s="355"/>
      <c r="GN22" s="355"/>
      <c r="GO22" s="356"/>
      <c r="GP22" s="357"/>
      <c r="GQ22" s="358"/>
      <c r="GR22" s="357"/>
      <c r="GS22" s="359"/>
      <c r="GT22" s="360"/>
      <c r="GU22" s="362">
        <v>42807</v>
      </c>
      <c r="GV22" s="98"/>
      <c r="GW22" s="84">
        <v>22176</v>
      </c>
      <c r="GX22" s="74" t="s">
        <v>167</v>
      </c>
      <c r="GY22" s="74"/>
      <c r="GZ22" s="428">
        <v>42807</v>
      </c>
      <c r="HA22" s="67"/>
      <c r="HB22">
        <v>4176</v>
      </c>
    </row>
    <row r="23" spans="1:210" x14ac:dyDescent="0.25">
      <c r="D23" s="35"/>
      <c r="E23" s="36"/>
      <c r="F23" s="37"/>
      <c r="G23" s="38"/>
      <c r="H23" s="39"/>
      <c r="I23" s="40"/>
      <c r="J23" s="68" t="s">
        <v>91</v>
      </c>
      <c r="K23" s="69" t="s">
        <v>106</v>
      </c>
      <c r="L23" s="69">
        <v>198</v>
      </c>
      <c r="M23" s="70">
        <v>19401</v>
      </c>
      <c r="N23" s="71">
        <v>42782</v>
      </c>
      <c r="O23" s="380" t="s">
        <v>204</v>
      </c>
      <c r="P23" s="72">
        <v>22215</v>
      </c>
      <c r="Q23" s="113">
        <f t="shared" si="1"/>
        <v>2814</v>
      </c>
      <c r="R23" s="117">
        <v>27</v>
      </c>
      <c r="S23" s="117"/>
      <c r="T23" s="117"/>
      <c r="U23" s="39">
        <f t="shared" si="0"/>
        <v>599805</v>
      </c>
      <c r="V23" s="363" t="s">
        <v>72</v>
      </c>
      <c r="W23" s="353">
        <v>42807</v>
      </c>
      <c r="X23" s="368">
        <v>14929.2</v>
      </c>
      <c r="Y23" s="355"/>
      <c r="Z23" s="356"/>
      <c r="AA23" s="357"/>
      <c r="AB23" s="358"/>
      <c r="AC23" s="357"/>
      <c r="AD23" s="359"/>
      <c r="AE23" s="360"/>
      <c r="AF23" s="355"/>
      <c r="AG23" s="355"/>
      <c r="AH23" s="355"/>
      <c r="AI23" s="356"/>
      <c r="AJ23" s="357"/>
      <c r="AK23" s="358"/>
      <c r="AL23" s="357"/>
      <c r="AM23" s="359"/>
      <c r="AN23" s="360"/>
      <c r="AO23" s="355"/>
      <c r="AP23" s="355"/>
      <c r="AQ23" s="355"/>
      <c r="AR23" s="356"/>
      <c r="AS23" s="357"/>
      <c r="AT23" s="358"/>
      <c r="AU23" s="357"/>
      <c r="AV23" s="359"/>
      <c r="AW23" s="360"/>
      <c r="AX23" s="355"/>
      <c r="AY23" s="355"/>
      <c r="AZ23" s="355"/>
      <c r="BA23" s="356"/>
      <c r="BB23" s="357"/>
      <c r="BC23" s="358"/>
      <c r="BD23" s="357"/>
      <c r="BE23" s="359"/>
      <c r="BF23" s="360"/>
      <c r="BG23" s="355"/>
      <c r="BH23" s="355"/>
      <c r="BI23" s="355"/>
      <c r="BJ23" s="356"/>
      <c r="BK23" s="357"/>
      <c r="BL23" s="358"/>
      <c r="BM23" s="357"/>
      <c r="BN23" s="359"/>
      <c r="BO23" s="360"/>
      <c r="BP23" s="355"/>
      <c r="BQ23" s="355"/>
      <c r="BR23" s="355"/>
      <c r="BS23" s="356"/>
      <c r="BT23" s="357"/>
      <c r="BU23" s="358"/>
      <c r="BV23" s="357"/>
      <c r="BW23" s="359"/>
      <c r="BX23" s="360"/>
      <c r="BY23" s="355"/>
      <c r="BZ23" s="355"/>
      <c r="CA23" s="355"/>
      <c r="CB23" s="356"/>
      <c r="CC23" s="357"/>
      <c r="CD23" s="358"/>
      <c r="CE23" s="357"/>
      <c r="CF23" s="359"/>
      <c r="CG23" s="360"/>
      <c r="CH23" s="355"/>
      <c r="CI23" s="355"/>
      <c r="CJ23" s="355"/>
      <c r="CK23" s="356"/>
      <c r="CL23" s="357"/>
      <c r="CM23" s="358"/>
      <c r="CN23" s="357"/>
      <c r="CO23" s="359"/>
      <c r="CP23" s="360"/>
      <c r="CQ23" s="355"/>
      <c r="CR23" s="355"/>
      <c r="CS23" s="355"/>
      <c r="CT23" s="356"/>
      <c r="CU23" s="357"/>
      <c r="CV23" s="358"/>
      <c r="CW23" s="357"/>
      <c r="CX23" s="359"/>
      <c r="CY23" s="360"/>
      <c r="CZ23" s="355"/>
      <c r="DA23" s="355"/>
      <c r="DB23" s="355"/>
      <c r="DC23" s="356"/>
      <c r="DD23" s="357"/>
      <c r="DE23" s="358"/>
      <c r="DF23" s="357"/>
      <c r="DG23" s="359"/>
      <c r="DH23" s="360"/>
      <c r="DI23" s="355"/>
      <c r="DJ23" s="355"/>
      <c r="DK23" s="355"/>
      <c r="DL23" s="356"/>
      <c r="DM23" s="357"/>
      <c r="DN23" s="358"/>
      <c r="DO23" s="357"/>
      <c r="DP23" s="359"/>
      <c r="DQ23" s="360"/>
      <c r="DR23" s="355"/>
      <c r="DS23" s="355"/>
      <c r="DT23" s="355"/>
      <c r="DU23" s="356"/>
      <c r="DV23" s="357"/>
      <c r="DW23" s="358"/>
      <c r="DX23" s="357"/>
      <c r="DY23" s="359"/>
      <c r="DZ23" s="360"/>
      <c r="EA23" s="355"/>
      <c r="EB23" s="355"/>
      <c r="EC23" s="355"/>
      <c r="ED23" s="356"/>
      <c r="EE23" s="357"/>
      <c r="EF23" s="358"/>
      <c r="EG23" s="357"/>
      <c r="EH23" s="359"/>
      <c r="EI23" s="360"/>
      <c r="EJ23" s="355"/>
      <c r="EK23" s="355"/>
      <c r="EL23" s="355"/>
      <c r="EM23" s="356"/>
      <c r="EN23" s="357"/>
      <c r="EO23" s="358"/>
      <c r="EP23" s="357"/>
      <c r="EQ23" s="359"/>
      <c r="ER23" s="360"/>
      <c r="ES23" s="355"/>
      <c r="ET23" s="355"/>
      <c r="EU23" s="355"/>
      <c r="EV23" s="356"/>
      <c r="EW23" s="357"/>
      <c r="EX23" s="358"/>
      <c r="EY23" s="357"/>
      <c r="EZ23" s="359"/>
      <c r="FA23" s="360"/>
      <c r="FB23" s="355"/>
      <c r="FC23" s="355"/>
      <c r="FD23" s="355"/>
      <c r="FE23" s="356"/>
      <c r="FF23" s="357"/>
      <c r="FG23" s="358"/>
      <c r="FH23" s="357"/>
      <c r="FI23" s="359"/>
      <c r="FJ23" s="360"/>
      <c r="FK23" s="355"/>
      <c r="FL23" s="355"/>
      <c r="FM23" s="355"/>
      <c r="FN23" s="356"/>
      <c r="FO23" s="357"/>
      <c r="FP23" s="358"/>
      <c r="FQ23" s="357"/>
      <c r="FR23" s="359"/>
      <c r="FS23" s="360"/>
      <c r="FT23" s="355"/>
      <c r="FU23" s="355"/>
      <c r="FV23" s="355"/>
      <c r="FW23" s="356"/>
      <c r="FX23" s="357"/>
      <c r="FY23" s="358"/>
      <c r="FZ23" s="357"/>
      <c r="GA23" s="359"/>
      <c r="GB23" s="360"/>
      <c r="GC23" s="355"/>
      <c r="GD23" s="355"/>
      <c r="GE23" s="355"/>
      <c r="GF23" s="356"/>
      <c r="GG23" s="357"/>
      <c r="GH23" s="358"/>
      <c r="GI23" s="357"/>
      <c r="GJ23" s="359"/>
      <c r="GK23" s="360"/>
      <c r="GL23" s="355"/>
      <c r="GM23" s="355"/>
      <c r="GN23" s="355"/>
      <c r="GO23" s="356"/>
      <c r="GP23" s="357"/>
      <c r="GQ23" s="358"/>
      <c r="GR23" s="357"/>
      <c r="GS23" s="359"/>
      <c r="GT23" s="360"/>
      <c r="GU23" s="362">
        <v>42807</v>
      </c>
      <c r="GV23" s="98"/>
      <c r="GW23" s="65"/>
      <c r="GX23" s="74"/>
      <c r="GY23" s="74"/>
      <c r="GZ23" s="441">
        <v>42824</v>
      </c>
      <c r="HA23" s="442">
        <v>4176</v>
      </c>
    </row>
    <row r="24" spans="1:210" x14ac:dyDescent="0.25">
      <c r="D24" s="35"/>
      <c r="E24" s="36"/>
      <c r="F24" s="37"/>
      <c r="G24" s="38"/>
      <c r="H24" s="39"/>
      <c r="I24" s="40"/>
      <c r="J24" s="68" t="s">
        <v>104</v>
      </c>
      <c r="K24" s="69" t="s">
        <v>35</v>
      </c>
      <c r="L24" s="69">
        <v>130</v>
      </c>
      <c r="M24" s="70">
        <v>12650</v>
      </c>
      <c r="N24" s="71">
        <v>42783</v>
      </c>
      <c r="O24" s="380" t="s">
        <v>203</v>
      </c>
      <c r="P24" s="72">
        <v>15615</v>
      </c>
      <c r="Q24" s="113">
        <f t="shared" si="1"/>
        <v>2965</v>
      </c>
      <c r="R24" s="64">
        <v>27</v>
      </c>
      <c r="S24" s="64"/>
      <c r="T24" s="64"/>
      <c r="U24" s="39">
        <f t="shared" si="0"/>
        <v>421605</v>
      </c>
      <c r="V24" s="363" t="s">
        <v>72</v>
      </c>
      <c r="W24" s="353">
        <v>42807</v>
      </c>
      <c r="X24" s="368">
        <v>9802</v>
      </c>
      <c r="Y24" s="355"/>
      <c r="Z24" s="356"/>
      <c r="AA24" s="357"/>
      <c r="AB24" s="358"/>
      <c r="AC24" s="357"/>
      <c r="AD24" s="359"/>
      <c r="AE24" s="360"/>
      <c r="AF24" s="355"/>
      <c r="AG24" s="355"/>
      <c r="AH24" s="355"/>
      <c r="AI24" s="356"/>
      <c r="AJ24" s="357"/>
      <c r="AK24" s="358"/>
      <c r="AL24" s="357"/>
      <c r="AM24" s="359"/>
      <c r="AN24" s="360"/>
      <c r="AO24" s="355"/>
      <c r="AP24" s="355"/>
      <c r="AQ24" s="355"/>
      <c r="AR24" s="356"/>
      <c r="AS24" s="357"/>
      <c r="AT24" s="358"/>
      <c r="AU24" s="357"/>
      <c r="AV24" s="359"/>
      <c r="AW24" s="360"/>
      <c r="AX24" s="355"/>
      <c r="AY24" s="355"/>
      <c r="AZ24" s="355"/>
      <c r="BA24" s="356"/>
      <c r="BB24" s="357"/>
      <c r="BC24" s="358"/>
      <c r="BD24" s="357"/>
      <c r="BE24" s="359"/>
      <c r="BF24" s="360"/>
      <c r="BG24" s="355"/>
      <c r="BH24" s="355"/>
      <c r="BI24" s="355"/>
      <c r="BJ24" s="356"/>
      <c r="BK24" s="357"/>
      <c r="BL24" s="358"/>
      <c r="BM24" s="357"/>
      <c r="BN24" s="359"/>
      <c r="BO24" s="360"/>
      <c r="BP24" s="355"/>
      <c r="BQ24" s="355"/>
      <c r="BR24" s="355"/>
      <c r="BS24" s="356"/>
      <c r="BT24" s="357"/>
      <c r="BU24" s="358"/>
      <c r="BV24" s="357"/>
      <c r="BW24" s="359"/>
      <c r="BX24" s="360"/>
      <c r="BY24" s="355"/>
      <c r="BZ24" s="355"/>
      <c r="CA24" s="355"/>
      <c r="CB24" s="356"/>
      <c r="CC24" s="357"/>
      <c r="CD24" s="358"/>
      <c r="CE24" s="357"/>
      <c r="CF24" s="359"/>
      <c r="CG24" s="360"/>
      <c r="CH24" s="355"/>
      <c r="CI24" s="355"/>
      <c r="CJ24" s="355"/>
      <c r="CK24" s="356"/>
      <c r="CL24" s="357"/>
      <c r="CM24" s="358"/>
      <c r="CN24" s="357"/>
      <c r="CO24" s="359"/>
      <c r="CP24" s="360"/>
      <c r="CQ24" s="355"/>
      <c r="CR24" s="355"/>
      <c r="CS24" s="355"/>
      <c r="CT24" s="356"/>
      <c r="CU24" s="357"/>
      <c r="CV24" s="358"/>
      <c r="CW24" s="357"/>
      <c r="CX24" s="359"/>
      <c r="CY24" s="360"/>
      <c r="CZ24" s="355"/>
      <c r="DA24" s="355"/>
      <c r="DB24" s="355"/>
      <c r="DC24" s="356"/>
      <c r="DD24" s="357"/>
      <c r="DE24" s="358"/>
      <c r="DF24" s="357"/>
      <c r="DG24" s="359"/>
      <c r="DH24" s="360"/>
      <c r="DI24" s="355"/>
      <c r="DJ24" s="355"/>
      <c r="DK24" s="355"/>
      <c r="DL24" s="356"/>
      <c r="DM24" s="357"/>
      <c r="DN24" s="358"/>
      <c r="DO24" s="357"/>
      <c r="DP24" s="359"/>
      <c r="DQ24" s="360"/>
      <c r="DR24" s="355"/>
      <c r="DS24" s="355"/>
      <c r="DT24" s="355"/>
      <c r="DU24" s="356"/>
      <c r="DV24" s="357"/>
      <c r="DW24" s="358"/>
      <c r="DX24" s="357"/>
      <c r="DY24" s="359"/>
      <c r="DZ24" s="360"/>
      <c r="EA24" s="355"/>
      <c r="EB24" s="355"/>
      <c r="EC24" s="355"/>
      <c r="ED24" s="356"/>
      <c r="EE24" s="357"/>
      <c r="EF24" s="358"/>
      <c r="EG24" s="357"/>
      <c r="EH24" s="359"/>
      <c r="EI24" s="360"/>
      <c r="EJ24" s="355"/>
      <c r="EK24" s="355"/>
      <c r="EL24" s="355"/>
      <c r="EM24" s="356"/>
      <c r="EN24" s="357"/>
      <c r="EO24" s="358"/>
      <c r="EP24" s="357"/>
      <c r="EQ24" s="359"/>
      <c r="ER24" s="360"/>
      <c r="ES24" s="355"/>
      <c r="ET24" s="355"/>
      <c r="EU24" s="355"/>
      <c r="EV24" s="356"/>
      <c r="EW24" s="357"/>
      <c r="EX24" s="358"/>
      <c r="EY24" s="357"/>
      <c r="EZ24" s="359"/>
      <c r="FA24" s="360"/>
      <c r="FB24" s="355"/>
      <c r="FC24" s="355"/>
      <c r="FD24" s="355"/>
      <c r="FE24" s="356"/>
      <c r="FF24" s="357"/>
      <c r="FG24" s="358"/>
      <c r="FH24" s="357"/>
      <c r="FI24" s="359"/>
      <c r="FJ24" s="360"/>
      <c r="FK24" s="355"/>
      <c r="FL24" s="355"/>
      <c r="FM24" s="355"/>
      <c r="FN24" s="356"/>
      <c r="FO24" s="357"/>
      <c r="FP24" s="358"/>
      <c r="FQ24" s="357"/>
      <c r="FR24" s="359"/>
      <c r="FS24" s="360"/>
      <c r="FT24" s="355"/>
      <c r="FU24" s="355"/>
      <c r="FV24" s="355"/>
      <c r="FW24" s="356"/>
      <c r="FX24" s="357"/>
      <c r="FY24" s="358"/>
      <c r="FZ24" s="357"/>
      <c r="GA24" s="359"/>
      <c r="GB24" s="360"/>
      <c r="GC24" s="355"/>
      <c r="GD24" s="355"/>
      <c r="GE24" s="355"/>
      <c r="GF24" s="356"/>
      <c r="GG24" s="357"/>
      <c r="GH24" s="358"/>
      <c r="GI24" s="357"/>
      <c r="GJ24" s="359"/>
      <c r="GK24" s="360"/>
      <c r="GL24" s="355"/>
      <c r="GM24" s="355"/>
      <c r="GN24" s="355"/>
      <c r="GO24" s="356"/>
      <c r="GP24" s="357"/>
      <c r="GQ24" s="358"/>
      <c r="GR24" s="357"/>
      <c r="GS24" s="359"/>
      <c r="GT24" s="360"/>
      <c r="GU24" s="362">
        <v>42807</v>
      </c>
      <c r="GV24" s="98"/>
      <c r="GW24" s="65">
        <v>17584</v>
      </c>
      <c r="GX24" s="74" t="s">
        <v>168</v>
      </c>
      <c r="GY24" s="74"/>
      <c r="GZ24" s="441">
        <v>42824</v>
      </c>
      <c r="HA24" s="442">
        <v>2088</v>
      </c>
    </row>
    <row r="25" spans="1:210" x14ac:dyDescent="0.25">
      <c r="D25" s="35"/>
      <c r="E25" s="36"/>
      <c r="F25" s="37"/>
      <c r="G25" s="38"/>
      <c r="H25" s="39"/>
      <c r="I25" s="40"/>
      <c r="J25" s="383" t="s">
        <v>62</v>
      </c>
      <c r="K25" s="69" t="s">
        <v>70</v>
      </c>
      <c r="L25" s="69">
        <v>252</v>
      </c>
      <c r="M25" s="70">
        <v>22440</v>
      </c>
      <c r="N25" s="71">
        <v>42783</v>
      </c>
      <c r="O25" s="119" t="s">
        <v>169</v>
      </c>
      <c r="P25" s="72">
        <v>22500.799999999999</v>
      </c>
      <c r="Q25" s="113">
        <f t="shared" si="1"/>
        <v>60.799999999999272</v>
      </c>
      <c r="R25" s="117">
        <v>35.5</v>
      </c>
      <c r="S25" s="64"/>
      <c r="T25" s="120"/>
      <c r="U25" s="39">
        <f t="shared" si="0"/>
        <v>798778.4</v>
      </c>
      <c r="V25" s="115" t="s">
        <v>72</v>
      </c>
      <c r="W25" s="112">
        <v>42789</v>
      </c>
      <c r="X25" s="145"/>
      <c r="Y25" s="146"/>
      <c r="Z25" s="147"/>
      <c r="AA25" s="148"/>
      <c r="AB25" s="149"/>
      <c r="AC25" s="148"/>
      <c r="AD25" s="150"/>
      <c r="AE25" s="151"/>
      <c r="AF25" s="146"/>
      <c r="AG25" s="146"/>
      <c r="AH25" s="146"/>
      <c r="AI25" s="147"/>
      <c r="AJ25" s="148"/>
      <c r="AK25" s="149"/>
      <c r="AL25" s="148"/>
      <c r="AM25" s="150"/>
      <c r="AN25" s="151"/>
      <c r="AO25" s="146"/>
      <c r="AP25" s="146"/>
      <c r="AQ25" s="146"/>
      <c r="AR25" s="147"/>
      <c r="AS25" s="148"/>
      <c r="AT25" s="149"/>
      <c r="AU25" s="148"/>
      <c r="AV25" s="150"/>
      <c r="AW25" s="151"/>
      <c r="AX25" s="146"/>
      <c r="AY25" s="146"/>
      <c r="AZ25" s="146"/>
      <c r="BA25" s="147"/>
      <c r="BB25" s="148"/>
      <c r="BC25" s="149"/>
      <c r="BD25" s="148"/>
      <c r="BE25" s="150"/>
      <c r="BF25" s="151"/>
      <c r="BG25" s="146"/>
      <c r="BH25" s="146"/>
      <c r="BI25" s="146"/>
      <c r="BJ25" s="147"/>
      <c r="BK25" s="148"/>
      <c r="BL25" s="149"/>
      <c r="BM25" s="148"/>
      <c r="BN25" s="150"/>
      <c r="BO25" s="151"/>
      <c r="BP25" s="146"/>
      <c r="BQ25" s="146"/>
      <c r="BR25" s="146"/>
      <c r="BS25" s="147"/>
      <c r="BT25" s="148"/>
      <c r="BU25" s="149"/>
      <c r="BV25" s="148"/>
      <c r="BW25" s="150"/>
      <c r="BX25" s="151"/>
      <c r="BY25" s="146"/>
      <c r="BZ25" s="146"/>
      <c r="CA25" s="146"/>
      <c r="CB25" s="147"/>
      <c r="CC25" s="148"/>
      <c r="CD25" s="149"/>
      <c r="CE25" s="148"/>
      <c r="CF25" s="150"/>
      <c r="CG25" s="151"/>
      <c r="CH25" s="146"/>
      <c r="CI25" s="146"/>
      <c r="CJ25" s="146"/>
      <c r="CK25" s="147"/>
      <c r="CL25" s="148"/>
      <c r="CM25" s="149"/>
      <c r="CN25" s="148"/>
      <c r="CO25" s="150"/>
      <c r="CP25" s="151"/>
      <c r="CQ25" s="146"/>
      <c r="CR25" s="146"/>
      <c r="CS25" s="146"/>
      <c r="CT25" s="147"/>
      <c r="CU25" s="148"/>
      <c r="CV25" s="149"/>
      <c r="CW25" s="148"/>
      <c r="CX25" s="150"/>
      <c r="CY25" s="151"/>
      <c r="CZ25" s="146"/>
      <c r="DA25" s="146"/>
      <c r="DB25" s="146"/>
      <c r="DC25" s="147"/>
      <c r="DD25" s="148"/>
      <c r="DE25" s="149"/>
      <c r="DF25" s="148"/>
      <c r="DG25" s="150"/>
      <c r="DH25" s="151"/>
      <c r="DI25" s="146"/>
      <c r="DJ25" s="146"/>
      <c r="DK25" s="146"/>
      <c r="DL25" s="147"/>
      <c r="DM25" s="148"/>
      <c r="DN25" s="149"/>
      <c r="DO25" s="148"/>
      <c r="DP25" s="150"/>
      <c r="DQ25" s="151"/>
      <c r="DR25" s="146"/>
      <c r="DS25" s="146"/>
      <c r="DT25" s="146"/>
      <c r="DU25" s="147"/>
      <c r="DV25" s="148"/>
      <c r="DW25" s="149"/>
      <c r="DX25" s="148"/>
      <c r="DY25" s="150"/>
      <c r="DZ25" s="151"/>
      <c r="EA25" s="146"/>
      <c r="EB25" s="146"/>
      <c r="EC25" s="146"/>
      <c r="ED25" s="147"/>
      <c r="EE25" s="148"/>
      <c r="EF25" s="149"/>
      <c r="EG25" s="148"/>
      <c r="EH25" s="150"/>
      <c r="EI25" s="151"/>
      <c r="EJ25" s="146"/>
      <c r="EK25" s="146"/>
      <c r="EL25" s="146"/>
      <c r="EM25" s="147"/>
      <c r="EN25" s="148"/>
      <c r="EO25" s="149"/>
      <c r="EP25" s="148"/>
      <c r="EQ25" s="150"/>
      <c r="ER25" s="151"/>
      <c r="ES25" s="146"/>
      <c r="ET25" s="146"/>
      <c r="EU25" s="146"/>
      <c r="EV25" s="147"/>
      <c r="EW25" s="148"/>
      <c r="EX25" s="149"/>
      <c r="EY25" s="148"/>
      <c r="EZ25" s="150"/>
      <c r="FA25" s="151"/>
      <c r="FB25" s="146"/>
      <c r="FC25" s="146"/>
      <c r="FD25" s="146"/>
      <c r="FE25" s="147"/>
      <c r="FF25" s="148"/>
      <c r="FG25" s="149"/>
      <c r="FH25" s="148"/>
      <c r="FI25" s="150"/>
      <c r="FJ25" s="151"/>
      <c r="FK25" s="146"/>
      <c r="FL25" s="146"/>
      <c r="FM25" s="146"/>
      <c r="FN25" s="147"/>
      <c r="FO25" s="148"/>
      <c r="FP25" s="149"/>
      <c r="FQ25" s="148"/>
      <c r="FR25" s="150"/>
      <c r="FS25" s="151"/>
      <c r="FT25" s="146"/>
      <c r="FU25" s="146"/>
      <c r="FV25" s="146"/>
      <c r="FW25" s="147"/>
      <c r="FX25" s="148"/>
      <c r="FY25" s="149"/>
      <c r="FZ25" s="148"/>
      <c r="GA25" s="150"/>
      <c r="GB25" s="151"/>
      <c r="GC25" s="146"/>
      <c r="GD25" s="146"/>
      <c r="GE25" s="146"/>
      <c r="GF25" s="147"/>
      <c r="GG25" s="148"/>
      <c r="GH25" s="149"/>
      <c r="GI25" s="148"/>
      <c r="GJ25" s="150"/>
      <c r="GK25" s="151"/>
      <c r="GL25" s="146"/>
      <c r="GM25" s="146"/>
      <c r="GN25" s="146"/>
      <c r="GO25" s="147"/>
      <c r="GP25" s="148"/>
      <c r="GQ25" s="149"/>
      <c r="GR25" s="148"/>
      <c r="GS25" s="150"/>
      <c r="GT25" s="151"/>
      <c r="GU25" s="378"/>
      <c r="GV25" s="98"/>
      <c r="GW25" s="84"/>
      <c r="GX25" s="74"/>
      <c r="GY25" s="74"/>
      <c r="GZ25" s="441"/>
      <c r="HA25" s="442">
        <v>0</v>
      </c>
    </row>
    <row r="26" spans="1:210" x14ac:dyDescent="0.25">
      <c r="D26" s="35"/>
      <c r="E26" s="36"/>
      <c r="F26" s="37"/>
      <c r="G26" s="38"/>
      <c r="H26" s="39"/>
      <c r="I26" s="40"/>
      <c r="J26" s="68" t="s">
        <v>144</v>
      </c>
      <c r="K26" s="123" t="s">
        <v>46</v>
      </c>
      <c r="L26" s="123">
        <v>100</v>
      </c>
      <c r="M26" s="70">
        <v>11660</v>
      </c>
      <c r="N26" s="71">
        <v>42785</v>
      </c>
      <c r="O26" s="380" t="s">
        <v>217</v>
      </c>
      <c r="P26" s="72">
        <v>11500</v>
      </c>
      <c r="Q26" s="113">
        <f t="shared" si="1"/>
        <v>-160</v>
      </c>
      <c r="R26" s="117">
        <v>26.5</v>
      </c>
      <c r="S26" s="117"/>
      <c r="T26" s="89"/>
      <c r="U26" s="39">
        <f t="shared" si="0"/>
        <v>304750</v>
      </c>
      <c r="V26" s="363" t="s">
        <v>72</v>
      </c>
      <c r="W26" s="353">
        <v>42809</v>
      </c>
      <c r="X26" s="368">
        <v>7540</v>
      </c>
      <c r="Y26" s="355"/>
      <c r="Z26" s="356"/>
      <c r="AA26" s="357"/>
      <c r="AB26" s="358"/>
      <c r="AC26" s="357"/>
      <c r="AD26" s="359"/>
      <c r="AE26" s="360"/>
      <c r="AF26" s="355"/>
      <c r="AG26" s="355"/>
      <c r="AH26" s="355"/>
      <c r="AI26" s="356"/>
      <c r="AJ26" s="357"/>
      <c r="AK26" s="358"/>
      <c r="AL26" s="357"/>
      <c r="AM26" s="359"/>
      <c r="AN26" s="360"/>
      <c r="AO26" s="355"/>
      <c r="AP26" s="355"/>
      <c r="AQ26" s="355"/>
      <c r="AR26" s="356"/>
      <c r="AS26" s="357"/>
      <c r="AT26" s="358"/>
      <c r="AU26" s="357"/>
      <c r="AV26" s="359"/>
      <c r="AW26" s="360"/>
      <c r="AX26" s="355"/>
      <c r="AY26" s="355"/>
      <c r="AZ26" s="355"/>
      <c r="BA26" s="356"/>
      <c r="BB26" s="357"/>
      <c r="BC26" s="358"/>
      <c r="BD26" s="357"/>
      <c r="BE26" s="359"/>
      <c r="BF26" s="360"/>
      <c r="BG26" s="355"/>
      <c r="BH26" s="355"/>
      <c r="BI26" s="355"/>
      <c r="BJ26" s="356"/>
      <c r="BK26" s="357"/>
      <c r="BL26" s="358"/>
      <c r="BM26" s="357"/>
      <c r="BN26" s="359"/>
      <c r="BO26" s="360"/>
      <c r="BP26" s="355"/>
      <c r="BQ26" s="355"/>
      <c r="BR26" s="355"/>
      <c r="BS26" s="356"/>
      <c r="BT26" s="357"/>
      <c r="BU26" s="358"/>
      <c r="BV26" s="357"/>
      <c r="BW26" s="359"/>
      <c r="BX26" s="360"/>
      <c r="BY26" s="355"/>
      <c r="BZ26" s="355"/>
      <c r="CA26" s="355"/>
      <c r="CB26" s="356"/>
      <c r="CC26" s="357"/>
      <c r="CD26" s="358"/>
      <c r="CE26" s="357"/>
      <c r="CF26" s="359"/>
      <c r="CG26" s="360"/>
      <c r="CH26" s="355"/>
      <c r="CI26" s="355"/>
      <c r="CJ26" s="355"/>
      <c r="CK26" s="356"/>
      <c r="CL26" s="357"/>
      <c r="CM26" s="358"/>
      <c r="CN26" s="357"/>
      <c r="CO26" s="359"/>
      <c r="CP26" s="360"/>
      <c r="CQ26" s="355"/>
      <c r="CR26" s="355"/>
      <c r="CS26" s="355"/>
      <c r="CT26" s="356"/>
      <c r="CU26" s="357"/>
      <c r="CV26" s="358"/>
      <c r="CW26" s="357"/>
      <c r="CX26" s="359"/>
      <c r="CY26" s="360"/>
      <c r="CZ26" s="355"/>
      <c r="DA26" s="355"/>
      <c r="DB26" s="355"/>
      <c r="DC26" s="356"/>
      <c r="DD26" s="357"/>
      <c r="DE26" s="358"/>
      <c r="DF26" s="357"/>
      <c r="DG26" s="359"/>
      <c r="DH26" s="360"/>
      <c r="DI26" s="355"/>
      <c r="DJ26" s="355"/>
      <c r="DK26" s="355"/>
      <c r="DL26" s="356"/>
      <c r="DM26" s="357"/>
      <c r="DN26" s="358"/>
      <c r="DO26" s="357"/>
      <c r="DP26" s="359"/>
      <c r="DQ26" s="360"/>
      <c r="DR26" s="355"/>
      <c r="DS26" s="355"/>
      <c r="DT26" s="355"/>
      <c r="DU26" s="356"/>
      <c r="DV26" s="357"/>
      <c r="DW26" s="358"/>
      <c r="DX26" s="357"/>
      <c r="DY26" s="359"/>
      <c r="DZ26" s="360"/>
      <c r="EA26" s="355"/>
      <c r="EB26" s="355"/>
      <c r="EC26" s="355"/>
      <c r="ED26" s="356"/>
      <c r="EE26" s="357"/>
      <c r="EF26" s="358"/>
      <c r="EG26" s="357"/>
      <c r="EH26" s="359"/>
      <c r="EI26" s="360"/>
      <c r="EJ26" s="355"/>
      <c r="EK26" s="355"/>
      <c r="EL26" s="355"/>
      <c r="EM26" s="356"/>
      <c r="EN26" s="357"/>
      <c r="EO26" s="358"/>
      <c r="EP26" s="357"/>
      <c r="EQ26" s="359"/>
      <c r="ER26" s="360"/>
      <c r="ES26" s="355"/>
      <c r="ET26" s="355"/>
      <c r="EU26" s="355"/>
      <c r="EV26" s="356"/>
      <c r="EW26" s="357"/>
      <c r="EX26" s="358"/>
      <c r="EY26" s="357"/>
      <c r="EZ26" s="359"/>
      <c r="FA26" s="360"/>
      <c r="FB26" s="355"/>
      <c r="FC26" s="355"/>
      <c r="FD26" s="355"/>
      <c r="FE26" s="356"/>
      <c r="FF26" s="357"/>
      <c r="FG26" s="358"/>
      <c r="FH26" s="357"/>
      <c r="FI26" s="359"/>
      <c r="FJ26" s="360"/>
      <c r="FK26" s="355"/>
      <c r="FL26" s="355"/>
      <c r="FM26" s="355"/>
      <c r="FN26" s="356"/>
      <c r="FO26" s="357"/>
      <c r="FP26" s="358"/>
      <c r="FQ26" s="357"/>
      <c r="FR26" s="359"/>
      <c r="FS26" s="360"/>
      <c r="FT26" s="355"/>
      <c r="FU26" s="355"/>
      <c r="FV26" s="355"/>
      <c r="FW26" s="356"/>
      <c r="FX26" s="357"/>
      <c r="FY26" s="358"/>
      <c r="FZ26" s="357"/>
      <c r="GA26" s="359"/>
      <c r="GB26" s="360"/>
      <c r="GC26" s="355"/>
      <c r="GD26" s="355"/>
      <c r="GE26" s="355"/>
      <c r="GF26" s="356"/>
      <c r="GG26" s="357"/>
      <c r="GH26" s="358"/>
      <c r="GI26" s="357"/>
      <c r="GJ26" s="359"/>
      <c r="GK26" s="360"/>
      <c r="GL26" s="355"/>
      <c r="GM26" s="355"/>
      <c r="GN26" s="355"/>
      <c r="GO26" s="356"/>
      <c r="GP26" s="357"/>
      <c r="GQ26" s="358"/>
      <c r="GR26" s="357"/>
      <c r="GS26" s="359"/>
      <c r="GT26" s="360"/>
      <c r="GU26" s="362">
        <v>42809</v>
      </c>
      <c r="GV26" s="411"/>
      <c r="GW26" s="412">
        <v>17584</v>
      </c>
      <c r="GX26" s="413" t="s">
        <v>190</v>
      </c>
      <c r="GY26" s="74"/>
      <c r="GZ26" s="441">
        <v>42824</v>
      </c>
      <c r="HA26" s="442">
        <v>2088</v>
      </c>
    </row>
    <row r="27" spans="1:210" ht="30" x14ac:dyDescent="0.25">
      <c r="D27" s="35"/>
      <c r="E27" s="36"/>
      <c r="F27" s="37"/>
      <c r="G27" s="38"/>
      <c r="H27" s="39"/>
      <c r="I27" s="40"/>
      <c r="J27" s="68" t="s">
        <v>101</v>
      </c>
      <c r="K27" s="69" t="s">
        <v>59</v>
      </c>
      <c r="L27" s="69">
        <v>230</v>
      </c>
      <c r="M27" s="70">
        <v>18160</v>
      </c>
      <c r="N27" s="71">
        <v>42785</v>
      </c>
      <c r="O27" s="380" t="s">
        <v>216</v>
      </c>
      <c r="P27" s="72">
        <f>25665-111.59</f>
        <v>25553.41</v>
      </c>
      <c r="Q27" s="113">
        <f t="shared" si="1"/>
        <v>7393.41</v>
      </c>
      <c r="R27" s="64">
        <v>26.5</v>
      </c>
      <c r="S27" s="124"/>
      <c r="T27" s="117"/>
      <c r="U27" s="39">
        <f t="shared" si="0"/>
        <v>677165.36499999999</v>
      </c>
      <c r="V27" s="363" t="s">
        <v>72</v>
      </c>
      <c r="W27" s="353">
        <v>42809</v>
      </c>
      <c r="X27" s="371">
        <v>17342</v>
      </c>
      <c r="Y27" s="355"/>
      <c r="Z27" s="356"/>
      <c r="AA27" s="357"/>
      <c r="AB27" s="358"/>
      <c r="AC27" s="357"/>
      <c r="AD27" s="359"/>
      <c r="AE27" s="360"/>
      <c r="AF27" s="355"/>
      <c r="AG27" s="355"/>
      <c r="AH27" s="355"/>
      <c r="AI27" s="356"/>
      <c r="AJ27" s="357"/>
      <c r="AK27" s="358"/>
      <c r="AL27" s="357"/>
      <c r="AM27" s="359"/>
      <c r="AN27" s="360"/>
      <c r="AO27" s="355"/>
      <c r="AP27" s="355"/>
      <c r="AQ27" s="355"/>
      <c r="AR27" s="356"/>
      <c r="AS27" s="357"/>
      <c r="AT27" s="358"/>
      <c r="AU27" s="357"/>
      <c r="AV27" s="359"/>
      <c r="AW27" s="360"/>
      <c r="AX27" s="355"/>
      <c r="AY27" s="355"/>
      <c r="AZ27" s="355"/>
      <c r="BA27" s="356"/>
      <c r="BB27" s="357"/>
      <c r="BC27" s="358"/>
      <c r="BD27" s="357"/>
      <c r="BE27" s="359"/>
      <c r="BF27" s="360"/>
      <c r="BG27" s="355"/>
      <c r="BH27" s="355"/>
      <c r="BI27" s="355"/>
      <c r="BJ27" s="356"/>
      <c r="BK27" s="357"/>
      <c r="BL27" s="358"/>
      <c r="BM27" s="357"/>
      <c r="BN27" s="359"/>
      <c r="BO27" s="360"/>
      <c r="BP27" s="355"/>
      <c r="BQ27" s="355"/>
      <c r="BR27" s="355"/>
      <c r="BS27" s="356"/>
      <c r="BT27" s="357"/>
      <c r="BU27" s="358"/>
      <c r="BV27" s="357"/>
      <c r="BW27" s="359"/>
      <c r="BX27" s="360"/>
      <c r="BY27" s="355"/>
      <c r="BZ27" s="355"/>
      <c r="CA27" s="355"/>
      <c r="CB27" s="356"/>
      <c r="CC27" s="357"/>
      <c r="CD27" s="358"/>
      <c r="CE27" s="357"/>
      <c r="CF27" s="359"/>
      <c r="CG27" s="360"/>
      <c r="CH27" s="355"/>
      <c r="CI27" s="355"/>
      <c r="CJ27" s="355"/>
      <c r="CK27" s="356"/>
      <c r="CL27" s="357"/>
      <c r="CM27" s="358"/>
      <c r="CN27" s="357"/>
      <c r="CO27" s="359"/>
      <c r="CP27" s="360"/>
      <c r="CQ27" s="355"/>
      <c r="CR27" s="355"/>
      <c r="CS27" s="355"/>
      <c r="CT27" s="356"/>
      <c r="CU27" s="357"/>
      <c r="CV27" s="358"/>
      <c r="CW27" s="357"/>
      <c r="CX27" s="359"/>
      <c r="CY27" s="360"/>
      <c r="CZ27" s="355"/>
      <c r="DA27" s="355"/>
      <c r="DB27" s="355"/>
      <c r="DC27" s="356"/>
      <c r="DD27" s="357"/>
      <c r="DE27" s="358"/>
      <c r="DF27" s="357"/>
      <c r="DG27" s="359"/>
      <c r="DH27" s="360"/>
      <c r="DI27" s="355"/>
      <c r="DJ27" s="355"/>
      <c r="DK27" s="355"/>
      <c r="DL27" s="356"/>
      <c r="DM27" s="357"/>
      <c r="DN27" s="358"/>
      <c r="DO27" s="357"/>
      <c r="DP27" s="359"/>
      <c r="DQ27" s="360"/>
      <c r="DR27" s="355"/>
      <c r="DS27" s="355"/>
      <c r="DT27" s="355"/>
      <c r="DU27" s="356"/>
      <c r="DV27" s="357"/>
      <c r="DW27" s="358"/>
      <c r="DX27" s="357"/>
      <c r="DY27" s="359"/>
      <c r="DZ27" s="360"/>
      <c r="EA27" s="355"/>
      <c r="EB27" s="355"/>
      <c r="EC27" s="355"/>
      <c r="ED27" s="356"/>
      <c r="EE27" s="357"/>
      <c r="EF27" s="358"/>
      <c r="EG27" s="357"/>
      <c r="EH27" s="359"/>
      <c r="EI27" s="360"/>
      <c r="EJ27" s="355"/>
      <c r="EK27" s="355"/>
      <c r="EL27" s="355"/>
      <c r="EM27" s="356"/>
      <c r="EN27" s="357"/>
      <c r="EO27" s="358"/>
      <c r="EP27" s="357"/>
      <c r="EQ27" s="359"/>
      <c r="ER27" s="360"/>
      <c r="ES27" s="355"/>
      <c r="ET27" s="355"/>
      <c r="EU27" s="355"/>
      <c r="EV27" s="356"/>
      <c r="EW27" s="357"/>
      <c r="EX27" s="358"/>
      <c r="EY27" s="357"/>
      <c r="EZ27" s="359"/>
      <c r="FA27" s="360"/>
      <c r="FB27" s="355"/>
      <c r="FC27" s="355"/>
      <c r="FD27" s="355"/>
      <c r="FE27" s="356"/>
      <c r="FF27" s="357"/>
      <c r="FG27" s="358"/>
      <c r="FH27" s="357"/>
      <c r="FI27" s="359"/>
      <c r="FJ27" s="360"/>
      <c r="FK27" s="355"/>
      <c r="FL27" s="355"/>
      <c r="FM27" s="355"/>
      <c r="FN27" s="356"/>
      <c r="FO27" s="357"/>
      <c r="FP27" s="358"/>
      <c r="FQ27" s="357"/>
      <c r="FR27" s="359"/>
      <c r="FS27" s="360"/>
      <c r="FT27" s="355"/>
      <c r="FU27" s="355"/>
      <c r="FV27" s="355"/>
      <c r="FW27" s="356"/>
      <c r="FX27" s="357"/>
      <c r="FY27" s="358"/>
      <c r="FZ27" s="357"/>
      <c r="GA27" s="359"/>
      <c r="GB27" s="360"/>
      <c r="GC27" s="355"/>
      <c r="GD27" s="355"/>
      <c r="GE27" s="355"/>
      <c r="GF27" s="356"/>
      <c r="GG27" s="357"/>
      <c r="GH27" s="358"/>
      <c r="GI27" s="357"/>
      <c r="GJ27" s="359"/>
      <c r="GK27" s="360"/>
      <c r="GL27" s="355"/>
      <c r="GM27" s="355"/>
      <c r="GN27" s="355"/>
      <c r="GO27" s="356"/>
      <c r="GP27" s="357"/>
      <c r="GQ27" s="358"/>
      <c r="GR27" s="357"/>
      <c r="GS27" s="359"/>
      <c r="GT27" s="360"/>
      <c r="GU27" s="370">
        <v>42809</v>
      </c>
      <c r="GV27" s="411"/>
      <c r="GW27" s="412">
        <v>22176</v>
      </c>
      <c r="GX27" s="413" t="s">
        <v>191</v>
      </c>
      <c r="GY27" s="74"/>
      <c r="GZ27" s="441">
        <v>42824</v>
      </c>
      <c r="HA27" s="442">
        <v>4176</v>
      </c>
    </row>
    <row r="28" spans="1:210" x14ac:dyDescent="0.25">
      <c r="D28" s="35"/>
      <c r="E28" s="36"/>
      <c r="F28" s="37"/>
      <c r="G28" s="38"/>
      <c r="H28" s="39"/>
      <c r="I28" s="40"/>
      <c r="J28" s="68" t="s">
        <v>38</v>
      </c>
      <c r="K28" s="69" t="s">
        <v>35</v>
      </c>
      <c r="L28" s="69">
        <v>130</v>
      </c>
      <c r="M28" s="70">
        <v>11620</v>
      </c>
      <c r="N28" s="71">
        <v>42786</v>
      </c>
      <c r="O28" s="380" t="s">
        <v>222</v>
      </c>
      <c r="P28" s="72">
        <v>14565</v>
      </c>
      <c r="Q28" s="113">
        <f t="shared" si="1"/>
        <v>2945</v>
      </c>
      <c r="R28" s="64">
        <v>26.5</v>
      </c>
      <c r="S28" s="124"/>
      <c r="T28" s="125"/>
      <c r="U28" s="39">
        <f t="shared" si="0"/>
        <v>385972.5</v>
      </c>
      <c r="V28" s="363" t="s">
        <v>72</v>
      </c>
      <c r="W28" s="353">
        <v>42810</v>
      </c>
      <c r="X28" s="371">
        <v>9802</v>
      </c>
      <c r="Y28" s="355"/>
      <c r="Z28" s="356"/>
      <c r="AA28" s="357"/>
      <c r="AB28" s="358"/>
      <c r="AC28" s="357"/>
      <c r="AD28" s="359"/>
      <c r="AE28" s="360"/>
      <c r="AF28" s="355"/>
      <c r="AG28" s="355"/>
      <c r="AH28" s="355"/>
      <c r="AI28" s="356"/>
      <c r="AJ28" s="357"/>
      <c r="AK28" s="358"/>
      <c r="AL28" s="357"/>
      <c r="AM28" s="359"/>
      <c r="AN28" s="360"/>
      <c r="AO28" s="355"/>
      <c r="AP28" s="355"/>
      <c r="AQ28" s="355"/>
      <c r="AR28" s="356"/>
      <c r="AS28" s="357"/>
      <c r="AT28" s="358"/>
      <c r="AU28" s="357"/>
      <c r="AV28" s="359"/>
      <c r="AW28" s="360"/>
      <c r="AX28" s="355"/>
      <c r="AY28" s="355"/>
      <c r="AZ28" s="355"/>
      <c r="BA28" s="356"/>
      <c r="BB28" s="357"/>
      <c r="BC28" s="358"/>
      <c r="BD28" s="357"/>
      <c r="BE28" s="359"/>
      <c r="BF28" s="360"/>
      <c r="BG28" s="355"/>
      <c r="BH28" s="355"/>
      <c r="BI28" s="355"/>
      <c r="BJ28" s="356"/>
      <c r="BK28" s="357"/>
      <c r="BL28" s="358"/>
      <c r="BM28" s="357"/>
      <c r="BN28" s="359"/>
      <c r="BO28" s="360"/>
      <c r="BP28" s="355"/>
      <c r="BQ28" s="355"/>
      <c r="BR28" s="355"/>
      <c r="BS28" s="356"/>
      <c r="BT28" s="357"/>
      <c r="BU28" s="358"/>
      <c r="BV28" s="357"/>
      <c r="BW28" s="359"/>
      <c r="BX28" s="360"/>
      <c r="BY28" s="355"/>
      <c r="BZ28" s="355"/>
      <c r="CA28" s="355"/>
      <c r="CB28" s="356"/>
      <c r="CC28" s="357"/>
      <c r="CD28" s="358"/>
      <c r="CE28" s="357"/>
      <c r="CF28" s="359"/>
      <c r="CG28" s="360"/>
      <c r="CH28" s="355"/>
      <c r="CI28" s="355"/>
      <c r="CJ28" s="355"/>
      <c r="CK28" s="356"/>
      <c r="CL28" s="357"/>
      <c r="CM28" s="358"/>
      <c r="CN28" s="357"/>
      <c r="CO28" s="359"/>
      <c r="CP28" s="360"/>
      <c r="CQ28" s="355"/>
      <c r="CR28" s="355"/>
      <c r="CS28" s="355"/>
      <c r="CT28" s="356"/>
      <c r="CU28" s="357"/>
      <c r="CV28" s="358"/>
      <c r="CW28" s="357"/>
      <c r="CX28" s="359"/>
      <c r="CY28" s="360"/>
      <c r="CZ28" s="355"/>
      <c r="DA28" s="355"/>
      <c r="DB28" s="355"/>
      <c r="DC28" s="356"/>
      <c r="DD28" s="357"/>
      <c r="DE28" s="358"/>
      <c r="DF28" s="357"/>
      <c r="DG28" s="359"/>
      <c r="DH28" s="360"/>
      <c r="DI28" s="355"/>
      <c r="DJ28" s="355"/>
      <c r="DK28" s="355"/>
      <c r="DL28" s="356"/>
      <c r="DM28" s="357"/>
      <c r="DN28" s="358"/>
      <c r="DO28" s="357"/>
      <c r="DP28" s="359"/>
      <c r="DQ28" s="360"/>
      <c r="DR28" s="355"/>
      <c r="DS28" s="355"/>
      <c r="DT28" s="355"/>
      <c r="DU28" s="356"/>
      <c r="DV28" s="357"/>
      <c r="DW28" s="358"/>
      <c r="DX28" s="357"/>
      <c r="DY28" s="359"/>
      <c r="DZ28" s="360"/>
      <c r="EA28" s="355"/>
      <c r="EB28" s="355"/>
      <c r="EC28" s="355"/>
      <c r="ED28" s="356"/>
      <c r="EE28" s="357"/>
      <c r="EF28" s="358"/>
      <c r="EG28" s="357"/>
      <c r="EH28" s="359"/>
      <c r="EI28" s="360"/>
      <c r="EJ28" s="355"/>
      <c r="EK28" s="355"/>
      <c r="EL28" s="355"/>
      <c r="EM28" s="356"/>
      <c r="EN28" s="357"/>
      <c r="EO28" s="358"/>
      <c r="EP28" s="357"/>
      <c r="EQ28" s="359"/>
      <c r="ER28" s="360"/>
      <c r="ES28" s="355"/>
      <c r="ET28" s="355"/>
      <c r="EU28" s="355"/>
      <c r="EV28" s="356"/>
      <c r="EW28" s="357"/>
      <c r="EX28" s="358"/>
      <c r="EY28" s="357"/>
      <c r="EZ28" s="359"/>
      <c r="FA28" s="360"/>
      <c r="FB28" s="355"/>
      <c r="FC28" s="355"/>
      <c r="FD28" s="355"/>
      <c r="FE28" s="356"/>
      <c r="FF28" s="357"/>
      <c r="FG28" s="358"/>
      <c r="FH28" s="357"/>
      <c r="FI28" s="359"/>
      <c r="FJ28" s="360"/>
      <c r="FK28" s="355"/>
      <c r="FL28" s="355"/>
      <c r="FM28" s="355"/>
      <c r="FN28" s="356"/>
      <c r="FO28" s="357"/>
      <c r="FP28" s="358"/>
      <c r="FQ28" s="357"/>
      <c r="FR28" s="359"/>
      <c r="FS28" s="360"/>
      <c r="FT28" s="355"/>
      <c r="FU28" s="355"/>
      <c r="FV28" s="355"/>
      <c r="FW28" s="356"/>
      <c r="FX28" s="357"/>
      <c r="FY28" s="358"/>
      <c r="FZ28" s="357"/>
      <c r="GA28" s="359"/>
      <c r="GB28" s="360"/>
      <c r="GC28" s="355"/>
      <c r="GD28" s="355"/>
      <c r="GE28" s="355"/>
      <c r="GF28" s="356"/>
      <c r="GG28" s="357"/>
      <c r="GH28" s="358"/>
      <c r="GI28" s="357"/>
      <c r="GJ28" s="359"/>
      <c r="GK28" s="360"/>
      <c r="GL28" s="355"/>
      <c r="GM28" s="355"/>
      <c r="GN28" s="355"/>
      <c r="GO28" s="356"/>
      <c r="GP28" s="357"/>
      <c r="GQ28" s="358"/>
      <c r="GR28" s="357"/>
      <c r="GS28" s="359"/>
      <c r="GT28" s="360"/>
      <c r="GU28" s="370">
        <v>42810</v>
      </c>
      <c r="GV28" s="411"/>
      <c r="GW28" s="412">
        <v>17584</v>
      </c>
      <c r="GX28" s="413" t="s">
        <v>193</v>
      </c>
      <c r="GY28" s="74"/>
      <c r="GZ28" s="441">
        <v>42824</v>
      </c>
      <c r="HA28" s="442">
        <v>2088</v>
      </c>
    </row>
    <row r="29" spans="1:210" x14ac:dyDescent="0.25">
      <c r="A29"/>
      <c r="D29" s="35"/>
      <c r="E29" s="36"/>
      <c r="F29" s="37"/>
      <c r="G29" s="38"/>
      <c r="H29" s="39"/>
      <c r="I29" s="40"/>
      <c r="J29" s="68" t="s">
        <v>38</v>
      </c>
      <c r="K29" s="69" t="s">
        <v>67</v>
      </c>
      <c r="L29" s="69">
        <v>199</v>
      </c>
      <c r="M29" s="70">
        <v>19540</v>
      </c>
      <c r="N29" s="71">
        <v>42787</v>
      </c>
      <c r="O29" s="380" t="s">
        <v>224</v>
      </c>
      <c r="P29" s="72">
        <v>24285</v>
      </c>
      <c r="Q29" s="113">
        <f t="shared" si="1"/>
        <v>4745</v>
      </c>
      <c r="R29" s="126">
        <v>26.5</v>
      </c>
      <c r="S29" s="127"/>
      <c r="T29" s="127"/>
      <c r="U29" s="39">
        <f t="shared" si="0"/>
        <v>643552.5</v>
      </c>
      <c r="V29" s="363" t="s">
        <v>72</v>
      </c>
      <c r="W29" s="353">
        <v>42811</v>
      </c>
      <c r="X29" s="368">
        <v>15004.6</v>
      </c>
      <c r="Y29" s="355"/>
      <c r="Z29" s="356"/>
      <c r="AA29" s="357"/>
      <c r="AB29" s="358"/>
      <c r="AC29" s="357"/>
      <c r="AD29" s="359"/>
      <c r="AE29" s="360"/>
      <c r="AF29" s="355"/>
      <c r="AG29" s="355"/>
      <c r="AH29" s="355"/>
      <c r="AI29" s="356"/>
      <c r="AJ29" s="357"/>
      <c r="AK29" s="358"/>
      <c r="AL29" s="357"/>
      <c r="AM29" s="359"/>
      <c r="AN29" s="360"/>
      <c r="AO29" s="355"/>
      <c r="AP29" s="355"/>
      <c r="AQ29" s="355"/>
      <c r="AR29" s="356"/>
      <c r="AS29" s="357"/>
      <c r="AT29" s="358"/>
      <c r="AU29" s="357"/>
      <c r="AV29" s="359"/>
      <c r="AW29" s="360"/>
      <c r="AX29" s="355"/>
      <c r="AY29" s="355"/>
      <c r="AZ29" s="355"/>
      <c r="BA29" s="356"/>
      <c r="BB29" s="357"/>
      <c r="BC29" s="358"/>
      <c r="BD29" s="357"/>
      <c r="BE29" s="359"/>
      <c r="BF29" s="360"/>
      <c r="BG29" s="355"/>
      <c r="BH29" s="355"/>
      <c r="BI29" s="355"/>
      <c r="BJ29" s="356"/>
      <c r="BK29" s="357"/>
      <c r="BL29" s="358"/>
      <c r="BM29" s="357"/>
      <c r="BN29" s="359"/>
      <c r="BO29" s="360"/>
      <c r="BP29" s="355"/>
      <c r="BQ29" s="355"/>
      <c r="BR29" s="355"/>
      <c r="BS29" s="356"/>
      <c r="BT29" s="357"/>
      <c r="BU29" s="358"/>
      <c r="BV29" s="357"/>
      <c r="BW29" s="359"/>
      <c r="BX29" s="360"/>
      <c r="BY29" s="355"/>
      <c r="BZ29" s="355"/>
      <c r="CA29" s="355"/>
      <c r="CB29" s="356"/>
      <c r="CC29" s="357"/>
      <c r="CD29" s="358"/>
      <c r="CE29" s="357"/>
      <c r="CF29" s="359"/>
      <c r="CG29" s="360"/>
      <c r="CH29" s="355"/>
      <c r="CI29" s="355"/>
      <c r="CJ29" s="355"/>
      <c r="CK29" s="356"/>
      <c r="CL29" s="357"/>
      <c r="CM29" s="358"/>
      <c r="CN29" s="357"/>
      <c r="CO29" s="359"/>
      <c r="CP29" s="360"/>
      <c r="CQ29" s="355"/>
      <c r="CR29" s="355"/>
      <c r="CS29" s="355"/>
      <c r="CT29" s="356"/>
      <c r="CU29" s="357"/>
      <c r="CV29" s="358"/>
      <c r="CW29" s="357"/>
      <c r="CX29" s="359"/>
      <c r="CY29" s="360"/>
      <c r="CZ29" s="355"/>
      <c r="DA29" s="355"/>
      <c r="DB29" s="355"/>
      <c r="DC29" s="356"/>
      <c r="DD29" s="357"/>
      <c r="DE29" s="358"/>
      <c r="DF29" s="357"/>
      <c r="DG29" s="359"/>
      <c r="DH29" s="360"/>
      <c r="DI29" s="355"/>
      <c r="DJ29" s="355"/>
      <c r="DK29" s="355"/>
      <c r="DL29" s="356"/>
      <c r="DM29" s="357"/>
      <c r="DN29" s="358"/>
      <c r="DO29" s="357"/>
      <c r="DP29" s="359"/>
      <c r="DQ29" s="360"/>
      <c r="DR29" s="355"/>
      <c r="DS29" s="355"/>
      <c r="DT29" s="355"/>
      <c r="DU29" s="356"/>
      <c r="DV29" s="357"/>
      <c r="DW29" s="358"/>
      <c r="DX29" s="357"/>
      <c r="DY29" s="359"/>
      <c r="DZ29" s="360"/>
      <c r="EA29" s="355"/>
      <c r="EB29" s="355"/>
      <c r="EC29" s="355"/>
      <c r="ED29" s="356"/>
      <c r="EE29" s="357"/>
      <c r="EF29" s="358"/>
      <c r="EG29" s="357"/>
      <c r="EH29" s="359"/>
      <c r="EI29" s="360"/>
      <c r="EJ29" s="355"/>
      <c r="EK29" s="355"/>
      <c r="EL29" s="355"/>
      <c r="EM29" s="356"/>
      <c r="EN29" s="357"/>
      <c r="EO29" s="358"/>
      <c r="EP29" s="357"/>
      <c r="EQ29" s="359"/>
      <c r="ER29" s="360"/>
      <c r="ES29" s="355"/>
      <c r="ET29" s="355"/>
      <c r="EU29" s="355"/>
      <c r="EV29" s="356"/>
      <c r="EW29" s="357"/>
      <c r="EX29" s="358"/>
      <c r="EY29" s="357"/>
      <c r="EZ29" s="359"/>
      <c r="FA29" s="360"/>
      <c r="FB29" s="355"/>
      <c r="FC29" s="355"/>
      <c r="FD29" s="355"/>
      <c r="FE29" s="356"/>
      <c r="FF29" s="357"/>
      <c r="FG29" s="358"/>
      <c r="FH29" s="357"/>
      <c r="FI29" s="359"/>
      <c r="FJ29" s="360"/>
      <c r="FK29" s="355"/>
      <c r="FL29" s="355"/>
      <c r="FM29" s="355"/>
      <c r="FN29" s="356"/>
      <c r="FO29" s="357"/>
      <c r="FP29" s="358"/>
      <c r="FQ29" s="357"/>
      <c r="FR29" s="359"/>
      <c r="FS29" s="360"/>
      <c r="FT29" s="355"/>
      <c r="FU29" s="355"/>
      <c r="FV29" s="355"/>
      <c r="FW29" s="356"/>
      <c r="FX29" s="357"/>
      <c r="FY29" s="358"/>
      <c r="FZ29" s="357"/>
      <c r="GA29" s="359"/>
      <c r="GB29" s="360"/>
      <c r="GC29" s="355"/>
      <c r="GD29" s="355"/>
      <c r="GE29" s="355"/>
      <c r="GF29" s="356"/>
      <c r="GG29" s="357"/>
      <c r="GH29" s="358"/>
      <c r="GI29" s="357"/>
      <c r="GJ29" s="359"/>
      <c r="GK29" s="360"/>
      <c r="GL29" s="355"/>
      <c r="GM29" s="355"/>
      <c r="GN29" s="355"/>
      <c r="GO29" s="356"/>
      <c r="GP29" s="357"/>
      <c r="GQ29" s="358"/>
      <c r="GR29" s="357"/>
      <c r="GS29" s="359"/>
      <c r="GT29" s="360"/>
      <c r="GU29" s="430">
        <v>42811</v>
      </c>
      <c r="GV29" s="411"/>
      <c r="GW29" s="412"/>
      <c r="GX29" s="413"/>
      <c r="GY29" s="74"/>
      <c r="GZ29" s="441">
        <v>42824</v>
      </c>
      <c r="HA29" s="442">
        <v>4176</v>
      </c>
    </row>
    <row r="30" spans="1:210" x14ac:dyDescent="0.25">
      <c r="A30"/>
      <c r="D30" s="35"/>
      <c r="E30" s="36"/>
      <c r="F30" s="37"/>
      <c r="G30" s="38"/>
      <c r="H30" s="39"/>
      <c r="I30" s="40"/>
      <c r="J30" s="68" t="s">
        <v>42</v>
      </c>
      <c r="K30" s="69" t="s">
        <v>106</v>
      </c>
      <c r="L30" s="69">
        <v>198</v>
      </c>
      <c r="M30" s="70">
        <v>20440</v>
      </c>
      <c r="N30" s="71">
        <v>42788</v>
      </c>
      <c r="O30" s="380" t="s">
        <v>231</v>
      </c>
      <c r="P30" s="72">
        <v>25210</v>
      </c>
      <c r="Q30" s="113">
        <f t="shared" si="1"/>
        <v>4770</v>
      </c>
      <c r="R30" s="117">
        <v>26.5</v>
      </c>
      <c r="S30" s="127"/>
      <c r="T30" s="127"/>
      <c r="U30" s="39">
        <f t="shared" si="0"/>
        <v>668065</v>
      </c>
      <c r="V30" s="363" t="s">
        <v>72</v>
      </c>
      <c r="W30" s="353">
        <v>42815</v>
      </c>
      <c r="X30" s="368">
        <v>14929.2</v>
      </c>
      <c r="Y30" s="355"/>
      <c r="Z30" s="356"/>
      <c r="AA30" s="357"/>
      <c r="AB30" s="358"/>
      <c r="AC30" s="357"/>
      <c r="AD30" s="359"/>
      <c r="AE30" s="360"/>
      <c r="AF30" s="355"/>
      <c r="AG30" s="355"/>
      <c r="AH30" s="355"/>
      <c r="AI30" s="356"/>
      <c r="AJ30" s="357"/>
      <c r="AK30" s="358"/>
      <c r="AL30" s="357"/>
      <c r="AM30" s="359"/>
      <c r="AN30" s="360"/>
      <c r="AO30" s="355"/>
      <c r="AP30" s="355"/>
      <c r="AQ30" s="355"/>
      <c r="AR30" s="356"/>
      <c r="AS30" s="357"/>
      <c r="AT30" s="358"/>
      <c r="AU30" s="357"/>
      <c r="AV30" s="359"/>
      <c r="AW30" s="360"/>
      <c r="AX30" s="355"/>
      <c r="AY30" s="355"/>
      <c r="AZ30" s="355"/>
      <c r="BA30" s="356"/>
      <c r="BB30" s="357"/>
      <c r="BC30" s="358"/>
      <c r="BD30" s="357"/>
      <c r="BE30" s="359"/>
      <c r="BF30" s="360"/>
      <c r="BG30" s="355"/>
      <c r="BH30" s="355"/>
      <c r="BI30" s="355"/>
      <c r="BJ30" s="356"/>
      <c r="BK30" s="357"/>
      <c r="BL30" s="358"/>
      <c r="BM30" s="357"/>
      <c r="BN30" s="359"/>
      <c r="BO30" s="360"/>
      <c r="BP30" s="355"/>
      <c r="BQ30" s="355"/>
      <c r="BR30" s="355"/>
      <c r="BS30" s="356"/>
      <c r="BT30" s="357"/>
      <c r="BU30" s="358"/>
      <c r="BV30" s="357"/>
      <c r="BW30" s="359"/>
      <c r="BX30" s="360"/>
      <c r="BY30" s="355"/>
      <c r="BZ30" s="355"/>
      <c r="CA30" s="355"/>
      <c r="CB30" s="356"/>
      <c r="CC30" s="357"/>
      <c r="CD30" s="358"/>
      <c r="CE30" s="357"/>
      <c r="CF30" s="359"/>
      <c r="CG30" s="360"/>
      <c r="CH30" s="355"/>
      <c r="CI30" s="355"/>
      <c r="CJ30" s="355"/>
      <c r="CK30" s="356"/>
      <c r="CL30" s="357"/>
      <c r="CM30" s="358"/>
      <c r="CN30" s="357"/>
      <c r="CO30" s="359"/>
      <c r="CP30" s="360"/>
      <c r="CQ30" s="355"/>
      <c r="CR30" s="355"/>
      <c r="CS30" s="355"/>
      <c r="CT30" s="356"/>
      <c r="CU30" s="357"/>
      <c r="CV30" s="358"/>
      <c r="CW30" s="357"/>
      <c r="CX30" s="359"/>
      <c r="CY30" s="360"/>
      <c r="CZ30" s="355"/>
      <c r="DA30" s="355"/>
      <c r="DB30" s="355"/>
      <c r="DC30" s="356"/>
      <c r="DD30" s="357"/>
      <c r="DE30" s="358"/>
      <c r="DF30" s="357"/>
      <c r="DG30" s="359"/>
      <c r="DH30" s="360"/>
      <c r="DI30" s="355"/>
      <c r="DJ30" s="355"/>
      <c r="DK30" s="355"/>
      <c r="DL30" s="356"/>
      <c r="DM30" s="357"/>
      <c r="DN30" s="358"/>
      <c r="DO30" s="357"/>
      <c r="DP30" s="359"/>
      <c r="DQ30" s="360"/>
      <c r="DR30" s="355"/>
      <c r="DS30" s="355"/>
      <c r="DT30" s="355"/>
      <c r="DU30" s="356"/>
      <c r="DV30" s="357"/>
      <c r="DW30" s="358"/>
      <c r="DX30" s="357"/>
      <c r="DY30" s="359"/>
      <c r="DZ30" s="360"/>
      <c r="EA30" s="355"/>
      <c r="EB30" s="355"/>
      <c r="EC30" s="355"/>
      <c r="ED30" s="356"/>
      <c r="EE30" s="357"/>
      <c r="EF30" s="358"/>
      <c r="EG30" s="357"/>
      <c r="EH30" s="359"/>
      <c r="EI30" s="360"/>
      <c r="EJ30" s="355"/>
      <c r="EK30" s="355"/>
      <c r="EL30" s="355"/>
      <c r="EM30" s="356"/>
      <c r="EN30" s="357"/>
      <c r="EO30" s="358"/>
      <c r="EP30" s="357"/>
      <c r="EQ30" s="359"/>
      <c r="ER30" s="360"/>
      <c r="ES30" s="355"/>
      <c r="ET30" s="355"/>
      <c r="EU30" s="355"/>
      <c r="EV30" s="356"/>
      <c r="EW30" s="357"/>
      <c r="EX30" s="358"/>
      <c r="EY30" s="357"/>
      <c r="EZ30" s="359"/>
      <c r="FA30" s="360"/>
      <c r="FB30" s="355"/>
      <c r="FC30" s="355"/>
      <c r="FD30" s="355"/>
      <c r="FE30" s="356"/>
      <c r="FF30" s="357"/>
      <c r="FG30" s="358"/>
      <c r="FH30" s="357"/>
      <c r="FI30" s="359"/>
      <c r="FJ30" s="360"/>
      <c r="FK30" s="355"/>
      <c r="FL30" s="355"/>
      <c r="FM30" s="355"/>
      <c r="FN30" s="356"/>
      <c r="FO30" s="357"/>
      <c r="FP30" s="358"/>
      <c r="FQ30" s="357"/>
      <c r="FR30" s="359"/>
      <c r="FS30" s="360"/>
      <c r="FT30" s="355"/>
      <c r="FU30" s="355"/>
      <c r="FV30" s="355"/>
      <c r="FW30" s="356"/>
      <c r="FX30" s="357"/>
      <c r="FY30" s="358"/>
      <c r="FZ30" s="357"/>
      <c r="GA30" s="359"/>
      <c r="GB30" s="360"/>
      <c r="GC30" s="355"/>
      <c r="GD30" s="355"/>
      <c r="GE30" s="355"/>
      <c r="GF30" s="356"/>
      <c r="GG30" s="357"/>
      <c r="GH30" s="358"/>
      <c r="GI30" s="357"/>
      <c r="GJ30" s="359"/>
      <c r="GK30" s="360"/>
      <c r="GL30" s="355"/>
      <c r="GM30" s="355"/>
      <c r="GN30" s="355"/>
      <c r="GO30" s="356"/>
      <c r="GP30" s="357"/>
      <c r="GQ30" s="358"/>
      <c r="GR30" s="357"/>
      <c r="GS30" s="359"/>
      <c r="GT30" s="360"/>
      <c r="GU30" s="362">
        <v>42815</v>
      </c>
      <c r="GV30" s="411"/>
      <c r="GW30" s="412">
        <v>22176</v>
      </c>
      <c r="GX30" s="413" t="s">
        <v>192</v>
      </c>
      <c r="GY30" s="74"/>
      <c r="GZ30" s="441">
        <v>42824</v>
      </c>
      <c r="HA30" s="442">
        <v>4176</v>
      </c>
    </row>
    <row r="31" spans="1:210" x14ac:dyDescent="0.25">
      <c r="A31"/>
      <c r="D31" s="35"/>
      <c r="E31" s="36"/>
      <c r="F31" s="37"/>
      <c r="G31" s="38"/>
      <c r="H31" s="39"/>
      <c r="I31" s="40"/>
      <c r="J31" s="68" t="s">
        <v>145</v>
      </c>
      <c r="K31" s="69" t="s">
        <v>146</v>
      </c>
      <c r="L31" s="69">
        <v>80</v>
      </c>
      <c r="M31" s="70">
        <v>10950</v>
      </c>
      <c r="N31" s="71">
        <v>42789</v>
      </c>
      <c r="O31" s="380" t="s">
        <v>232</v>
      </c>
      <c r="P31" s="72">
        <v>8255</v>
      </c>
      <c r="Q31" s="113">
        <f t="shared" si="1"/>
        <v>-2695</v>
      </c>
      <c r="R31" s="117">
        <v>26.5</v>
      </c>
      <c r="S31" s="117"/>
      <c r="T31" s="117"/>
      <c r="U31" s="39">
        <f>R31*P31</f>
        <v>218757.5</v>
      </c>
      <c r="V31" s="363" t="s">
        <v>72</v>
      </c>
      <c r="W31" s="353">
        <v>42815</v>
      </c>
      <c r="X31" s="368">
        <v>6032</v>
      </c>
      <c r="Y31" s="355"/>
      <c r="Z31" s="356"/>
      <c r="AA31" s="357"/>
      <c r="AB31" s="358"/>
      <c r="AC31" s="357"/>
      <c r="AD31" s="359"/>
      <c r="AE31" s="360"/>
      <c r="AF31" s="355"/>
      <c r="AG31" s="355"/>
      <c r="AH31" s="355"/>
      <c r="AI31" s="356"/>
      <c r="AJ31" s="357"/>
      <c r="AK31" s="358"/>
      <c r="AL31" s="357"/>
      <c r="AM31" s="359"/>
      <c r="AN31" s="360"/>
      <c r="AO31" s="355"/>
      <c r="AP31" s="355"/>
      <c r="AQ31" s="355"/>
      <c r="AR31" s="356"/>
      <c r="AS31" s="357"/>
      <c r="AT31" s="358"/>
      <c r="AU31" s="357"/>
      <c r="AV31" s="359"/>
      <c r="AW31" s="360"/>
      <c r="AX31" s="355"/>
      <c r="AY31" s="355"/>
      <c r="AZ31" s="355"/>
      <c r="BA31" s="356"/>
      <c r="BB31" s="357"/>
      <c r="BC31" s="358"/>
      <c r="BD31" s="357"/>
      <c r="BE31" s="359"/>
      <c r="BF31" s="360"/>
      <c r="BG31" s="355"/>
      <c r="BH31" s="355"/>
      <c r="BI31" s="355"/>
      <c r="BJ31" s="356"/>
      <c r="BK31" s="357"/>
      <c r="BL31" s="358"/>
      <c r="BM31" s="357"/>
      <c r="BN31" s="359"/>
      <c r="BO31" s="360"/>
      <c r="BP31" s="355"/>
      <c r="BQ31" s="355"/>
      <c r="BR31" s="355"/>
      <c r="BS31" s="356"/>
      <c r="BT31" s="357"/>
      <c r="BU31" s="358"/>
      <c r="BV31" s="357"/>
      <c r="BW31" s="359"/>
      <c r="BX31" s="360"/>
      <c r="BY31" s="355"/>
      <c r="BZ31" s="355"/>
      <c r="CA31" s="355"/>
      <c r="CB31" s="356"/>
      <c r="CC31" s="357"/>
      <c r="CD31" s="358"/>
      <c r="CE31" s="357"/>
      <c r="CF31" s="359"/>
      <c r="CG31" s="360"/>
      <c r="CH31" s="355"/>
      <c r="CI31" s="355"/>
      <c r="CJ31" s="355"/>
      <c r="CK31" s="356"/>
      <c r="CL31" s="357"/>
      <c r="CM31" s="358"/>
      <c r="CN31" s="357"/>
      <c r="CO31" s="359"/>
      <c r="CP31" s="360"/>
      <c r="CQ31" s="355"/>
      <c r="CR31" s="355"/>
      <c r="CS31" s="355"/>
      <c r="CT31" s="356"/>
      <c r="CU31" s="357"/>
      <c r="CV31" s="358"/>
      <c r="CW31" s="357"/>
      <c r="CX31" s="359"/>
      <c r="CY31" s="360"/>
      <c r="CZ31" s="355"/>
      <c r="DA31" s="355"/>
      <c r="DB31" s="355"/>
      <c r="DC31" s="356"/>
      <c r="DD31" s="357"/>
      <c r="DE31" s="358"/>
      <c r="DF31" s="357"/>
      <c r="DG31" s="359"/>
      <c r="DH31" s="360"/>
      <c r="DI31" s="355"/>
      <c r="DJ31" s="355"/>
      <c r="DK31" s="355"/>
      <c r="DL31" s="356"/>
      <c r="DM31" s="357"/>
      <c r="DN31" s="358"/>
      <c r="DO31" s="357"/>
      <c r="DP31" s="359"/>
      <c r="DQ31" s="360"/>
      <c r="DR31" s="355"/>
      <c r="DS31" s="355"/>
      <c r="DT31" s="355"/>
      <c r="DU31" s="356"/>
      <c r="DV31" s="357"/>
      <c r="DW31" s="358"/>
      <c r="DX31" s="357"/>
      <c r="DY31" s="359"/>
      <c r="DZ31" s="360"/>
      <c r="EA31" s="355"/>
      <c r="EB31" s="355"/>
      <c r="EC31" s="355"/>
      <c r="ED31" s="356"/>
      <c r="EE31" s="357"/>
      <c r="EF31" s="358"/>
      <c r="EG31" s="357"/>
      <c r="EH31" s="359"/>
      <c r="EI31" s="360"/>
      <c r="EJ31" s="355"/>
      <c r="EK31" s="355"/>
      <c r="EL31" s="355"/>
      <c r="EM31" s="356"/>
      <c r="EN31" s="357"/>
      <c r="EO31" s="358"/>
      <c r="EP31" s="357"/>
      <c r="EQ31" s="359"/>
      <c r="ER31" s="360"/>
      <c r="ES31" s="355"/>
      <c r="ET31" s="355"/>
      <c r="EU31" s="355"/>
      <c r="EV31" s="356"/>
      <c r="EW31" s="357"/>
      <c r="EX31" s="358"/>
      <c r="EY31" s="357"/>
      <c r="EZ31" s="359"/>
      <c r="FA31" s="360"/>
      <c r="FB31" s="355"/>
      <c r="FC31" s="355"/>
      <c r="FD31" s="355"/>
      <c r="FE31" s="356"/>
      <c r="FF31" s="357"/>
      <c r="FG31" s="358"/>
      <c r="FH31" s="357"/>
      <c r="FI31" s="359"/>
      <c r="FJ31" s="360"/>
      <c r="FK31" s="355"/>
      <c r="FL31" s="355"/>
      <c r="FM31" s="355"/>
      <c r="FN31" s="356"/>
      <c r="FO31" s="357"/>
      <c r="FP31" s="358"/>
      <c r="FQ31" s="357"/>
      <c r="FR31" s="359"/>
      <c r="FS31" s="360"/>
      <c r="FT31" s="355"/>
      <c r="FU31" s="355"/>
      <c r="FV31" s="355"/>
      <c r="FW31" s="356"/>
      <c r="FX31" s="357"/>
      <c r="FY31" s="358"/>
      <c r="FZ31" s="357"/>
      <c r="GA31" s="359"/>
      <c r="GB31" s="360"/>
      <c r="GC31" s="355"/>
      <c r="GD31" s="355"/>
      <c r="GE31" s="355"/>
      <c r="GF31" s="356"/>
      <c r="GG31" s="357"/>
      <c r="GH31" s="358"/>
      <c r="GI31" s="357"/>
      <c r="GJ31" s="359"/>
      <c r="GK31" s="360"/>
      <c r="GL31" s="355"/>
      <c r="GM31" s="355"/>
      <c r="GN31" s="355"/>
      <c r="GO31" s="356"/>
      <c r="GP31" s="357"/>
      <c r="GQ31" s="358"/>
      <c r="GR31" s="357"/>
      <c r="GS31" s="359"/>
      <c r="GT31" s="360"/>
      <c r="GU31" s="384">
        <v>42815</v>
      </c>
      <c r="GV31" s="411"/>
      <c r="GW31" s="412">
        <v>17584</v>
      </c>
      <c r="GX31" s="413" t="s">
        <v>194</v>
      </c>
      <c r="GY31" s="74"/>
      <c r="GZ31" s="441">
        <v>42824</v>
      </c>
      <c r="HA31" s="442">
        <v>2088</v>
      </c>
    </row>
    <row r="32" spans="1:210" x14ac:dyDescent="0.25">
      <c r="A32"/>
      <c r="D32" s="35"/>
      <c r="E32" s="36"/>
      <c r="F32" s="37"/>
      <c r="G32" s="38"/>
      <c r="H32" s="39"/>
      <c r="I32" s="40"/>
      <c r="J32" s="68" t="s">
        <v>147</v>
      </c>
      <c r="K32" s="69" t="s">
        <v>148</v>
      </c>
      <c r="L32" s="69">
        <v>251</v>
      </c>
      <c r="M32" s="70">
        <v>16520</v>
      </c>
      <c r="N32" s="71">
        <v>42789</v>
      </c>
      <c r="O32" s="380" t="s">
        <v>233</v>
      </c>
      <c r="P32" s="72">
        <v>26450</v>
      </c>
      <c r="Q32" s="113">
        <f t="shared" si="1"/>
        <v>9930</v>
      </c>
      <c r="R32" s="117">
        <v>26.5</v>
      </c>
      <c r="S32" s="117"/>
      <c r="T32" s="117"/>
      <c r="U32" s="39">
        <f>R32*P32</f>
        <v>700925</v>
      </c>
      <c r="V32" s="363" t="s">
        <v>72</v>
      </c>
      <c r="W32" s="353">
        <v>42815</v>
      </c>
      <c r="X32" s="368">
        <v>18925.400000000001</v>
      </c>
      <c r="Y32" s="355"/>
      <c r="Z32" s="356"/>
      <c r="AA32" s="357"/>
      <c r="AB32" s="358"/>
      <c r="AC32" s="357"/>
      <c r="AD32" s="359"/>
      <c r="AE32" s="360"/>
      <c r="AF32" s="355"/>
      <c r="AG32" s="355"/>
      <c r="AH32" s="355"/>
      <c r="AI32" s="356"/>
      <c r="AJ32" s="357"/>
      <c r="AK32" s="358"/>
      <c r="AL32" s="357"/>
      <c r="AM32" s="359"/>
      <c r="AN32" s="360"/>
      <c r="AO32" s="355"/>
      <c r="AP32" s="355"/>
      <c r="AQ32" s="355"/>
      <c r="AR32" s="356"/>
      <c r="AS32" s="357"/>
      <c r="AT32" s="358"/>
      <c r="AU32" s="357"/>
      <c r="AV32" s="359"/>
      <c r="AW32" s="360"/>
      <c r="AX32" s="355"/>
      <c r="AY32" s="355"/>
      <c r="AZ32" s="355"/>
      <c r="BA32" s="356"/>
      <c r="BB32" s="357"/>
      <c r="BC32" s="358"/>
      <c r="BD32" s="357"/>
      <c r="BE32" s="359"/>
      <c r="BF32" s="360"/>
      <c r="BG32" s="355"/>
      <c r="BH32" s="355"/>
      <c r="BI32" s="355"/>
      <c r="BJ32" s="356"/>
      <c r="BK32" s="357"/>
      <c r="BL32" s="358"/>
      <c r="BM32" s="357"/>
      <c r="BN32" s="359"/>
      <c r="BO32" s="360"/>
      <c r="BP32" s="355"/>
      <c r="BQ32" s="355"/>
      <c r="BR32" s="355"/>
      <c r="BS32" s="356"/>
      <c r="BT32" s="357"/>
      <c r="BU32" s="358"/>
      <c r="BV32" s="357"/>
      <c r="BW32" s="359"/>
      <c r="BX32" s="360"/>
      <c r="BY32" s="355"/>
      <c r="BZ32" s="355"/>
      <c r="CA32" s="355"/>
      <c r="CB32" s="356"/>
      <c r="CC32" s="357"/>
      <c r="CD32" s="358"/>
      <c r="CE32" s="357"/>
      <c r="CF32" s="359"/>
      <c r="CG32" s="360"/>
      <c r="CH32" s="355"/>
      <c r="CI32" s="355"/>
      <c r="CJ32" s="355"/>
      <c r="CK32" s="356"/>
      <c r="CL32" s="357"/>
      <c r="CM32" s="358"/>
      <c r="CN32" s="357"/>
      <c r="CO32" s="359"/>
      <c r="CP32" s="360"/>
      <c r="CQ32" s="355"/>
      <c r="CR32" s="355"/>
      <c r="CS32" s="355"/>
      <c r="CT32" s="356"/>
      <c r="CU32" s="357"/>
      <c r="CV32" s="358"/>
      <c r="CW32" s="357"/>
      <c r="CX32" s="359"/>
      <c r="CY32" s="360"/>
      <c r="CZ32" s="355"/>
      <c r="DA32" s="355"/>
      <c r="DB32" s="355"/>
      <c r="DC32" s="356"/>
      <c r="DD32" s="357"/>
      <c r="DE32" s="358"/>
      <c r="DF32" s="357"/>
      <c r="DG32" s="359"/>
      <c r="DH32" s="360"/>
      <c r="DI32" s="355"/>
      <c r="DJ32" s="355"/>
      <c r="DK32" s="355"/>
      <c r="DL32" s="356"/>
      <c r="DM32" s="357"/>
      <c r="DN32" s="358"/>
      <c r="DO32" s="357"/>
      <c r="DP32" s="359"/>
      <c r="DQ32" s="360"/>
      <c r="DR32" s="355"/>
      <c r="DS32" s="355"/>
      <c r="DT32" s="355"/>
      <c r="DU32" s="356"/>
      <c r="DV32" s="357"/>
      <c r="DW32" s="358"/>
      <c r="DX32" s="357"/>
      <c r="DY32" s="359"/>
      <c r="DZ32" s="360"/>
      <c r="EA32" s="355"/>
      <c r="EB32" s="355"/>
      <c r="EC32" s="355"/>
      <c r="ED32" s="356"/>
      <c r="EE32" s="357"/>
      <c r="EF32" s="358"/>
      <c r="EG32" s="357"/>
      <c r="EH32" s="359"/>
      <c r="EI32" s="360"/>
      <c r="EJ32" s="355"/>
      <c r="EK32" s="355"/>
      <c r="EL32" s="355"/>
      <c r="EM32" s="356"/>
      <c r="EN32" s="357"/>
      <c r="EO32" s="358"/>
      <c r="EP32" s="357"/>
      <c r="EQ32" s="359"/>
      <c r="ER32" s="360"/>
      <c r="ES32" s="355"/>
      <c r="ET32" s="355"/>
      <c r="EU32" s="355"/>
      <c r="EV32" s="356"/>
      <c r="EW32" s="357"/>
      <c r="EX32" s="358"/>
      <c r="EY32" s="357"/>
      <c r="EZ32" s="359"/>
      <c r="FA32" s="360"/>
      <c r="FB32" s="355"/>
      <c r="FC32" s="355"/>
      <c r="FD32" s="355"/>
      <c r="FE32" s="356"/>
      <c r="FF32" s="357"/>
      <c r="FG32" s="358"/>
      <c r="FH32" s="357"/>
      <c r="FI32" s="359"/>
      <c r="FJ32" s="360"/>
      <c r="FK32" s="355"/>
      <c r="FL32" s="355"/>
      <c r="FM32" s="355"/>
      <c r="FN32" s="356"/>
      <c r="FO32" s="357"/>
      <c r="FP32" s="358"/>
      <c r="FQ32" s="357"/>
      <c r="FR32" s="359"/>
      <c r="FS32" s="360"/>
      <c r="FT32" s="355"/>
      <c r="FU32" s="355"/>
      <c r="FV32" s="355"/>
      <c r="FW32" s="356"/>
      <c r="FX32" s="357"/>
      <c r="FY32" s="358"/>
      <c r="FZ32" s="357"/>
      <c r="GA32" s="359"/>
      <c r="GB32" s="360"/>
      <c r="GC32" s="355"/>
      <c r="GD32" s="355"/>
      <c r="GE32" s="355"/>
      <c r="GF32" s="356"/>
      <c r="GG32" s="357"/>
      <c r="GH32" s="358"/>
      <c r="GI32" s="357"/>
      <c r="GJ32" s="359"/>
      <c r="GK32" s="360"/>
      <c r="GL32" s="355"/>
      <c r="GM32" s="355"/>
      <c r="GN32" s="355"/>
      <c r="GO32" s="356"/>
      <c r="GP32" s="357"/>
      <c r="GQ32" s="358"/>
      <c r="GR32" s="357"/>
      <c r="GS32" s="359"/>
      <c r="GT32" s="360"/>
      <c r="GU32" s="362">
        <v>42815</v>
      </c>
      <c r="GV32" s="411"/>
      <c r="GW32" s="412"/>
      <c r="GX32" s="413"/>
      <c r="GY32" s="74"/>
      <c r="GZ32" s="441">
        <v>42824</v>
      </c>
      <c r="HA32" s="442">
        <v>4176</v>
      </c>
    </row>
    <row r="33" spans="1:212" x14ac:dyDescent="0.25">
      <c r="A33"/>
      <c r="D33" s="35"/>
      <c r="E33" s="36"/>
      <c r="F33" s="37"/>
      <c r="G33" s="38"/>
      <c r="H33" s="39"/>
      <c r="I33" s="40"/>
      <c r="J33" s="68" t="s">
        <v>150</v>
      </c>
      <c r="K33" s="123" t="s">
        <v>149</v>
      </c>
      <c r="L33" s="123">
        <v>230</v>
      </c>
      <c r="M33" s="70">
        <v>18390</v>
      </c>
      <c r="N33" s="71">
        <v>42790</v>
      </c>
      <c r="O33" s="380" t="s">
        <v>225</v>
      </c>
      <c r="P33" s="72">
        <v>25090</v>
      </c>
      <c r="Q33" s="113">
        <f t="shared" si="1"/>
        <v>6700</v>
      </c>
      <c r="R33" s="64">
        <v>26.5</v>
      </c>
      <c r="S33" s="117"/>
      <c r="T33" s="117"/>
      <c r="U33" s="39">
        <f>R33*P33</f>
        <v>664885</v>
      </c>
      <c r="V33" s="363" t="s">
        <v>72</v>
      </c>
      <c r="W33" s="353">
        <v>42815</v>
      </c>
      <c r="X33" s="368">
        <v>17342</v>
      </c>
      <c r="Y33" s="355"/>
      <c r="Z33" s="356"/>
      <c r="AA33" s="357"/>
      <c r="AB33" s="358"/>
      <c r="AC33" s="357"/>
      <c r="AD33" s="359"/>
      <c r="AE33" s="360"/>
      <c r="AF33" s="355"/>
      <c r="AG33" s="355"/>
      <c r="AH33" s="355"/>
      <c r="AI33" s="356"/>
      <c r="AJ33" s="357"/>
      <c r="AK33" s="358"/>
      <c r="AL33" s="357"/>
      <c r="AM33" s="359"/>
      <c r="AN33" s="360"/>
      <c r="AO33" s="355"/>
      <c r="AP33" s="355"/>
      <c r="AQ33" s="355"/>
      <c r="AR33" s="356"/>
      <c r="AS33" s="357"/>
      <c r="AT33" s="358"/>
      <c r="AU33" s="357"/>
      <c r="AV33" s="359"/>
      <c r="AW33" s="360"/>
      <c r="AX33" s="355"/>
      <c r="AY33" s="355"/>
      <c r="AZ33" s="355"/>
      <c r="BA33" s="356"/>
      <c r="BB33" s="357"/>
      <c r="BC33" s="358"/>
      <c r="BD33" s="357"/>
      <c r="BE33" s="359"/>
      <c r="BF33" s="360"/>
      <c r="BG33" s="355"/>
      <c r="BH33" s="355"/>
      <c r="BI33" s="355"/>
      <c r="BJ33" s="356"/>
      <c r="BK33" s="357"/>
      <c r="BL33" s="358"/>
      <c r="BM33" s="357"/>
      <c r="BN33" s="359"/>
      <c r="BO33" s="360"/>
      <c r="BP33" s="355"/>
      <c r="BQ33" s="355"/>
      <c r="BR33" s="355"/>
      <c r="BS33" s="356"/>
      <c r="BT33" s="357"/>
      <c r="BU33" s="358"/>
      <c r="BV33" s="357"/>
      <c r="BW33" s="359"/>
      <c r="BX33" s="360"/>
      <c r="BY33" s="355"/>
      <c r="BZ33" s="355"/>
      <c r="CA33" s="355"/>
      <c r="CB33" s="356"/>
      <c r="CC33" s="357"/>
      <c r="CD33" s="358"/>
      <c r="CE33" s="357"/>
      <c r="CF33" s="359"/>
      <c r="CG33" s="360"/>
      <c r="CH33" s="355"/>
      <c r="CI33" s="355"/>
      <c r="CJ33" s="355"/>
      <c r="CK33" s="356"/>
      <c r="CL33" s="357"/>
      <c r="CM33" s="358"/>
      <c r="CN33" s="357"/>
      <c r="CO33" s="359"/>
      <c r="CP33" s="360"/>
      <c r="CQ33" s="355"/>
      <c r="CR33" s="355"/>
      <c r="CS33" s="355"/>
      <c r="CT33" s="356"/>
      <c r="CU33" s="357"/>
      <c r="CV33" s="358"/>
      <c r="CW33" s="357"/>
      <c r="CX33" s="359"/>
      <c r="CY33" s="360"/>
      <c r="CZ33" s="355"/>
      <c r="DA33" s="355"/>
      <c r="DB33" s="355"/>
      <c r="DC33" s="356"/>
      <c r="DD33" s="357"/>
      <c r="DE33" s="358"/>
      <c r="DF33" s="357"/>
      <c r="DG33" s="359"/>
      <c r="DH33" s="360"/>
      <c r="DI33" s="355"/>
      <c r="DJ33" s="355"/>
      <c r="DK33" s="355"/>
      <c r="DL33" s="356"/>
      <c r="DM33" s="357"/>
      <c r="DN33" s="358"/>
      <c r="DO33" s="357"/>
      <c r="DP33" s="359"/>
      <c r="DQ33" s="360"/>
      <c r="DR33" s="355"/>
      <c r="DS33" s="355"/>
      <c r="DT33" s="355"/>
      <c r="DU33" s="356"/>
      <c r="DV33" s="357"/>
      <c r="DW33" s="358"/>
      <c r="DX33" s="357"/>
      <c r="DY33" s="359"/>
      <c r="DZ33" s="360"/>
      <c r="EA33" s="355"/>
      <c r="EB33" s="355"/>
      <c r="EC33" s="355"/>
      <c r="ED33" s="356"/>
      <c r="EE33" s="357"/>
      <c r="EF33" s="358"/>
      <c r="EG33" s="357"/>
      <c r="EH33" s="359"/>
      <c r="EI33" s="360"/>
      <c r="EJ33" s="355"/>
      <c r="EK33" s="355"/>
      <c r="EL33" s="355"/>
      <c r="EM33" s="356"/>
      <c r="EN33" s="357"/>
      <c r="EO33" s="358"/>
      <c r="EP33" s="357"/>
      <c r="EQ33" s="359"/>
      <c r="ER33" s="360"/>
      <c r="ES33" s="355"/>
      <c r="ET33" s="355"/>
      <c r="EU33" s="355"/>
      <c r="EV33" s="356"/>
      <c r="EW33" s="357"/>
      <c r="EX33" s="358"/>
      <c r="EY33" s="357"/>
      <c r="EZ33" s="359"/>
      <c r="FA33" s="360"/>
      <c r="FB33" s="355"/>
      <c r="FC33" s="355"/>
      <c r="FD33" s="355"/>
      <c r="FE33" s="356"/>
      <c r="FF33" s="357"/>
      <c r="FG33" s="358"/>
      <c r="FH33" s="357"/>
      <c r="FI33" s="359"/>
      <c r="FJ33" s="360"/>
      <c r="FK33" s="355"/>
      <c r="FL33" s="355"/>
      <c r="FM33" s="355"/>
      <c r="FN33" s="356"/>
      <c r="FO33" s="357"/>
      <c r="FP33" s="358"/>
      <c r="FQ33" s="357"/>
      <c r="FR33" s="359"/>
      <c r="FS33" s="360"/>
      <c r="FT33" s="355"/>
      <c r="FU33" s="355"/>
      <c r="FV33" s="355"/>
      <c r="FW33" s="356"/>
      <c r="FX33" s="357"/>
      <c r="FY33" s="358"/>
      <c r="FZ33" s="357"/>
      <c r="GA33" s="359"/>
      <c r="GB33" s="360"/>
      <c r="GC33" s="355"/>
      <c r="GD33" s="355"/>
      <c r="GE33" s="355"/>
      <c r="GF33" s="356"/>
      <c r="GG33" s="357"/>
      <c r="GH33" s="358"/>
      <c r="GI33" s="357"/>
      <c r="GJ33" s="359"/>
      <c r="GK33" s="360"/>
      <c r="GL33" s="355"/>
      <c r="GM33" s="355"/>
      <c r="GN33" s="355"/>
      <c r="GO33" s="356"/>
      <c r="GP33" s="357"/>
      <c r="GQ33" s="358"/>
      <c r="GR33" s="357"/>
      <c r="GS33" s="359"/>
      <c r="GT33" s="360"/>
      <c r="GU33" s="414">
        <v>42815</v>
      </c>
      <c r="GV33" s="411"/>
      <c r="GW33" s="415">
        <v>22176</v>
      </c>
      <c r="GX33" s="413" t="s">
        <v>196</v>
      </c>
      <c r="GY33" s="74"/>
      <c r="GZ33" s="441">
        <v>42824</v>
      </c>
      <c r="HA33" s="442">
        <v>4176</v>
      </c>
    </row>
    <row r="34" spans="1:212" x14ac:dyDescent="0.25">
      <c r="A34"/>
      <c r="D34" s="35"/>
      <c r="E34" s="36"/>
      <c r="F34" s="37"/>
      <c r="G34" s="38"/>
      <c r="H34" s="39"/>
      <c r="I34" s="40"/>
      <c r="J34" s="68" t="s">
        <v>151</v>
      </c>
      <c r="K34" s="69" t="s">
        <v>46</v>
      </c>
      <c r="L34" s="69">
        <v>100</v>
      </c>
      <c r="M34" s="70">
        <v>11880</v>
      </c>
      <c r="N34" s="71">
        <v>42790</v>
      </c>
      <c r="O34" s="380" t="s">
        <v>243</v>
      </c>
      <c r="P34" s="72">
        <v>12515</v>
      </c>
      <c r="Q34" s="113">
        <f t="shared" si="1"/>
        <v>635</v>
      </c>
      <c r="R34" s="117">
        <v>26.5</v>
      </c>
      <c r="S34" s="117"/>
      <c r="T34" s="111"/>
      <c r="U34" s="39">
        <f>R34*P34+T34+0</f>
        <v>331647.5</v>
      </c>
      <c r="V34" s="363" t="s">
        <v>72</v>
      </c>
      <c r="W34" s="353">
        <v>42816</v>
      </c>
      <c r="X34" s="368">
        <v>7540</v>
      </c>
      <c r="Y34" s="355"/>
      <c r="Z34" s="356"/>
      <c r="AA34" s="357"/>
      <c r="AB34" s="358"/>
      <c r="AC34" s="357"/>
      <c r="AD34" s="359"/>
      <c r="AE34" s="360"/>
      <c r="AF34" s="355"/>
      <c r="AG34" s="355"/>
      <c r="AH34" s="355"/>
      <c r="AI34" s="356"/>
      <c r="AJ34" s="357"/>
      <c r="AK34" s="358"/>
      <c r="AL34" s="357"/>
      <c r="AM34" s="359"/>
      <c r="AN34" s="360"/>
      <c r="AO34" s="355"/>
      <c r="AP34" s="355"/>
      <c r="AQ34" s="355"/>
      <c r="AR34" s="356"/>
      <c r="AS34" s="357"/>
      <c r="AT34" s="358"/>
      <c r="AU34" s="357"/>
      <c r="AV34" s="359"/>
      <c r="AW34" s="360"/>
      <c r="AX34" s="355"/>
      <c r="AY34" s="355"/>
      <c r="AZ34" s="355"/>
      <c r="BA34" s="356"/>
      <c r="BB34" s="357"/>
      <c r="BC34" s="358"/>
      <c r="BD34" s="357"/>
      <c r="BE34" s="359"/>
      <c r="BF34" s="360"/>
      <c r="BG34" s="355"/>
      <c r="BH34" s="355"/>
      <c r="BI34" s="355"/>
      <c r="BJ34" s="356"/>
      <c r="BK34" s="357"/>
      <c r="BL34" s="358"/>
      <c r="BM34" s="357"/>
      <c r="BN34" s="359"/>
      <c r="BO34" s="360"/>
      <c r="BP34" s="355"/>
      <c r="BQ34" s="355"/>
      <c r="BR34" s="355"/>
      <c r="BS34" s="356"/>
      <c r="BT34" s="357"/>
      <c r="BU34" s="358"/>
      <c r="BV34" s="357"/>
      <c r="BW34" s="359"/>
      <c r="BX34" s="360"/>
      <c r="BY34" s="355"/>
      <c r="BZ34" s="355"/>
      <c r="CA34" s="355"/>
      <c r="CB34" s="356"/>
      <c r="CC34" s="357"/>
      <c r="CD34" s="358"/>
      <c r="CE34" s="357"/>
      <c r="CF34" s="359"/>
      <c r="CG34" s="360"/>
      <c r="CH34" s="355"/>
      <c r="CI34" s="355"/>
      <c r="CJ34" s="355"/>
      <c r="CK34" s="356"/>
      <c r="CL34" s="357"/>
      <c r="CM34" s="358"/>
      <c r="CN34" s="357"/>
      <c r="CO34" s="359"/>
      <c r="CP34" s="360"/>
      <c r="CQ34" s="355"/>
      <c r="CR34" s="355"/>
      <c r="CS34" s="355"/>
      <c r="CT34" s="356"/>
      <c r="CU34" s="357"/>
      <c r="CV34" s="358"/>
      <c r="CW34" s="357"/>
      <c r="CX34" s="359"/>
      <c r="CY34" s="360"/>
      <c r="CZ34" s="355"/>
      <c r="DA34" s="355"/>
      <c r="DB34" s="355"/>
      <c r="DC34" s="356"/>
      <c r="DD34" s="357"/>
      <c r="DE34" s="358"/>
      <c r="DF34" s="357"/>
      <c r="DG34" s="359"/>
      <c r="DH34" s="360"/>
      <c r="DI34" s="355"/>
      <c r="DJ34" s="355"/>
      <c r="DK34" s="355"/>
      <c r="DL34" s="356"/>
      <c r="DM34" s="357"/>
      <c r="DN34" s="358"/>
      <c r="DO34" s="357"/>
      <c r="DP34" s="359"/>
      <c r="DQ34" s="360"/>
      <c r="DR34" s="355"/>
      <c r="DS34" s="355"/>
      <c r="DT34" s="355"/>
      <c r="DU34" s="356"/>
      <c r="DV34" s="357"/>
      <c r="DW34" s="358"/>
      <c r="DX34" s="357"/>
      <c r="DY34" s="359"/>
      <c r="DZ34" s="360"/>
      <c r="EA34" s="355"/>
      <c r="EB34" s="355"/>
      <c r="EC34" s="355"/>
      <c r="ED34" s="356"/>
      <c r="EE34" s="357"/>
      <c r="EF34" s="358"/>
      <c r="EG34" s="357"/>
      <c r="EH34" s="359"/>
      <c r="EI34" s="360"/>
      <c r="EJ34" s="355"/>
      <c r="EK34" s="355"/>
      <c r="EL34" s="355"/>
      <c r="EM34" s="356"/>
      <c r="EN34" s="357"/>
      <c r="EO34" s="358"/>
      <c r="EP34" s="357"/>
      <c r="EQ34" s="359"/>
      <c r="ER34" s="360"/>
      <c r="ES34" s="355"/>
      <c r="ET34" s="355"/>
      <c r="EU34" s="355"/>
      <c r="EV34" s="356"/>
      <c r="EW34" s="357"/>
      <c r="EX34" s="358"/>
      <c r="EY34" s="357"/>
      <c r="EZ34" s="359"/>
      <c r="FA34" s="360"/>
      <c r="FB34" s="355"/>
      <c r="FC34" s="355"/>
      <c r="FD34" s="355"/>
      <c r="FE34" s="356"/>
      <c r="FF34" s="357"/>
      <c r="FG34" s="358"/>
      <c r="FH34" s="357"/>
      <c r="FI34" s="359"/>
      <c r="FJ34" s="360"/>
      <c r="FK34" s="355"/>
      <c r="FL34" s="355"/>
      <c r="FM34" s="355"/>
      <c r="FN34" s="356"/>
      <c r="FO34" s="357"/>
      <c r="FP34" s="358"/>
      <c r="FQ34" s="357"/>
      <c r="FR34" s="359"/>
      <c r="FS34" s="360"/>
      <c r="FT34" s="355"/>
      <c r="FU34" s="355"/>
      <c r="FV34" s="355"/>
      <c r="FW34" s="356"/>
      <c r="FX34" s="357"/>
      <c r="FY34" s="358"/>
      <c r="FZ34" s="357"/>
      <c r="GA34" s="359"/>
      <c r="GB34" s="360"/>
      <c r="GC34" s="355"/>
      <c r="GD34" s="355"/>
      <c r="GE34" s="355"/>
      <c r="GF34" s="356"/>
      <c r="GG34" s="357"/>
      <c r="GH34" s="358"/>
      <c r="GI34" s="357"/>
      <c r="GJ34" s="359"/>
      <c r="GK34" s="360"/>
      <c r="GL34" s="355"/>
      <c r="GM34" s="355"/>
      <c r="GN34" s="355"/>
      <c r="GO34" s="356"/>
      <c r="GP34" s="357"/>
      <c r="GQ34" s="358"/>
      <c r="GR34" s="357"/>
      <c r="GS34" s="359"/>
      <c r="GT34" s="360"/>
      <c r="GU34" s="362">
        <v>42816</v>
      </c>
      <c r="GV34" s="411"/>
      <c r="GW34" s="412">
        <v>17584</v>
      </c>
      <c r="GX34" s="413" t="s">
        <v>195</v>
      </c>
      <c r="GY34" s="74"/>
      <c r="GZ34" s="441">
        <v>42824</v>
      </c>
      <c r="HA34" s="442">
        <v>2088</v>
      </c>
    </row>
    <row r="35" spans="1:212" ht="31.5" x14ac:dyDescent="0.25">
      <c r="A35"/>
      <c r="D35" s="35"/>
      <c r="E35" s="36"/>
      <c r="F35" s="37"/>
      <c r="G35" s="38"/>
      <c r="H35" s="39"/>
      <c r="I35" s="40"/>
      <c r="J35" s="383" t="s">
        <v>205</v>
      </c>
      <c r="K35" s="69" t="s">
        <v>206</v>
      </c>
      <c r="L35" s="69">
        <v>0</v>
      </c>
      <c r="M35" s="70">
        <v>569</v>
      </c>
      <c r="N35" s="71">
        <v>42790</v>
      </c>
      <c r="O35" s="432" t="s">
        <v>236</v>
      </c>
      <c r="P35" s="72">
        <v>569</v>
      </c>
      <c r="Q35" s="113">
        <f t="shared" si="1"/>
        <v>0</v>
      </c>
      <c r="R35" s="117">
        <v>66</v>
      </c>
      <c r="S35" s="117"/>
      <c r="T35" s="111"/>
      <c r="U35" s="39">
        <f t="shared" ref="U35:U38" si="2">R35*P35+T35+0</f>
        <v>37554</v>
      </c>
      <c r="V35" s="363" t="s">
        <v>72</v>
      </c>
      <c r="W35" s="353">
        <v>42816</v>
      </c>
      <c r="X35" s="377"/>
      <c r="Y35" s="355"/>
      <c r="Z35" s="356"/>
      <c r="AA35" s="357"/>
      <c r="AB35" s="358"/>
      <c r="AC35" s="357"/>
      <c r="AD35" s="359"/>
      <c r="AE35" s="360"/>
      <c r="AF35" s="355"/>
      <c r="AG35" s="355"/>
      <c r="AH35" s="355"/>
      <c r="AI35" s="356"/>
      <c r="AJ35" s="357"/>
      <c r="AK35" s="358"/>
      <c r="AL35" s="357"/>
      <c r="AM35" s="359"/>
      <c r="AN35" s="360"/>
      <c r="AO35" s="355"/>
      <c r="AP35" s="355"/>
      <c r="AQ35" s="355"/>
      <c r="AR35" s="356"/>
      <c r="AS35" s="357"/>
      <c r="AT35" s="358"/>
      <c r="AU35" s="357"/>
      <c r="AV35" s="359"/>
      <c r="AW35" s="360"/>
      <c r="AX35" s="355"/>
      <c r="AY35" s="355"/>
      <c r="AZ35" s="355"/>
      <c r="BA35" s="356"/>
      <c r="BB35" s="357"/>
      <c r="BC35" s="358"/>
      <c r="BD35" s="357"/>
      <c r="BE35" s="359"/>
      <c r="BF35" s="360"/>
      <c r="BG35" s="355"/>
      <c r="BH35" s="355"/>
      <c r="BI35" s="355"/>
      <c r="BJ35" s="356"/>
      <c r="BK35" s="357"/>
      <c r="BL35" s="358"/>
      <c r="BM35" s="357"/>
      <c r="BN35" s="359"/>
      <c r="BO35" s="360"/>
      <c r="BP35" s="355"/>
      <c r="BQ35" s="355"/>
      <c r="BR35" s="355"/>
      <c r="BS35" s="356"/>
      <c r="BT35" s="357"/>
      <c r="BU35" s="358"/>
      <c r="BV35" s="357"/>
      <c r="BW35" s="359"/>
      <c r="BX35" s="360"/>
      <c r="BY35" s="355"/>
      <c r="BZ35" s="355"/>
      <c r="CA35" s="355"/>
      <c r="CB35" s="356"/>
      <c r="CC35" s="357"/>
      <c r="CD35" s="358"/>
      <c r="CE35" s="357"/>
      <c r="CF35" s="359"/>
      <c r="CG35" s="360"/>
      <c r="CH35" s="355"/>
      <c r="CI35" s="355"/>
      <c r="CJ35" s="355"/>
      <c r="CK35" s="356"/>
      <c r="CL35" s="357"/>
      <c r="CM35" s="358"/>
      <c r="CN35" s="357"/>
      <c r="CO35" s="359"/>
      <c r="CP35" s="360"/>
      <c r="CQ35" s="355"/>
      <c r="CR35" s="355"/>
      <c r="CS35" s="355"/>
      <c r="CT35" s="356"/>
      <c r="CU35" s="357"/>
      <c r="CV35" s="358"/>
      <c r="CW35" s="357"/>
      <c r="CX35" s="359"/>
      <c r="CY35" s="360"/>
      <c r="CZ35" s="355"/>
      <c r="DA35" s="355"/>
      <c r="DB35" s="355"/>
      <c r="DC35" s="356"/>
      <c r="DD35" s="357"/>
      <c r="DE35" s="358"/>
      <c r="DF35" s="357"/>
      <c r="DG35" s="359"/>
      <c r="DH35" s="360"/>
      <c r="DI35" s="355"/>
      <c r="DJ35" s="355"/>
      <c r="DK35" s="355"/>
      <c r="DL35" s="356"/>
      <c r="DM35" s="357"/>
      <c r="DN35" s="358"/>
      <c r="DO35" s="357"/>
      <c r="DP35" s="359"/>
      <c r="DQ35" s="360"/>
      <c r="DR35" s="355"/>
      <c r="DS35" s="355"/>
      <c r="DT35" s="355"/>
      <c r="DU35" s="356"/>
      <c r="DV35" s="357"/>
      <c r="DW35" s="358"/>
      <c r="DX35" s="357"/>
      <c r="DY35" s="359"/>
      <c r="DZ35" s="360"/>
      <c r="EA35" s="355"/>
      <c r="EB35" s="355"/>
      <c r="EC35" s="355"/>
      <c r="ED35" s="356"/>
      <c r="EE35" s="357"/>
      <c r="EF35" s="358"/>
      <c r="EG35" s="357"/>
      <c r="EH35" s="359"/>
      <c r="EI35" s="360"/>
      <c r="EJ35" s="355"/>
      <c r="EK35" s="355"/>
      <c r="EL35" s="355"/>
      <c r="EM35" s="356"/>
      <c r="EN35" s="357"/>
      <c r="EO35" s="358"/>
      <c r="EP35" s="357"/>
      <c r="EQ35" s="359"/>
      <c r="ER35" s="360"/>
      <c r="ES35" s="355"/>
      <c r="ET35" s="355"/>
      <c r="EU35" s="355"/>
      <c r="EV35" s="356"/>
      <c r="EW35" s="357"/>
      <c r="EX35" s="358"/>
      <c r="EY35" s="357"/>
      <c r="EZ35" s="359"/>
      <c r="FA35" s="360"/>
      <c r="FB35" s="355"/>
      <c r="FC35" s="355"/>
      <c r="FD35" s="355"/>
      <c r="FE35" s="356"/>
      <c r="FF35" s="357"/>
      <c r="FG35" s="358"/>
      <c r="FH35" s="357"/>
      <c r="FI35" s="359"/>
      <c r="FJ35" s="360"/>
      <c r="FK35" s="355"/>
      <c r="FL35" s="355"/>
      <c r="FM35" s="355"/>
      <c r="FN35" s="356"/>
      <c r="FO35" s="357"/>
      <c r="FP35" s="358"/>
      <c r="FQ35" s="357"/>
      <c r="FR35" s="359"/>
      <c r="FS35" s="360"/>
      <c r="FT35" s="355"/>
      <c r="FU35" s="355"/>
      <c r="FV35" s="355"/>
      <c r="FW35" s="356"/>
      <c r="FX35" s="357"/>
      <c r="FY35" s="358"/>
      <c r="FZ35" s="357"/>
      <c r="GA35" s="359"/>
      <c r="GB35" s="360"/>
      <c r="GC35" s="355"/>
      <c r="GD35" s="355"/>
      <c r="GE35" s="355"/>
      <c r="GF35" s="356"/>
      <c r="GG35" s="357"/>
      <c r="GH35" s="358"/>
      <c r="GI35" s="357"/>
      <c r="GJ35" s="359"/>
      <c r="GK35" s="360"/>
      <c r="GL35" s="355"/>
      <c r="GM35" s="355"/>
      <c r="GN35" s="355"/>
      <c r="GO35" s="356"/>
      <c r="GP35" s="357"/>
      <c r="GQ35" s="358"/>
      <c r="GR35" s="357"/>
      <c r="GS35" s="359"/>
      <c r="GT35" s="360"/>
      <c r="GU35" s="152"/>
      <c r="GV35" s="131"/>
      <c r="GW35" s="153"/>
      <c r="GX35" s="419"/>
      <c r="GY35" s="74"/>
      <c r="GZ35" s="441"/>
      <c r="HA35" s="442">
        <v>0</v>
      </c>
    </row>
    <row r="36" spans="1:212" ht="31.5" x14ac:dyDescent="0.25">
      <c r="A36"/>
      <c r="D36" s="35"/>
      <c r="E36" s="36"/>
      <c r="F36" s="37"/>
      <c r="G36" s="38"/>
      <c r="H36" s="39"/>
      <c r="I36" s="40"/>
      <c r="J36" s="383" t="s">
        <v>205</v>
      </c>
      <c r="K36" s="69" t="s">
        <v>207</v>
      </c>
      <c r="L36" s="69">
        <v>0</v>
      </c>
      <c r="M36" s="70">
        <v>385.4</v>
      </c>
      <c r="N36" s="71">
        <v>42790</v>
      </c>
      <c r="O36" s="432" t="s">
        <v>235</v>
      </c>
      <c r="P36" s="72">
        <v>385.4</v>
      </c>
      <c r="Q36" s="113">
        <f t="shared" si="1"/>
        <v>0</v>
      </c>
      <c r="R36" s="117">
        <v>71</v>
      </c>
      <c r="S36" s="117"/>
      <c r="T36" s="111"/>
      <c r="U36" s="39">
        <f t="shared" si="2"/>
        <v>27363.399999999998</v>
      </c>
      <c r="V36" s="363" t="s">
        <v>72</v>
      </c>
      <c r="W36" s="353">
        <v>42809</v>
      </c>
      <c r="X36" s="377"/>
      <c r="Y36" s="355"/>
      <c r="Z36" s="356"/>
      <c r="AA36" s="357"/>
      <c r="AB36" s="358"/>
      <c r="AC36" s="357"/>
      <c r="AD36" s="359"/>
      <c r="AE36" s="360"/>
      <c r="AF36" s="355"/>
      <c r="AG36" s="355"/>
      <c r="AH36" s="355"/>
      <c r="AI36" s="356"/>
      <c r="AJ36" s="357"/>
      <c r="AK36" s="358"/>
      <c r="AL36" s="357"/>
      <c r="AM36" s="359"/>
      <c r="AN36" s="360"/>
      <c r="AO36" s="355"/>
      <c r="AP36" s="355"/>
      <c r="AQ36" s="355"/>
      <c r="AR36" s="356"/>
      <c r="AS36" s="357"/>
      <c r="AT36" s="358"/>
      <c r="AU36" s="357"/>
      <c r="AV36" s="359"/>
      <c r="AW36" s="360"/>
      <c r="AX36" s="355"/>
      <c r="AY36" s="355"/>
      <c r="AZ36" s="355"/>
      <c r="BA36" s="356"/>
      <c r="BB36" s="357"/>
      <c r="BC36" s="358"/>
      <c r="BD36" s="357"/>
      <c r="BE36" s="359"/>
      <c r="BF36" s="360"/>
      <c r="BG36" s="355"/>
      <c r="BH36" s="355"/>
      <c r="BI36" s="355"/>
      <c r="BJ36" s="356"/>
      <c r="BK36" s="357"/>
      <c r="BL36" s="358"/>
      <c r="BM36" s="357"/>
      <c r="BN36" s="359"/>
      <c r="BO36" s="360"/>
      <c r="BP36" s="355"/>
      <c r="BQ36" s="355"/>
      <c r="BR36" s="355"/>
      <c r="BS36" s="356"/>
      <c r="BT36" s="357"/>
      <c r="BU36" s="358"/>
      <c r="BV36" s="357"/>
      <c r="BW36" s="359"/>
      <c r="BX36" s="360"/>
      <c r="BY36" s="355"/>
      <c r="BZ36" s="355"/>
      <c r="CA36" s="355"/>
      <c r="CB36" s="356"/>
      <c r="CC36" s="357"/>
      <c r="CD36" s="358"/>
      <c r="CE36" s="357"/>
      <c r="CF36" s="359"/>
      <c r="CG36" s="360"/>
      <c r="CH36" s="355"/>
      <c r="CI36" s="355"/>
      <c r="CJ36" s="355"/>
      <c r="CK36" s="356"/>
      <c r="CL36" s="357"/>
      <c r="CM36" s="358"/>
      <c r="CN36" s="357"/>
      <c r="CO36" s="359"/>
      <c r="CP36" s="360"/>
      <c r="CQ36" s="355"/>
      <c r="CR36" s="355"/>
      <c r="CS36" s="355"/>
      <c r="CT36" s="356"/>
      <c r="CU36" s="357"/>
      <c r="CV36" s="358"/>
      <c r="CW36" s="357"/>
      <c r="CX36" s="359"/>
      <c r="CY36" s="360"/>
      <c r="CZ36" s="355"/>
      <c r="DA36" s="355"/>
      <c r="DB36" s="355"/>
      <c r="DC36" s="356"/>
      <c r="DD36" s="357"/>
      <c r="DE36" s="358"/>
      <c r="DF36" s="357"/>
      <c r="DG36" s="359"/>
      <c r="DH36" s="360"/>
      <c r="DI36" s="355"/>
      <c r="DJ36" s="355"/>
      <c r="DK36" s="355"/>
      <c r="DL36" s="356"/>
      <c r="DM36" s="357"/>
      <c r="DN36" s="358"/>
      <c r="DO36" s="357"/>
      <c r="DP36" s="359"/>
      <c r="DQ36" s="360"/>
      <c r="DR36" s="355"/>
      <c r="DS36" s="355"/>
      <c r="DT36" s="355"/>
      <c r="DU36" s="356"/>
      <c r="DV36" s="357"/>
      <c r="DW36" s="358"/>
      <c r="DX36" s="357"/>
      <c r="DY36" s="359"/>
      <c r="DZ36" s="360"/>
      <c r="EA36" s="355"/>
      <c r="EB36" s="355"/>
      <c r="EC36" s="355"/>
      <c r="ED36" s="356"/>
      <c r="EE36" s="357"/>
      <c r="EF36" s="358"/>
      <c r="EG36" s="357"/>
      <c r="EH36" s="359"/>
      <c r="EI36" s="360"/>
      <c r="EJ36" s="355"/>
      <c r="EK36" s="355"/>
      <c r="EL36" s="355"/>
      <c r="EM36" s="356"/>
      <c r="EN36" s="357"/>
      <c r="EO36" s="358"/>
      <c r="EP36" s="357"/>
      <c r="EQ36" s="359"/>
      <c r="ER36" s="360"/>
      <c r="ES36" s="355"/>
      <c r="ET36" s="355"/>
      <c r="EU36" s="355"/>
      <c r="EV36" s="356"/>
      <c r="EW36" s="357"/>
      <c r="EX36" s="358"/>
      <c r="EY36" s="357"/>
      <c r="EZ36" s="359"/>
      <c r="FA36" s="360"/>
      <c r="FB36" s="355"/>
      <c r="FC36" s="355"/>
      <c r="FD36" s="355"/>
      <c r="FE36" s="356"/>
      <c r="FF36" s="357"/>
      <c r="FG36" s="358"/>
      <c r="FH36" s="357"/>
      <c r="FI36" s="359"/>
      <c r="FJ36" s="360"/>
      <c r="FK36" s="355"/>
      <c r="FL36" s="355"/>
      <c r="FM36" s="355"/>
      <c r="FN36" s="356"/>
      <c r="FO36" s="357"/>
      <c r="FP36" s="358"/>
      <c r="FQ36" s="357"/>
      <c r="FR36" s="359"/>
      <c r="FS36" s="360"/>
      <c r="FT36" s="355"/>
      <c r="FU36" s="355"/>
      <c r="FV36" s="355"/>
      <c r="FW36" s="356"/>
      <c r="FX36" s="357"/>
      <c r="FY36" s="358"/>
      <c r="FZ36" s="357"/>
      <c r="GA36" s="359"/>
      <c r="GB36" s="360"/>
      <c r="GC36" s="355"/>
      <c r="GD36" s="355"/>
      <c r="GE36" s="355"/>
      <c r="GF36" s="356"/>
      <c r="GG36" s="357"/>
      <c r="GH36" s="358"/>
      <c r="GI36" s="357"/>
      <c r="GJ36" s="359"/>
      <c r="GK36" s="360"/>
      <c r="GL36" s="355"/>
      <c r="GM36" s="355"/>
      <c r="GN36" s="355"/>
      <c r="GO36" s="356"/>
      <c r="GP36" s="357"/>
      <c r="GQ36" s="358"/>
      <c r="GR36" s="357"/>
      <c r="GS36" s="359"/>
      <c r="GT36" s="360"/>
      <c r="GU36" s="152"/>
      <c r="GV36" s="131"/>
      <c r="GW36" s="153"/>
      <c r="GX36" s="419"/>
      <c r="GY36" s="74"/>
      <c r="GZ36" s="441"/>
      <c r="HA36" s="442">
        <v>0</v>
      </c>
    </row>
    <row r="37" spans="1:212" ht="31.5" x14ac:dyDescent="0.25">
      <c r="A37"/>
      <c r="D37" s="35"/>
      <c r="E37" s="36"/>
      <c r="F37" s="37"/>
      <c r="G37" s="38"/>
      <c r="H37" s="39"/>
      <c r="I37" s="40"/>
      <c r="J37" s="383" t="s">
        <v>205</v>
      </c>
      <c r="K37" s="69" t="s">
        <v>208</v>
      </c>
      <c r="L37" s="69">
        <v>0</v>
      </c>
      <c r="M37" s="70">
        <v>506.8</v>
      </c>
      <c r="N37" s="71">
        <v>42790</v>
      </c>
      <c r="O37" s="432" t="s">
        <v>234</v>
      </c>
      <c r="P37" s="72">
        <v>506.8</v>
      </c>
      <c r="Q37" s="113">
        <f t="shared" si="1"/>
        <v>0</v>
      </c>
      <c r="R37" s="117">
        <v>15</v>
      </c>
      <c r="S37" s="117"/>
      <c r="T37" s="111"/>
      <c r="U37" s="39">
        <f t="shared" si="2"/>
        <v>7602</v>
      </c>
      <c r="V37" s="363" t="s">
        <v>72</v>
      </c>
      <c r="W37" s="353">
        <v>42816</v>
      </c>
      <c r="X37" s="377"/>
      <c r="Y37" s="355"/>
      <c r="Z37" s="356"/>
      <c r="AA37" s="357"/>
      <c r="AB37" s="358"/>
      <c r="AC37" s="357"/>
      <c r="AD37" s="359"/>
      <c r="AE37" s="360"/>
      <c r="AF37" s="355"/>
      <c r="AG37" s="355"/>
      <c r="AH37" s="355"/>
      <c r="AI37" s="356"/>
      <c r="AJ37" s="357"/>
      <c r="AK37" s="358"/>
      <c r="AL37" s="357"/>
      <c r="AM37" s="359"/>
      <c r="AN37" s="360"/>
      <c r="AO37" s="355"/>
      <c r="AP37" s="355"/>
      <c r="AQ37" s="355"/>
      <c r="AR37" s="356"/>
      <c r="AS37" s="357"/>
      <c r="AT37" s="358"/>
      <c r="AU37" s="357"/>
      <c r="AV37" s="359"/>
      <c r="AW37" s="360"/>
      <c r="AX37" s="355"/>
      <c r="AY37" s="355"/>
      <c r="AZ37" s="355"/>
      <c r="BA37" s="356"/>
      <c r="BB37" s="357"/>
      <c r="BC37" s="358"/>
      <c r="BD37" s="357"/>
      <c r="BE37" s="359"/>
      <c r="BF37" s="360"/>
      <c r="BG37" s="355"/>
      <c r="BH37" s="355"/>
      <c r="BI37" s="355"/>
      <c r="BJ37" s="356"/>
      <c r="BK37" s="357"/>
      <c r="BL37" s="358"/>
      <c r="BM37" s="357"/>
      <c r="BN37" s="359"/>
      <c r="BO37" s="360"/>
      <c r="BP37" s="355"/>
      <c r="BQ37" s="355"/>
      <c r="BR37" s="355"/>
      <c r="BS37" s="356"/>
      <c r="BT37" s="357"/>
      <c r="BU37" s="358"/>
      <c r="BV37" s="357"/>
      <c r="BW37" s="359"/>
      <c r="BX37" s="360"/>
      <c r="BY37" s="355"/>
      <c r="BZ37" s="355"/>
      <c r="CA37" s="355"/>
      <c r="CB37" s="356"/>
      <c r="CC37" s="357"/>
      <c r="CD37" s="358"/>
      <c r="CE37" s="357"/>
      <c r="CF37" s="359"/>
      <c r="CG37" s="360"/>
      <c r="CH37" s="355"/>
      <c r="CI37" s="355"/>
      <c r="CJ37" s="355"/>
      <c r="CK37" s="356"/>
      <c r="CL37" s="357"/>
      <c r="CM37" s="358"/>
      <c r="CN37" s="357"/>
      <c r="CO37" s="359"/>
      <c r="CP37" s="360"/>
      <c r="CQ37" s="355"/>
      <c r="CR37" s="355"/>
      <c r="CS37" s="355"/>
      <c r="CT37" s="356"/>
      <c r="CU37" s="357"/>
      <c r="CV37" s="358"/>
      <c r="CW37" s="357"/>
      <c r="CX37" s="359"/>
      <c r="CY37" s="360"/>
      <c r="CZ37" s="355"/>
      <c r="DA37" s="355"/>
      <c r="DB37" s="355"/>
      <c r="DC37" s="356"/>
      <c r="DD37" s="357"/>
      <c r="DE37" s="358"/>
      <c r="DF37" s="357"/>
      <c r="DG37" s="359"/>
      <c r="DH37" s="360"/>
      <c r="DI37" s="355"/>
      <c r="DJ37" s="355"/>
      <c r="DK37" s="355"/>
      <c r="DL37" s="356"/>
      <c r="DM37" s="357"/>
      <c r="DN37" s="358"/>
      <c r="DO37" s="357"/>
      <c r="DP37" s="359"/>
      <c r="DQ37" s="360"/>
      <c r="DR37" s="355"/>
      <c r="DS37" s="355"/>
      <c r="DT37" s="355"/>
      <c r="DU37" s="356"/>
      <c r="DV37" s="357"/>
      <c r="DW37" s="358"/>
      <c r="DX37" s="357"/>
      <c r="DY37" s="359"/>
      <c r="DZ37" s="360"/>
      <c r="EA37" s="355"/>
      <c r="EB37" s="355"/>
      <c r="EC37" s="355"/>
      <c r="ED37" s="356"/>
      <c r="EE37" s="357"/>
      <c r="EF37" s="358"/>
      <c r="EG37" s="357"/>
      <c r="EH37" s="359"/>
      <c r="EI37" s="360"/>
      <c r="EJ37" s="355"/>
      <c r="EK37" s="355"/>
      <c r="EL37" s="355"/>
      <c r="EM37" s="356"/>
      <c r="EN37" s="357"/>
      <c r="EO37" s="358"/>
      <c r="EP37" s="357"/>
      <c r="EQ37" s="359"/>
      <c r="ER37" s="360"/>
      <c r="ES37" s="355"/>
      <c r="ET37" s="355"/>
      <c r="EU37" s="355"/>
      <c r="EV37" s="356"/>
      <c r="EW37" s="357"/>
      <c r="EX37" s="358"/>
      <c r="EY37" s="357"/>
      <c r="EZ37" s="359"/>
      <c r="FA37" s="360"/>
      <c r="FB37" s="355"/>
      <c r="FC37" s="355"/>
      <c r="FD37" s="355"/>
      <c r="FE37" s="356"/>
      <c r="FF37" s="357"/>
      <c r="FG37" s="358"/>
      <c r="FH37" s="357"/>
      <c r="FI37" s="359"/>
      <c r="FJ37" s="360"/>
      <c r="FK37" s="355"/>
      <c r="FL37" s="355"/>
      <c r="FM37" s="355"/>
      <c r="FN37" s="356"/>
      <c r="FO37" s="357"/>
      <c r="FP37" s="358"/>
      <c r="FQ37" s="357"/>
      <c r="FR37" s="359"/>
      <c r="FS37" s="360"/>
      <c r="FT37" s="355"/>
      <c r="FU37" s="355"/>
      <c r="FV37" s="355"/>
      <c r="FW37" s="356"/>
      <c r="FX37" s="357"/>
      <c r="FY37" s="358"/>
      <c r="FZ37" s="357"/>
      <c r="GA37" s="359"/>
      <c r="GB37" s="360"/>
      <c r="GC37" s="355"/>
      <c r="GD37" s="355"/>
      <c r="GE37" s="355"/>
      <c r="GF37" s="356"/>
      <c r="GG37" s="357"/>
      <c r="GH37" s="358"/>
      <c r="GI37" s="357"/>
      <c r="GJ37" s="359"/>
      <c r="GK37" s="360"/>
      <c r="GL37" s="355"/>
      <c r="GM37" s="355"/>
      <c r="GN37" s="355"/>
      <c r="GO37" s="356"/>
      <c r="GP37" s="357"/>
      <c r="GQ37" s="358"/>
      <c r="GR37" s="357"/>
      <c r="GS37" s="359"/>
      <c r="GT37" s="360"/>
      <c r="GU37" s="152"/>
      <c r="GV37" s="131"/>
      <c r="GW37" s="153"/>
      <c r="GX37" s="419"/>
      <c r="GY37" s="74"/>
      <c r="GZ37" s="441"/>
      <c r="HA37" s="442">
        <v>0</v>
      </c>
      <c r="HD37" s="406"/>
    </row>
    <row r="38" spans="1:212" x14ac:dyDescent="0.25">
      <c r="A38"/>
      <c r="D38" s="35"/>
      <c r="E38" s="36"/>
      <c r="F38" s="37"/>
      <c r="G38" s="38"/>
      <c r="H38" s="39"/>
      <c r="I38" s="40"/>
      <c r="J38" s="68" t="s">
        <v>152</v>
      </c>
      <c r="K38" s="69" t="s">
        <v>149</v>
      </c>
      <c r="L38" s="69">
        <v>230</v>
      </c>
      <c r="M38" s="70">
        <v>24470</v>
      </c>
      <c r="N38" s="71">
        <v>42792</v>
      </c>
      <c r="O38" s="380" t="s">
        <v>262</v>
      </c>
      <c r="P38" s="72">
        <v>26810</v>
      </c>
      <c r="Q38" s="113">
        <f t="shared" si="1"/>
        <v>2340</v>
      </c>
      <c r="R38" s="117">
        <v>26</v>
      </c>
      <c r="S38" s="117"/>
      <c r="T38" s="111"/>
      <c r="U38" s="39">
        <f t="shared" si="2"/>
        <v>697060</v>
      </c>
      <c r="V38" s="363" t="s">
        <v>72</v>
      </c>
      <c r="W38" s="353">
        <v>42821</v>
      </c>
      <c r="X38" s="368">
        <v>17342</v>
      </c>
      <c r="Y38" s="355"/>
      <c r="Z38" s="356"/>
      <c r="AA38" s="357"/>
      <c r="AB38" s="358"/>
      <c r="AC38" s="357"/>
      <c r="AD38" s="359"/>
      <c r="AE38" s="360"/>
      <c r="AF38" s="355"/>
      <c r="AG38" s="355"/>
      <c r="AH38" s="355"/>
      <c r="AI38" s="356"/>
      <c r="AJ38" s="357"/>
      <c r="AK38" s="358"/>
      <c r="AL38" s="357"/>
      <c r="AM38" s="359"/>
      <c r="AN38" s="360"/>
      <c r="AO38" s="355"/>
      <c r="AP38" s="355"/>
      <c r="AQ38" s="355"/>
      <c r="AR38" s="356"/>
      <c r="AS38" s="357"/>
      <c r="AT38" s="358"/>
      <c r="AU38" s="357"/>
      <c r="AV38" s="359"/>
      <c r="AW38" s="360"/>
      <c r="AX38" s="355"/>
      <c r="AY38" s="355"/>
      <c r="AZ38" s="355"/>
      <c r="BA38" s="356"/>
      <c r="BB38" s="357"/>
      <c r="BC38" s="358"/>
      <c r="BD38" s="357"/>
      <c r="BE38" s="359"/>
      <c r="BF38" s="360"/>
      <c r="BG38" s="355"/>
      <c r="BH38" s="355"/>
      <c r="BI38" s="355"/>
      <c r="BJ38" s="356"/>
      <c r="BK38" s="357"/>
      <c r="BL38" s="358"/>
      <c r="BM38" s="357"/>
      <c r="BN38" s="359"/>
      <c r="BO38" s="360"/>
      <c r="BP38" s="355"/>
      <c r="BQ38" s="355"/>
      <c r="BR38" s="355"/>
      <c r="BS38" s="356"/>
      <c r="BT38" s="357"/>
      <c r="BU38" s="358"/>
      <c r="BV38" s="357"/>
      <c r="BW38" s="359"/>
      <c r="BX38" s="360"/>
      <c r="BY38" s="355"/>
      <c r="BZ38" s="355"/>
      <c r="CA38" s="355"/>
      <c r="CB38" s="356"/>
      <c r="CC38" s="357"/>
      <c r="CD38" s="358"/>
      <c r="CE38" s="357"/>
      <c r="CF38" s="359"/>
      <c r="CG38" s="360"/>
      <c r="CH38" s="355"/>
      <c r="CI38" s="355"/>
      <c r="CJ38" s="355"/>
      <c r="CK38" s="356"/>
      <c r="CL38" s="357"/>
      <c r="CM38" s="358"/>
      <c r="CN38" s="357"/>
      <c r="CO38" s="359"/>
      <c r="CP38" s="360"/>
      <c r="CQ38" s="355"/>
      <c r="CR38" s="355"/>
      <c r="CS38" s="355"/>
      <c r="CT38" s="356"/>
      <c r="CU38" s="357"/>
      <c r="CV38" s="358"/>
      <c r="CW38" s="357"/>
      <c r="CX38" s="359"/>
      <c r="CY38" s="360"/>
      <c r="CZ38" s="355"/>
      <c r="DA38" s="355"/>
      <c r="DB38" s="355"/>
      <c r="DC38" s="356"/>
      <c r="DD38" s="357"/>
      <c r="DE38" s="358"/>
      <c r="DF38" s="357"/>
      <c r="DG38" s="359"/>
      <c r="DH38" s="360"/>
      <c r="DI38" s="355"/>
      <c r="DJ38" s="355"/>
      <c r="DK38" s="355"/>
      <c r="DL38" s="356"/>
      <c r="DM38" s="357"/>
      <c r="DN38" s="358"/>
      <c r="DO38" s="357"/>
      <c r="DP38" s="359"/>
      <c r="DQ38" s="360"/>
      <c r="DR38" s="355"/>
      <c r="DS38" s="355"/>
      <c r="DT38" s="355"/>
      <c r="DU38" s="356"/>
      <c r="DV38" s="357"/>
      <c r="DW38" s="358"/>
      <c r="DX38" s="357"/>
      <c r="DY38" s="359"/>
      <c r="DZ38" s="360"/>
      <c r="EA38" s="355"/>
      <c r="EB38" s="355"/>
      <c r="EC38" s="355"/>
      <c r="ED38" s="356"/>
      <c r="EE38" s="357"/>
      <c r="EF38" s="358"/>
      <c r="EG38" s="357"/>
      <c r="EH38" s="359"/>
      <c r="EI38" s="360"/>
      <c r="EJ38" s="355"/>
      <c r="EK38" s="355"/>
      <c r="EL38" s="355"/>
      <c r="EM38" s="356"/>
      <c r="EN38" s="357"/>
      <c r="EO38" s="358"/>
      <c r="EP38" s="357"/>
      <c r="EQ38" s="359"/>
      <c r="ER38" s="360"/>
      <c r="ES38" s="355"/>
      <c r="ET38" s="355"/>
      <c r="EU38" s="355"/>
      <c r="EV38" s="356"/>
      <c r="EW38" s="357"/>
      <c r="EX38" s="358"/>
      <c r="EY38" s="357"/>
      <c r="EZ38" s="359"/>
      <c r="FA38" s="360"/>
      <c r="FB38" s="355"/>
      <c r="FC38" s="355"/>
      <c r="FD38" s="355"/>
      <c r="FE38" s="356"/>
      <c r="FF38" s="357"/>
      <c r="FG38" s="358"/>
      <c r="FH38" s="357"/>
      <c r="FI38" s="359"/>
      <c r="FJ38" s="360"/>
      <c r="FK38" s="355"/>
      <c r="FL38" s="355"/>
      <c r="FM38" s="355"/>
      <c r="FN38" s="356"/>
      <c r="FO38" s="357"/>
      <c r="FP38" s="358"/>
      <c r="FQ38" s="357"/>
      <c r="FR38" s="359"/>
      <c r="FS38" s="360"/>
      <c r="FT38" s="355"/>
      <c r="FU38" s="355"/>
      <c r="FV38" s="355"/>
      <c r="FW38" s="356"/>
      <c r="FX38" s="357"/>
      <c r="FY38" s="358"/>
      <c r="FZ38" s="357"/>
      <c r="GA38" s="359"/>
      <c r="GB38" s="360"/>
      <c r="GC38" s="355"/>
      <c r="GD38" s="355"/>
      <c r="GE38" s="355"/>
      <c r="GF38" s="356"/>
      <c r="GG38" s="357"/>
      <c r="GH38" s="358"/>
      <c r="GI38" s="357"/>
      <c r="GJ38" s="359"/>
      <c r="GK38" s="360"/>
      <c r="GL38" s="355"/>
      <c r="GM38" s="355"/>
      <c r="GN38" s="355"/>
      <c r="GO38" s="356"/>
      <c r="GP38" s="357"/>
      <c r="GQ38" s="358"/>
      <c r="GR38" s="357"/>
      <c r="GS38" s="359"/>
      <c r="GT38" s="360"/>
      <c r="GU38" s="362">
        <v>42821</v>
      </c>
      <c r="GV38" s="411"/>
      <c r="GW38" s="412"/>
      <c r="GX38" s="413"/>
      <c r="GY38" s="74"/>
      <c r="GZ38" s="444">
        <v>42824</v>
      </c>
      <c r="HA38" s="442">
        <v>3712</v>
      </c>
      <c r="HD38" s="406"/>
    </row>
    <row r="39" spans="1:212" x14ac:dyDescent="0.25">
      <c r="A39"/>
      <c r="D39" s="35"/>
      <c r="E39" s="36"/>
      <c r="F39" s="37"/>
      <c r="G39" s="38"/>
      <c r="H39" s="39"/>
      <c r="I39" s="40"/>
      <c r="J39" s="68" t="s">
        <v>38</v>
      </c>
      <c r="K39" s="69" t="s">
        <v>154</v>
      </c>
      <c r="L39" s="69">
        <v>30</v>
      </c>
      <c r="M39" s="70"/>
      <c r="N39" s="71">
        <v>42792</v>
      </c>
      <c r="O39" s="381" t="s">
        <v>245</v>
      </c>
      <c r="P39" s="72">
        <v>3590</v>
      </c>
      <c r="Q39" s="113">
        <f t="shared" si="1"/>
        <v>3590</v>
      </c>
      <c r="R39" s="117">
        <v>26</v>
      </c>
      <c r="S39" s="893"/>
      <c r="T39" s="894"/>
      <c r="U39" s="39">
        <f>R39*P39</f>
        <v>93340</v>
      </c>
      <c r="V39" s="363" t="s">
        <v>72</v>
      </c>
      <c r="W39" s="353">
        <v>42816</v>
      </c>
      <c r="X39" s="368">
        <v>2262</v>
      </c>
      <c r="Y39" s="355"/>
      <c r="Z39" s="356"/>
      <c r="AA39" s="357"/>
      <c r="AB39" s="358"/>
      <c r="AC39" s="357"/>
      <c r="AD39" s="359"/>
      <c r="AE39" s="360"/>
      <c r="AF39" s="355"/>
      <c r="AG39" s="355"/>
      <c r="AH39" s="355"/>
      <c r="AI39" s="356"/>
      <c r="AJ39" s="357"/>
      <c r="AK39" s="358"/>
      <c r="AL39" s="357"/>
      <c r="AM39" s="359"/>
      <c r="AN39" s="360"/>
      <c r="AO39" s="355"/>
      <c r="AP39" s="355"/>
      <c r="AQ39" s="355"/>
      <c r="AR39" s="356"/>
      <c r="AS39" s="357"/>
      <c r="AT39" s="358"/>
      <c r="AU39" s="357"/>
      <c r="AV39" s="359"/>
      <c r="AW39" s="360"/>
      <c r="AX39" s="355"/>
      <c r="AY39" s="355"/>
      <c r="AZ39" s="355"/>
      <c r="BA39" s="356"/>
      <c r="BB39" s="357"/>
      <c r="BC39" s="358"/>
      <c r="BD39" s="357"/>
      <c r="BE39" s="359"/>
      <c r="BF39" s="360"/>
      <c r="BG39" s="355"/>
      <c r="BH39" s="355"/>
      <c r="BI39" s="355"/>
      <c r="BJ39" s="356"/>
      <c r="BK39" s="357"/>
      <c r="BL39" s="358"/>
      <c r="BM39" s="357"/>
      <c r="BN39" s="359"/>
      <c r="BO39" s="360"/>
      <c r="BP39" s="355"/>
      <c r="BQ39" s="355"/>
      <c r="BR39" s="355"/>
      <c r="BS39" s="356"/>
      <c r="BT39" s="357"/>
      <c r="BU39" s="358"/>
      <c r="BV39" s="357"/>
      <c r="BW39" s="359"/>
      <c r="BX39" s="360"/>
      <c r="BY39" s="355"/>
      <c r="BZ39" s="355"/>
      <c r="CA39" s="355"/>
      <c r="CB39" s="356"/>
      <c r="CC39" s="357"/>
      <c r="CD39" s="358"/>
      <c r="CE39" s="357"/>
      <c r="CF39" s="359"/>
      <c r="CG39" s="360"/>
      <c r="CH39" s="355"/>
      <c r="CI39" s="355"/>
      <c r="CJ39" s="355"/>
      <c r="CK39" s="356"/>
      <c r="CL39" s="357"/>
      <c r="CM39" s="358"/>
      <c r="CN39" s="357"/>
      <c r="CO39" s="359"/>
      <c r="CP39" s="360"/>
      <c r="CQ39" s="355"/>
      <c r="CR39" s="355"/>
      <c r="CS39" s="355"/>
      <c r="CT39" s="356"/>
      <c r="CU39" s="357"/>
      <c r="CV39" s="358"/>
      <c r="CW39" s="357"/>
      <c r="CX39" s="359"/>
      <c r="CY39" s="360"/>
      <c r="CZ39" s="355"/>
      <c r="DA39" s="355"/>
      <c r="DB39" s="355"/>
      <c r="DC39" s="356"/>
      <c r="DD39" s="357"/>
      <c r="DE39" s="358"/>
      <c r="DF39" s="357"/>
      <c r="DG39" s="359"/>
      <c r="DH39" s="360"/>
      <c r="DI39" s="355"/>
      <c r="DJ39" s="355"/>
      <c r="DK39" s="355"/>
      <c r="DL39" s="356"/>
      <c r="DM39" s="357"/>
      <c r="DN39" s="358"/>
      <c r="DO39" s="357"/>
      <c r="DP39" s="359"/>
      <c r="DQ39" s="360"/>
      <c r="DR39" s="355"/>
      <c r="DS39" s="355"/>
      <c r="DT39" s="355"/>
      <c r="DU39" s="356"/>
      <c r="DV39" s="357"/>
      <c r="DW39" s="358"/>
      <c r="DX39" s="357"/>
      <c r="DY39" s="359"/>
      <c r="DZ39" s="360"/>
      <c r="EA39" s="355"/>
      <c r="EB39" s="355"/>
      <c r="EC39" s="355"/>
      <c r="ED39" s="356"/>
      <c r="EE39" s="357"/>
      <c r="EF39" s="358"/>
      <c r="EG39" s="357"/>
      <c r="EH39" s="359"/>
      <c r="EI39" s="360"/>
      <c r="EJ39" s="355"/>
      <c r="EK39" s="355"/>
      <c r="EL39" s="355"/>
      <c r="EM39" s="356"/>
      <c r="EN39" s="357"/>
      <c r="EO39" s="358"/>
      <c r="EP39" s="357"/>
      <c r="EQ39" s="359"/>
      <c r="ER39" s="360"/>
      <c r="ES39" s="355"/>
      <c r="ET39" s="355"/>
      <c r="EU39" s="355"/>
      <c r="EV39" s="356"/>
      <c r="EW39" s="357"/>
      <c r="EX39" s="358"/>
      <c r="EY39" s="357"/>
      <c r="EZ39" s="359"/>
      <c r="FA39" s="360"/>
      <c r="FB39" s="355"/>
      <c r="FC39" s="355"/>
      <c r="FD39" s="355"/>
      <c r="FE39" s="356"/>
      <c r="FF39" s="357"/>
      <c r="FG39" s="358"/>
      <c r="FH39" s="357"/>
      <c r="FI39" s="359"/>
      <c r="FJ39" s="360"/>
      <c r="FK39" s="355"/>
      <c r="FL39" s="355"/>
      <c r="FM39" s="355"/>
      <c r="FN39" s="356"/>
      <c r="FO39" s="357"/>
      <c r="FP39" s="358"/>
      <c r="FQ39" s="357"/>
      <c r="FR39" s="359"/>
      <c r="FS39" s="360"/>
      <c r="FT39" s="355"/>
      <c r="FU39" s="355"/>
      <c r="FV39" s="355"/>
      <c r="FW39" s="356"/>
      <c r="FX39" s="357"/>
      <c r="FY39" s="358"/>
      <c r="FZ39" s="357"/>
      <c r="GA39" s="359"/>
      <c r="GB39" s="360"/>
      <c r="GC39" s="355"/>
      <c r="GD39" s="355"/>
      <c r="GE39" s="355"/>
      <c r="GF39" s="356"/>
      <c r="GG39" s="357"/>
      <c r="GH39" s="358"/>
      <c r="GI39" s="357"/>
      <c r="GJ39" s="359"/>
      <c r="GK39" s="360"/>
      <c r="GL39" s="355"/>
      <c r="GM39" s="355"/>
      <c r="GN39" s="355"/>
      <c r="GO39" s="356"/>
      <c r="GP39" s="357"/>
      <c r="GQ39" s="358"/>
      <c r="GR39" s="357"/>
      <c r="GS39" s="359"/>
      <c r="GT39" s="360"/>
      <c r="GU39" s="362">
        <v>42816</v>
      </c>
      <c r="GV39" s="411"/>
      <c r="GW39" s="412"/>
      <c r="GX39" s="413"/>
      <c r="GY39" s="74"/>
      <c r="GZ39" s="441"/>
      <c r="HA39" s="442">
        <v>0</v>
      </c>
      <c r="HD39" s="406"/>
    </row>
    <row r="40" spans="1:212" x14ac:dyDescent="0.25">
      <c r="A40"/>
      <c r="D40" s="35"/>
      <c r="E40" s="36"/>
      <c r="F40" s="37"/>
      <c r="G40" s="38"/>
      <c r="H40" s="39"/>
      <c r="I40" s="40"/>
      <c r="J40" s="68" t="s">
        <v>153</v>
      </c>
      <c r="K40" s="69" t="s">
        <v>155</v>
      </c>
      <c r="L40" s="69">
        <v>130</v>
      </c>
      <c r="M40" s="70">
        <v>11840</v>
      </c>
      <c r="N40" s="71">
        <v>42793</v>
      </c>
      <c r="O40" s="380" t="s">
        <v>244</v>
      </c>
      <c r="P40" s="72">
        <v>14600</v>
      </c>
      <c r="Q40" s="113">
        <f t="shared" si="1"/>
        <v>2760</v>
      </c>
      <c r="R40" s="117">
        <v>26</v>
      </c>
      <c r="S40" s="117"/>
      <c r="T40" s="117"/>
      <c r="U40" s="39">
        <f t="shared" ref="U40:U43" si="3">R40*P40+T40+0</f>
        <v>379600</v>
      </c>
      <c r="V40" s="363" t="s">
        <v>72</v>
      </c>
      <c r="W40" s="353">
        <v>42816</v>
      </c>
      <c r="X40" s="368">
        <v>9802</v>
      </c>
      <c r="Y40" s="355"/>
      <c r="Z40" s="356"/>
      <c r="AA40" s="357"/>
      <c r="AB40" s="358"/>
      <c r="AC40" s="357"/>
      <c r="AD40" s="359"/>
      <c r="AE40" s="360"/>
      <c r="AF40" s="355"/>
      <c r="AG40" s="355"/>
      <c r="AH40" s="355"/>
      <c r="AI40" s="356"/>
      <c r="AJ40" s="357"/>
      <c r="AK40" s="358"/>
      <c r="AL40" s="357"/>
      <c r="AM40" s="359"/>
      <c r="AN40" s="360"/>
      <c r="AO40" s="355"/>
      <c r="AP40" s="355"/>
      <c r="AQ40" s="355"/>
      <c r="AR40" s="356"/>
      <c r="AS40" s="357"/>
      <c r="AT40" s="358"/>
      <c r="AU40" s="357"/>
      <c r="AV40" s="359"/>
      <c r="AW40" s="360"/>
      <c r="AX40" s="355"/>
      <c r="AY40" s="355"/>
      <c r="AZ40" s="355"/>
      <c r="BA40" s="356"/>
      <c r="BB40" s="357"/>
      <c r="BC40" s="358"/>
      <c r="BD40" s="357"/>
      <c r="BE40" s="359"/>
      <c r="BF40" s="360"/>
      <c r="BG40" s="355"/>
      <c r="BH40" s="355"/>
      <c r="BI40" s="355"/>
      <c r="BJ40" s="356"/>
      <c r="BK40" s="357"/>
      <c r="BL40" s="358"/>
      <c r="BM40" s="357"/>
      <c r="BN40" s="359"/>
      <c r="BO40" s="360"/>
      <c r="BP40" s="355"/>
      <c r="BQ40" s="355"/>
      <c r="BR40" s="355"/>
      <c r="BS40" s="356"/>
      <c r="BT40" s="357"/>
      <c r="BU40" s="358"/>
      <c r="BV40" s="357"/>
      <c r="BW40" s="359"/>
      <c r="BX40" s="360"/>
      <c r="BY40" s="355"/>
      <c r="BZ40" s="355"/>
      <c r="CA40" s="355"/>
      <c r="CB40" s="356"/>
      <c r="CC40" s="357"/>
      <c r="CD40" s="358"/>
      <c r="CE40" s="357"/>
      <c r="CF40" s="359"/>
      <c r="CG40" s="360"/>
      <c r="CH40" s="355"/>
      <c r="CI40" s="355"/>
      <c r="CJ40" s="355"/>
      <c r="CK40" s="356"/>
      <c r="CL40" s="357"/>
      <c r="CM40" s="358"/>
      <c r="CN40" s="357"/>
      <c r="CO40" s="359"/>
      <c r="CP40" s="360"/>
      <c r="CQ40" s="355"/>
      <c r="CR40" s="355"/>
      <c r="CS40" s="355"/>
      <c r="CT40" s="356"/>
      <c r="CU40" s="357"/>
      <c r="CV40" s="358"/>
      <c r="CW40" s="357"/>
      <c r="CX40" s="359"/>
      <c r="CY40" s="360"/>
      <c r="CZ40" s="355"/>
      <c r="DA40" s="355"/>
      <c r="DB40" s="355"/>
      <c r="DC40" s="356"/>
      <c r="DD40" s="357"/>
      <c r="DE40" s="358"/>
      <c r="DF40" s="357"/>
      <c r="DG40" s="359"/>
      <c r="DH40" s="360"/>
      <c r="DI40" s="355"/>
      <c r="DJ40" s="355"/>
      <c r="DK40" s="355"/>
      <c r="DL40" s="356"/>
      <c r="DM40" s="357"/>
      <c r="DN40" s="358"/>
      <c r="DO40" s="357"/>
      <c r="DP40" s="359"/>
      <c r="DQ40" s="360"/>
      <c r="DR40" s="355"/>
      <c r="DS40" s="355"/>
      <c r="DT40" s="355"/>
      <c r="DU40" s="356"/>
      <c r="DV40" s="357"/>
      <c r="DW40" s="358"/>
      <c r="DX40" s="357"/>
      <c r="DY40" s="359"/>
      <c r="DZ40" s="360"/>
      <c r="EA40" s="355"/>
      <c r="EB40" s="355"/>
      <c r="EC40" s="355"/>
      <c r="ED40" s="356"/>
      <c r="EE40" s="357"/>
      <c r="EF40" s="358"/>
      <c r="EG40" s="357"/>
      <c r="EH40" s="359"/>
      <c r="EI40" s="360"/>
      <c r="EJ40" s="355"/>
      <c r="EK40" s="355"/>
      <c r="EL40" s="355"/>
      <c r="EM40" s="356"/>
      <c r="EN40" s="357"/>
      <c r="EO40" s="358"/>
      <c r="EP40" s="357"/>
      <c r="EQ40" s="359"/>
      <c r="ER40" s="360"/>
      <c r="ES40" s="355"/>
      <c r="ET40" s="355"/>
      <c r="EU40" s="355"/>
      <c r="EV40" s="356"/>
      <c r="EW40" s="357"/>
      <c r="EX40" s="358"/>
      <c r="EY40" s="357"/>
      <c r="EZ40" s="359"/>
      <c r="FA40" s="360"/>
      <c r="FB40" s="355"/>
      <c r="FC40" s="355"/>
      <c r="FD40" s="355"/>
      <c r="FE40" s="356"/>
      <c r="FF40" s="357"/>
      <c r="FG40" s="358"/>
      <c r="FH40" s="357"/>
      <c r="FI40" s="359"/>
      <c r="FJ40" s="360"/>
      <c r="FK40" s="355"/>
      <c r="FL40" s="355"/>
      <c r="FM40" s="355"/>
      <c r="FN40" s="356"/>
      <c r="FO40" s="357"/>
      <c r="FP40" s="358"/>
      <c r="FQ40" s="357"/>
      <c r="FR40" s="359"/>
      <c r="FS40" s="360"/>
      <c r="FT40" s="355"/>
      <c r="FU40" s="355"/>
      <c r="FV40" s="355"/>
      <c r="FW40" s="356"/>
      <c r="FX40" s="357"/>
      <c r="FY40" s="358"/>
      <c r="FZ40" s="357"/>
      <c r="GA40" s="359"/>
      <c r="GB40" s="360"/>
      <c r="GC40" s="355"/>
      <c r="GD40" s="355"/>
      <c r="GE40" s="355"/>
      <c r="GF40" s="356"/>
      <c r="GG40" s="357"/>
      <c r="GH40" s="358"/>
      <c r="GI40" s="357"/>
      <c r="GJ40" s="359"/>
      <c r="GK40" s="360"/>
      <c r="GL40" s="355"/>
      <c r="GM40" s="355"/>
      <c r="GN40" s="355"/>
      <c r="GO40" s="356"/>
      <c r="GP40" s="357"/>
      <c r="GQ40" s="358"/>
      <c r="GR40" s="357"/>
      <c r="GS40" s="359"/>
      <c r="GT40" s="360"/>
      <c r="GU40" s="362">
        <v>42816</v>
      </c>
      <c r="GV40" s="411"/>
      <c r="GW40" s="412">
        <v>17584</v>
      </c>
      <c r="GX40" s="413" t="s">
        <v>218</v>
      </c>
      <c r="GY40" s="132"/>
      <c r="GZ40" s="444">
        <v>42824</v>
      </c>
      <c r="HA40" s="442">
        <v>2088</v>
      </c>
      <c r="HD40" s="406"/>
    </row>
    <row r="41" spans="1:212" x14ac:dyDescent="0.25">
      <c r="A41"/>
      <c r="D41" s="35"/>
      <c r="E41" s="36"/>
      <c r="F41" s="37"/>
      <c r="G41" s="38"/>
      <c r="H41" s="39"/>
      <c r="I41" s="40"/>
      <c r="J41" s="76" t="s">
        <v>42</v>
      </c>
      <c r="K41" s="69" t="s">
        <v>156</v>
      </c>
      <c r="L41" s="69">
        <v>200</v>
      </c>
      <c r="M41" s="70">
        <v>18790</v>
      </c>
      <c r="N41" s="71">
        <v>42794</v>
      </c>
      <c r="O41" s="381" t="s">
        <v>246</v>
      </c>
      <c r="P41" s="72">
        <v>23340</v>
      </c>
      <c r="Q41" s="113">
        <f t="shared" si="1"/>
        <v>4550</v>
      </c>
      <c r="R41" s="117">
        <v>26</v>
      </c>
      <c r="S41" s="117"/>
      <c r="T41" s="117"/>
      <c r="U41" s="39">
        <f t="shared" si="3"/>
        <v>606840</v>
      </c>
      <c r="V41" s="363" t="s">
        <v>72</v>
      </c>
      <c r="W41" s="353">
        <v>42818</v>
      </c>
      <c r="X41" s="368">
        <v>15080</v>
      </c>
      <c r="Y41" s="355"/>
      <c r="Z41" s="356"/>
      <c r="AA41" s="357"/>
      <c r="AB41" s="358"/>
      <c r="AC41" s="357"/>
      <c r="AD41" s="359"/>
      <c r="AE41" s="360"/>
      <c r="AF41" s="355"/>
      <c r="AG41" s="355"/>
      <c r="AH41" s="355"/>
      <c r="AI41" s="356"/>
      <c r="AJ41" s="357"/>
      <c r="AK41" s="358"/>
      <c r="AL41" s="357"/>
      <c r="AM41" s="359"/>
      <c r="AN41" s="360"/>
      <c r="AO41" s="355"/>
      <c r="AP41" s="355"/>
      <c r="AQ41" s="355"/>
      <c r="AR41" s="356"/>
      <c r="AS41" s="357"/>
      <c r="AT41" s="358"/>
      <c r="AU41" s="357"/>
      <c r="AV41" s="359"/>
      <c r="AW41" s="360"/>
      <c r="AX41" s="355"/>
      <c r="AY41" s="355"/>
      <c r="AZ41" s="355"/>
      <c r="BA41" s="356"/>
      <c r="BB41" s="357"/>
      <c r="BC41" s="358"/>
      <c r="BD41" s="357"/>
      <c r="BE41" s="359"/>
      <c r="BF41" s="360"/>
      <c r="BG41" s="355"/>
      <c r="BH41" s="355"/>
      <c r="BI41" s="355"/>
      <c r="BJ41" s="356"/>
      <c r="BK41" s="357"/>
      <c r="BL41" s="358"/>
      <c r="BM41" s="357"/>
      <c r="BN41" s="359"/>
      <c r="BO41" s="360"/>
      <c r="BP41" s="355"/>
      <c r="BQ41" s="355"/>
      <c r="BR41" s="355"/>
      <c r="BS41" s="356"/>
      <c r="BT41" s="357"/>
      <c r="BU41" s="358"/>
      <c r="BV41" s="357"/>
      <c r="BW41" s="359"/>
      <c r="BX41" s="360"/>
      <c r="BY41" s="355"/>
      <c r="BZ41" s="355"/>
      <c r="CA41" s="355"/>
      <c r="CB41" s="356"/>
      <c r="CC41" s="357"/>
      <c r="CD41" s="358"/>
      <c r="CE41" s="357"/>
      <c r="CF41" s="359"/>
      <c r="CG41" s="360"/>
      <c r="CH41" s="355"/>
      <c r="CI41" s="355"/>
      <c r="CJ41" s="355"/>
      <c r="CK41" s="356"/>
      <c r="CL41" s="357"/>
      <c r="CM41" s="358"/>
      <c r="CN41" s="357"/>
      <c r="CO41" s="359"/>
      <c r="CP41" s="360"/>
      <c r="CQ41" s="355"/>
      <c r="CR41" s="355"/>
      <c r="CS41" s="355"/>
      <c r="CT41" s="356"/>
      <c r="CU41" s="357"/>
      <c r="CV41" s="358"/>
      <c r="CW41" s="357"/>
      <c r="CX41" s="359"/>
      <c r="CY41" s="360"/>
      <c r="CZ41" s="355"/>
      <c r="DA41" s="355"/>
      <c r="DB41" s="355"/>
      <c r="DC41" s="356"/>
      <c r="DD41" s="357"/>
      <c r="DE41" s="358"/>
      <c r="DF41" s="357"/>
      <c r="DG41" s="359"/>
      <c r="DH41" s="360"/>
      <c r="DI41" s="355"/>
      <c r="DJ41" s="355"/>
      <c r="DK41" s="355"/>
      <c r="DL41" s="356"/>
      <c r="DM41" s="357"/>
      <c r="DN41" s="358"/>
      <c r="DO41" s="357"/>
      <c r="DP41" s="359"/>
      <c r="DQ41" s="360"/>
      <c r="DR41" s="355"/>
      <c r="DS41" s="355"/>
      <c r="DT41" s="355"/>
      <c r="DU41" s="356"/>
      <c r="DV41" s="357"/>
      <c r="DW41" s="358"/>
      <c r="DX41" s="357"/>
      <c r="DY41" s="359"/>
      <c r="DZ41" s="360"/>
      <c r="EA41" s="355"/>
      <c r="EB41" s="355"/>
      <c r="EC41" s="355"/>
      <c r="ED41" s="356"/>
      <c r="EE41" s="357"/>
      <c r="EF41" s="358"/>
      <c r="EG41" s="357"/>
      <c r="EH41" s="359"/>
      <c r="EI41" s="360"/>
      <c r="EJ41" s="355"/>
      <c r="EK41" s="355"/>
      <c r="EL41" s="355"/>
      <c r="EM41" s="356"/>
      <c r="EN41" s="357"/>
      <c r="EO41" s="358"/>
      <c r="EP41" s="357"/>
      <c r="EQ41" s="359"/>
      <c r="ER41" s="360"/>
      <c r="ES41" s="355"/>
      <c r="ET41" s="355"/>
      <c r="EU41" s="355"/>
      <c r="EV41" s="356"/>
      <c r="EW41" s="357"/>
      <c r="EX41" s="358"/>
      <c r="EY41" s="357"/>
      <c r="EZ41" s="359"/>
      <c r="FA41" s="360"/>
      <c r="FB41" s="355"/>
      <c r="FC41" s="355"/>
      <c r="FD41" s="355"/>
      <c r="FE41" s="356"/>
      <c r="FF41" s="357"/>
      <c r="FG41" s="358"/>
      <c r="FH41" s="357"/>
      <c r="FI41" s="359"/>
      <c r="FJ41" s="360"/>
      <c r="FK41" s="355"/>
      <c r="FL41" s="355"/>
      <c r="FM41" s="355"/>
      <c r="FN41" s="356"/>
      <c r="FO41" s="357"/>
      <c r="FP41" s="358"/>
      <c r="FQ41" s="357"/>
      <c r="FR41" s="359"/>
      <c r="FS41" s="360"/>
      <c r="FT41" s="355"/>
      <c r="FU41" s="355"/>
      <c r="FV41" s="355"/>
      <c r="FW41" s="356"/>
      <c r="FX41" s="357"/>
      <c r="FY41" s="358"/>
      <c r="FZ41" s="357"/>
      <c r="GA41" s="359"/>
      <c r="GB41" s="360"/>
      <c r="GC41" s="355"/>
      <c r="GD41" s="355"/>
      <c r="GE41" s="355"/>
      <c r="GF41" s="356"/>
      <c r="GG41" s="357"/>
      <c r="GH41" s="358"/>
      <c r="GI41" s="357"/>
      <c r="GJ41" s="359"/>
      <c r="GK41" s="360"/>
      <c r="GL41" s="355"/>
      <c r="GM41" s="355"/>
      <c r="GN41" s="355"/>
      <c r="GO41" s="356"/>
      <c r="GP41" s="357"/>
      <c r="GQ41" s="358"/>
      <c r="GR41" s="357"/>
      <c r="GS41" s="359"/>
      <c r="GT41" s="360"/>
      <c r="GU41" s="370">
        <v>42818</v>
      </c>
      <c r="GV41" s="411"/>
      <c r="GW41" s="412"/>
      <c r="GX41" s="413"/>
      <c r="GY41" s="74"/>
      <c r="GZ41" s="441">
        <v>42824</v>
      </c>
      <c r="HA41" s="442">
        <v>3712</v>
      </c>
      <c r="HD41" s="406"/>
    </row>
    <row r="42" spans="1:212" x14ac:dyDescent="0.25">
      <c r="A42"/>
      <c r="D42" s="35"/>
      <c r="E42" s="36"/>
      <c r="F42" s="37"/>
      <c r="G42" s="38"/>
      <c r="H42" s="39"/>
      <c r="I42" s="40"/>
      <c r="J42" s="76"/>
      <c r="K42" s="123"/>
      <c r="L42" s="123">
        <v>0</v>
      </c>
      <c r="M42" s="70"/>
      <c r="N42" s="71"/>
      <c r="O42" s="381"/>
      <c r="P42" s="72"/>
      <c r="Q42" s="113">
        <f t="shared" si="1"/>
        <v>0</v>
      </c>
      <c r="R42" s="117"/>
      <c r="S42" s="117"/>
      <c r="T42" s="117"/>
      <c r="U42" s="39">
        <f t="shared" si="3"/>
        <v>0</v>
      </c>
      <c r="V42" s="375"/>
      <c r="W42" s="144"/>
      <c r="X42" s="377"/>
      <c r="Y42" s="146"/>
      <c r="Z42" s="147"/>
      <c r="AA42" s="148"/>
      <c r="AB42" s="149"/>
      <c r="AC42" s="148"/>
      <c r="AD42" s="150"/>
      <c r="AE42" s="151"/>
      <c r="AF42" s="146"/>
      <c r="AG42" s="146"/>
      <c r="AH42" s="146"/>
      <c r="AI42" s="147"/>
      <c r="AJ42" s="148"/>
      <c r="AK42" s="149"/>
      <c r="AL42" s="148"/>
      <c r="AM42" s="150"/>
      <c r="AN42" s="151"/>
      <c r="AO42" s="146"/>
      <c r="AP42" s="146"/>
      <c r="AQ42" s="146"/>
      <c r="AR42" s="147"/>
      <c r="AS42" s="148"/>
      <c r="AT42" s="149"/>
      <c r="AU42" s="148"/>
      <c r="AV42" s="150"/>
      <c r="AW42" s="151"/>
      <c r="AX42" s="146"/>
      <c r="AY42" s="146"/>
      <c r="AZ42" s="146"/>
      <c r="BA42" s="147"/>
      <c r="BB42" s="148"/>
      <c r="BC42" s="149"/>
      <c r="BD42" s="148"/>
      <c r="BE42" s="150"/>
      <c r="BF42" s="151"/>
      <c r="BG42" s="146"/>
      <c r="BH42" s="146"/>
      <c r="BI42" s="146"/>
      <c r="BJ42" s="147"/>
      <c r="BK42" s="148"/>
      <c r="BL42" s="149"/>
      <c r="BM42" s="148"/>
      <c r="BN42" s="150"/>
      <c r="BO42" s="151"/>
      <c r="BP42" s="146"/>
      <c r="BQ42" s="146"/>
      <c r="BR42" s="146"/>
      <c r="BS42" s="147"/>
      <c r="BT42" s="148"/>
      <c r="BU42" s="149"/>
      <c r="BV42" s="148"/>
      <c r="BW42" s="150"/>
      <c r="BX42" s="151"/>
      <c r="BY42" s="146"/>
      <c r="BZ42" s="146"/>
      <c r="CA42" s="146"/>
      <c r="CB42" s="147"/>
      <c r="CC42" s="148"/>
      <c r="CD42" s="149"/>
      <c r="CE42" s="148"/>
      <c r="CF42" s="150"/>
      <c r="CG42" s="151"/>
      <c r="CH42" s="146"/>
      <c r="CI42" s="146"/>
      <c r="CJ42" s="146"/>
      <c r="CK42" s="147"/>
      <c r="CL42" s="148"/>
      <c r="CM42" s="149"/>
      <c r="CN42" s="148"/>
      <c r="CO42" s="150"/>
      <c r="CP42" s="151"/>
      <c r="CQ42" s="146"/>
      <c r="CR42" s="146"/>
      <c r="CS42" s="146"/>
      <c r="CT42" s="147"/>
      <c r="CU42" s="148"/>
      <c r="CV42" s="149"/>
      <c r="CW42" s="148"/>
      <c r="CX42" s="150"/>
      <c r="CY42" s="151"/>
      <c r="CZ42" s="146"/>
      <c r="DA42" s="146"/>
      <c r="DB42" s="146"/>
      <c r="DC42" s="147"/>
      <c r="DD42" s="148"/>
      <c r="DE42" s="149"/>
      <c r="DF42" s="148"/>
      <c r="DG42" s="150"/>
      <c r="DH42" s="151"/>
      <c r="DI42" s="146"/>
      <c r="DJ42" s="146"/>
      <c r="DK42" s="146"/>
      <c r="DL42" s="147"/>
      <c r="DM42" s="148"/>
      <c r="DN42" s="149"/>
      <c r="DO42" s="148"/>
      <c r="DP42" s="150"/>
      <c r="DQ42" s="151"/>
      <c r="DR42" s="146"/>
      <c r="DS42" s="146"/>
      <c r="DT42" s="146"/>
      <c r="DU42" s="147"/>
      <c r="DV42" s="148"/>
      <c r="DW42" s="149"/>
      <c r="DX42" s="148"/>
      <c r="DY42" s="150"/>
      <c r="DZ42" s="151"/>
      <c r="EA42" s="146"/>
      <c r="EB42" s="146"/>
      <c r="EC42" s="146"/>
      <c r="ED42" s="147"/>
      <c r="EE42" s="148"/>
      <c r="EF42" s="149"/>
      <c r="EG42" s="148"/>
      <c r="EH42" s="150"/>
      <c r="EI42" s="151"/>
      <c r="EJ42" s="146"/>
      <c r="EK42" s="146"/>
      <c r="EL42" s="146"/>
      <c r="EM42" s="147"/>
      <c r="EN42" s="148"/>
      <c r="EO42" s="149"/>
      <c r="EP42" s="148"/>
      <c r="EQ42" s="150"/>
      <c r="ER42" s="151"/>
      <c r="ES42" s="146"/>
      <c r="ET42" s="146"/>
      <c r="EU42" s="146"/>
      <c r="EV42" s="147"/>
      <c r="EW42" s="148"/>
      <c r="EX42" s="149"/>
      <c r="EY42" s="148"/>
      <c r="EZ42" s="150"/>
      <c r="FA42" s="151"/>
      <c r="FB42" s="146"/>
      <c r="FC42" s="146"/>
      <c r="FD42" s="146"/>
      <c r="FE42" s="147"/>
      <c r="FF42" s="148"/>
      <c r="FG42" s="149"/>
      <c r="FH42" s="148"/>
      <c r="FI42" s="150"/>
      <c r="FJ42" s="151"/>
      <c r="FK42" s="146"/>
      <c r="FL42" s="146"/>
      <c r="FM42" s="146"/>
      <c r="FN42" s="147"/>
      <c r="FO42" s="148"/>
      <c r="FP42" s="149"/>
      <c r="FQ42" s="148"/>
      <c r="FR42" s="150"/>
      <c r="FS42" s="151"/>
      <c r="FT42" s="146"/>
      <c r="FU42" s="146"/>
      <c r="FV42" s="146"/>
      <c r="FW42" s="147"/>
      <c r="FX42" s="148"/>
      <c r="FY42" s="149"/>
      <c r="FZ42" s="148"/>
      <c r="GA42" s="150"/>
      <c r="GB42" s="151"/>
      <c r="GC42" s="146"/>
      <c r="GD42" s="146"/>
      <c r="GE42" s="146"/>
      <c r="GF42" s="147"/>
      <c r="GG42" s="148"/>
      <c r="GH42" s="149"/>
      <c r="GI42" s="148"/>
      <c r="GJ42" s="150"/>
      <c r="GK42" s="151"/>
      <c r="GL42" s="146"/>
      <c r="GM42" s="146"/>
      <c r="GN42" s="146"/>
      <c r="GO42" s="147"/>
      <c r="GP42" s="148"/>
      <c r="GQ42" s="149"/>
      <c r="GR42" s="148"/>
      <c r="GS42" s="150"/>
      <c r="GT42" s="151"/>
      <c r="GU42" s="378"/>
      <c r="GV42" s="98"/>
      <c r="GW42" s="133"/>
      <c r="GX42" s="134"/>
      <c r="GY42" s="134"/>
      <c r="GZ42" s="443"/>
      <c r="HA42" s="442"/>
      <c r="HD42" s="406"/>
    </row>
    <row r="43" spans="1:212" x14ac:dyDescent="0.25">
      <c r="A43"/>
      <c r="D43" s="35"/>
      <c r="E43" s="36"/>
      <c r="F43" s="37"/>
      <c r="G43" s="38"/>
      <c r="H43" s="39"/>
      <c r="I43" s="40"/>
      <c r="J43" s="68"/>
      <c r="K43" s="69"/>
      <c r="L43" s="69"/>
      <c r="M43" s="70"/>
      <c r="N43" s="71"/>
      <c r="O43" s="119"/>
      <c r="P43" s="72"/>
      <c r="Q43" s="113">
        <f t="shared" si="1"/>
        <v>0</v>
      </c>
      <c r="R43" s="117"/>
      <c r="S43" s="117"/>
      <c r="T43" s="117"/>
      <c r="U43" s="39">
        <f t="shared" si="3"/>
        <v>0</v>
      </c>
      <c r="V43" s="115"/>
      <c r="W43" s="112"/>
      <c r="X43" s="118"/>
      <c r="Y43" s="17"/>
      <c r="Z43" s="20"/>
      <c r="AA43" s="92"/>
      <c r="AB43" s="93"/>
      <c r="AC43" s="92"/>
      <c r="AD43" s="94"/>
      <c r="AE43" s="95"/>
      <c r="AF43" s="17"/>
      <c r="AG43" s="17"/>
      <c r="AH43" s="17"/>
      <c r="AI43" s="20"/>
      <c r="AJ43" s="92"/>
      <c r="AK43" s="93"/>
      <c r="AL43" s="92"/>
      <c r="AM43" s="94"/>
      <c r="AN43" s="95"/>
      <c r="AO43" s="17"/>
      <c r="AP43" s="17"/>
      <c r="AQ43" s="17"/>
      <c r="AR43" s="20"/>
      <c r="AS43" s="92"/>
      <c r="AT43" s="93"/>
      <c r="AU43" s="92"/>
      <c r="AV43" s="94"/>
      <c r="AW43" s="95"/>
      <c r="AX43" s="17"/>
      <c r="AY43" s="17"/>
      <c r="AZ43" s="17"/>
      <c r="BA43" s="20"/>
      <c r="BB43" s="92"/>
      <c r="BC43" s="93"/>
      <c r="BD43" s="92"/>
      <c r="BE43" s="94"/>
      <c r="BF43" s="95"/>
      <c r="BG43" s="17"/>
      <c r="BH43" s="17"/>
      <c r="BI43" s="17"/>
      <c r="BJ43" s="20"/>
      <c r="BK43" s="92"/>
      <c r="BL43" s="93"/>
      <c r="BM43" s="92"/>
      <c r="BN43" s="94"/>
      <c r="BO43" s="95"/>
      <c r="BP43" s="17"/>
      <c r="BQ43" s="17"/>
      <c r="BR43" s="17"/>
      <c r="BS43" s="20"/>
      <c r="BT43" s="92"/>
      <c r="BU43" s="93"/>
      <c r="BV43" s="92"/>
      <c r="BW43" s="94"/>
      <c r="BX43" s="95"/>
      <c r="BY43" s="17"/>
      <c r="BZ43" s="17"/>
      <c r="CA43" s="17"/>
      <c r="CB43" s="20"/>
      <c r="CC43" s="92"/>
      <c r="CD43" s="93"/>
      <c r="CE43" s="92"/>
      <c r="CF43" s="94"/>
      <c r="CG43" s="95"/>
      <c r="CH43" s="17"/>
      <c r="CI43" s="17"/>
      <c r="CJ43" s="17"/>
      <c r="CK43" s="20"/>
      <c r="CL43" s="92"/>
      <c r="CM43" s="93"/>
      <c r="CN43" s="92"/>
      <c r="CO43" s="94"/>
      <c r="CP43" s="95"/>
      <c r="CQ43" s="17"/>
      <c r="CR43" s="17"/>
      <c r="CS43" s="17"/>
      <c r="CT43" s="20"/>
      <c r="CU43" s="92"/>
      <c r="CV43" s="93"/>
      <c r="CW43" s="92"/>
      <c r="CX43" s="94"/>
      <c r="CY43" s="95"/>
      <c r="CZ43" s="17"/>
      <c r="DA43" s="17"/>
      <c r="DB43" s="17"/>
      <c r="DC43" s="20"/>
      <c r="DD43" s="92"/>
      <c r="DE43" s="93"/>
      <c r="DF43" s="92"/>
      <c r="DG43" s="94"/>
      <c r="DH43" s="95"/>
      <c r="DI43" s="17"/>
      <c r="DJ43" s="17"/>
      <c r="DK43" s="17"/>
      <c r="DL43" s="20"/>
      <c r="DM43" s="92"/>
      <c r="DN43" s="93"/>
      <c r="DO43" s="92"/>
      <c r="DP43" s="94"/>
      <c r="DQ43" s="95"/>
      <c r="DR43" s="17"/>
      <c r="DS43" s="17"/>
      <c r="DT43" s="17"/>
      <c r="DU43" s="20"/>
      <c r="DV43" s="92"/>
      <c r="DW43" s="93"/>
      <c r="DX43" s="92"/>
      <c r="DY43" s="94"/>
      <c r="DZ43" s="95"/>
      <c r="EA43" s="17"/>
      <c r="EB43" s="17"/>
      <c r="EC43" s="17"/>
      <c r="ED43" s="20"/>
      <c r="EE43" s="92"/>
      <c r="EF43" s="93"/>
      <c r="EG43" s="92"/>
      <c r="EH43" s="94"/>
      <c r="EI43" s="95"/>
      <c r="EJ43" s="17"/>
      <c r="EK43" s="17"/>
      <c r="EL43" s="17"/>
      <c r="EM43" s="20"/>
      <c r="EN43" s="92"/>
      <c r="EO43" s="93"/>
      <c r="EP43" s="92"/>
      <c r="EQ43" s="94"/>
      <c r="ER43" s="95"/>
      <c r="ES43" s="17"/>
      <c r="ET43" s="17"/>
      <c r="EU43" s="17"/>
      <c r="EV43" s="20"/>
      <c r="EW43" s="92"/>
      <c r="EX43" s="93"/>
      <c r="EY43" s="92"/>
      <c r="EZ43" s="94"/>
      <c r="FA43" s="95"/>
      <c r="FB43" s="17"/>
      <c r="FC43" s="17"/>
      <c r="FD43" s="17"/>
      <c r="FE43" s="20"/>
      <c r="FF43" s="92"/>
      <c r="FG43" s="93"/>
      <c r="FH43" s="92"/>
      <c r="FI43" s="94"/>
      <c r="FJ43" s="95"/>
      <c r="FK43" s="17"/>
      <c r="FL43" s="17"/>
      <c r="FM43" s="17"/>
      <c r="FN43" s="20"/>
      <c r="FO43" s="92"/>
      <c r="FP43" s="93"/>
      <c r="FQ43" s="92"/>
      <c r="FR43" s="94"/>
      <c r="FS43" s="95"/>
      <c r="FT43" s="17"/>
      <c r="FU43" s="17"/>
      <c r="FV43" s="17"/>
      <c r="FW43" s="20"/>
      <c r="FX43" s="92"/>
      <c r="FY43" s="93"/>
      <c r="FZ43" s="92"/>
      <c r="GA43" s="94"/>
      <c r="GB43" s="95"/>
      <c r="GC43" s="17"/>
      <c r="GD43" s="17"/>
      <c r="GE43" s="17"/>
      <c r="GF43" s="20"/>
      <c r="GG43" s="92"/>
      <c r="GH43" s="93"/>
      <c r="GI43" s="92"/>
      <c r="GJ43" s="94"/>
      <c r="GK43" s="95"/>
      <c r="GL43" s="17"/>
      <c r="GM43" s="17"/>
      <c r="GN43" s="17"/>
      <c r="GO43" s="20"/>
      <c r="GP43" s="92"/>
      <c r="GQ43" s="93"/>
      <c r="GR43" s="92"/>
      <c r="GS43" s="94"/>
      <c r="GT43" s="95"/>
      <c r="GU43" s="122"/>
      <c r="GV43" s="98"/>
      <c r="GW43" s="133"/>
      <c r="GX43" s="134"/>
      <c r="GY43" s="134"/>
      <c r="GZ43" s="423"/>
      <c r="HA43" s="67"/>
    </row>
    <row r="44" spans="1:212" x14ac:dyDescent="0.25">
      <c r="A44"/>
      <c r="D44" s="35"/>
      <c r="E44" s="36"/>
      <c r="F44" s="37"/>
      <c r="G44" s="38"/>
      <c r="H44" s="39"/>
      <c r="I44" s="40"/>
      <c r="J44" s="68"/>
      <c r="K44" s="69"/>
      <c r="L44" s="69"/>
      <c r="M44" s="70"/>
      <c r="N44" s="71"/>
      <c r="O44" s="56"/>
      <c r="P44" s="72"/>
      <c r="Q44" s="113">
        <f t="shared" si="1"/>
        <v>0</v>
      </c>
      <c r="R44" s="117"/>
      <c r="S44" s="117"/>
      <c r="T44" s="117"/>
      <c r="U44" s="39">
        <f t="shared" ref="U44" si="4">R44*P44</f>
        <v>0</v>
      </c>
      <c r="V44" s="115"/>
      <c r="W44" s="112"/>
      <c r="X44" s="118"/>
      <c r="Y44" s="17"/>
      <c r="Z44" s="20"/>
      <c r="AA44" s="92"/>
      <c r="AB44" s="93"/>
      <c r="AC44" s="92"/>
      <c r="AD44" s="94"/>
      <c r="AE44" s="95"/>
      <c r="AF44" s="17"/>
      <c r="AG44" s="17"/>
      <c r="AH44" s="17"/>
      <c r="AI44" s="20"/>
      <c r="AJ44" s="92"/>
      <c r="AK44" s="93"/>
      <c r="AL44" s="92"/>
      <c r="AM44" s="94"/>
      <c r="AN44" s="95"/>
      <c r="AO44" s="17"/>
      <c r="AP44" s="17"/>
      <c r="AQ44" s="17"/>
      <c r="AR44" s="20"/>
      <c r="AS44" s="92"/>
      <c r="AT44" s="93"/>
      <c r="AU44" s="92"/>
      <c r="AV44" s="94"/>
      <c r="AW44" s="95"/>
      <c r="AX44" s="17"/>
      <c r="AY44" s="17"/>
      <c r="AZ44" s="17"/>
      <c r="BA44" s="20"/>
      <c r="BB44" s="92"/>
      <c r="BC44" s="93"/>
      <c r="BD44" s="92"/>
      <c r="BE44" s="94"/>
      <c r="BF44" s="95"/>
      <c r="BG44" s="17"/>
      <c r="BH44" s="17"/>
      <c r="BI44" s="17"/>
      <c r="BJ44" s="20"/>
      <c r="BK44" s="92"/>
      <c r="BL44" s="93"/>
      <c r="BM44" s="92"/>
      <c r="BN44" s="94"/>
      <c r="BO44" s="95"/>
      <c r="BP44" s="17"/>
      <c r="BQ44" s="17"/>
      <c r="BR44" s="17"/>
      <c r="BS44" s="20"/>
      <c r="BT44" s="92"/>
      <c r="BU44" s="93"/>
      <c r="BV44" s="92"/>
      <c r="BW44" s="94"/>
      <c r="BX44" s="95"/>
      <c r="BY44" s="17"/>
      <c r="BZ44" s="17"/>
      <c r="CA44" s="17"/>
      <c r="CB44" s="20"/>
      <c r="CC44" s="92"/>
      <c r="CD44" s="93"/>
      <c r="CE44" s="92"/>
      <c r="CF44" s="94"/>
      <c r="CG44" s="95"/>
      <c r="CH44" s="17"/>
      <c r="CI44" s="17"/>
      <c r="CJ44" s="17"/>
      <c r="CK44" s="20"/>
      <c r="CL44" s="92"/>
      <c r="CM44" s="93"/>
      <c r="CN44" s="92"/>
      <c r="CO44" s="94"/>
      <c r="CP44" s="95"/>
      <c r="CQ44" s="17"/>
      <c r="CR44" s="17"/>
      <c r="CS44" s="17"/>
      <c r="CT44" s="20"/>
      <c r="CU44" s="92"/>
      <c r="CV44" s="93"/>
      <c r="CW44" s="92"/>
      <c r="CX44" s="94"/>
      <c r="CY44" s="95"/>
      <c r="CZ44" s="17"/>
      <c r="DA44" s="17"/>
      <c r="DB44" s="17"/>
      <c r="DC44" s="20"/>
      <c r="DD44" s="92"/>
      <c r="DE44" s="93"/>
      <c r="DF44" s="92"/>
      <c r="DG44" s="94"/>
      <c r="DH44" s="95"/>
      <c r="DI44" s="17"/>
      <c r="DJ44" s="17"/>
      <c r="DK44" s="17"/>
      <c r="DL44" s="20"/>
      <c r="DM44" s="92"/>
      <c r="DN44" s="93"/>
      <c r="DO44" s="92"/>
      <c r="DP44" s="94"/>
      <c r="DQ44" s="95"/>
      <c r="DR44" s="17"/>
      <c r="DS44" s="17"/>
      <c r="DT44" s="17"/>
      <c r="DU44" s="20"/>
      <c r="DV44" s="92"/>
      <c r="DW44" s="93"/>
      <c r="DX44" s="92"/>
      <c r="DY44" s="94"/>
      <c r="DZ44" s="95"/>
      <c r="EA44" s="17"/>
      <c r="EB44" s="17"/>
      <c r="EC44" s="17"/>
      <c r="ED44" s="20"/>
      <c r="EE44" s="92"/>
      <c r="EF44" s="93"/>
      <c r="EG44" s="92"/>
      <c r="EH44" s="94"/>
      <c r="EI44" s="95"/>
      <c r="EJ44" s="17"/>
      <c r="EK44" s="17"/>
      <c r="EL44" s="17"/>
      <c r="EM44" s="20"/>
      <c r="EN44" s="92"/>
      <c r="EO44" s="93"/>
      <c r="EP44" s="92"/>
      <c r="EQ44" s="94"/>
      <c r="ER44" s="95"/>
      <c r="ES44" s="17"/>
      <c r="ET44" s="17"/>
      <c r="EU44" s="17"/>
      <c r="EV44" s="20"/>
      <c r="EW44" s="92"/>
      <c r="EX44" s="93"/>
      <c r="EY44" s="92"/>
      <c r="EZ44" s="94"/>
      <c r="FA44" s="95"/>
      <c r="FB44" s="17"/>
      <c r="FC44" s="17"/>
      <c r="FD44" s="17"/>
      <c r="FE44" s="20"/>
      <c r="FF44" s="92"/>
      <c r="FG44" s="93"/>
      <c r="FH44" s="92"/>
      <c r="FI44" s="94"/>
      <c r="FJ44" s="95"/>
      <c r="FK44" s="17"/>
      <c r="FL44" s="17"/>
      <c r="FM44" s="17"/>
      <c r="FN44" s="20"/>
      <c r="FO44" s="92"/>
      <c r="FP44" s="93"/>
      <c r="FQ44" s="92"/>
      <c r="FR44" s="94"/>
      <c r="FS44" s="95"/>
      <c r="FT44" s="17"/>
      <c r="FU44" s="17"/>
      <c r="FV44" s="17"/>
      <c r="FW44" s="20"/>
      <c r="FX44" s="92"/>
      <c r="FY44" s="93"/>
      <c r="FZ44" s="92"/>
      <c r="GA44" s="94"/>
      <c r="GB44" s="95"/>
      <c r="GC44" s="17"/>
      <c r="GD44" s="17"/>
      <c r="GE44" s="17"/>
      <c r="GF44" s="20"/>
      <c r="GG44" s="92"/>
      <c r="GH44" s="93"/>
      <c r="GI44" s="92"/>
      <c r="GJ44" s="94"/>
      <c r="GK44" s="95"/>
      <c r="GL44" s="17"/>
      <c r="GM44" s="17"/>
      <c r="GN44" s="17"/>
      <c r="GO44" s="20"/>
      <c r="GP44" s="92"/>
      <c r="GQ44" s="93"/>
      <c r="GR44" s="92"/>
      <c r="GS44" s="94"/>
      <c r="GT44" s="95"/>
      <c r="GU44" s="122"/>
      <c r="GV44" s="98"/>
      <c r="GW44" s="135"/>
      <c r="GX44" s="134"/>
      <c r="GY44" s="136"/>
      <c r="GZ44" s="423"/>
      <c r="HA44" s="67"/>
    </row>
    <row r="45" spans="1:212" x14ac:dyDescent="0.25">
      <c r="A45"/>
      <c r="D45" s="35"/>
      <c r="E45" s="36"/>
      <c r="F45" s="37"/>
      <c r="G45" s="38"/>
      <c r="H45" s="39"/>
      <c r="I45" s="40"/>
      <c r="J45" s="68"/>
      <c r="K45" s="69"/>
      <c r="L45" s="69"/>
      <c r="M45" s="70"/>
      <c r="N45" s="71"/>
      <c r="O45" s="56"/>
      <c r="P45" s="72"/>
      <c r="Q45" s="113">
        <f t="shared" si="1"/>
        <v>0</v>
      </c>
      <c r="R45" s="64"/>
      <c r="S45" s="117"/>
      <c r="T45" s="117"/>
      <c r="U45" s="39">
        <f>R45*P45</f>
        <v>0</v>
      </c>
      <c r="V45" s="115"/>
      <c r="W45" s="83"/>
      <c r="X45" s="118"/>
      <c r="Y45" s="17"/>
      <c r="Z45" s="20"/>
      <c r="AA45" s="92"/>
      <c r="AB45" s="93"/>
      <c r="AC45" s="92"/>
      <c r="AD45" s="94"/>
      <c r="AE45" s="95"/>
      <c r="AF45" s="17"/>
      <c r="AG45" s="17"/>
      <c r="AH45" s="17"/>
      <c r="AI45" s="20"/>
      <c r="AJ45" s="92"/>
      <c r="AK45" s="93"/>
      <c r="AL45" s="92"/>
      <c r="AM45" s="94"/>
      <c r="AN45" s="95"/>
      <c r="AO45" s="17"/>
      <c r="AP45" s="17"/>
      <c r="AQ45" s="17"/>
      <c r="AR45" s="20"/>
      <c r="AS45" s="92"/>
      <c r="AT45" s="93"/>
      <c r="AU45" s="92"/>
      <c r="AV45" s="94"/>
      <c r="AW45" s="95"/>
      <c r="AX45" s="17"/>
      <c r="AY45" s="17"/>
      <c r="AZ45" s="17"/>
      <c r="BA45" s="20"/>
      <c r="BB45" s="92"/>
      <c r="BC45" s="93"/>
      <c r="BD45" s="92"/>
      <c r="BE45" s="94"/>
      <c r="BF45" s="95"/>
      <c r="BG45" s="17"/>
      <c r="BH45" s="17"/>
      <c r="BI45" s="17"/>
      <c r="BJ45" s="20"/>
      <c r="BK45" s="92"/>
      <c r="BL45" s="93"/>
      <c r="BM45" s="92"/>
      <c r="BN45" s="94"/>
      <c r="BO45" s="95"/>
      <c r="BP45" s="17"/>
      <c r="BQ45" s="17"/>
      <c r="BR45" s="17"/>
      <c r="BS45" s="20"/>
      <c r="BT45" s="92"/>
      <c r="BU45" s="93"/>
      <c r="BV45" s="92"/>
      <c r="BW45" s="94"/>
      <c r="BX45" s="95"/>
      <c r="BY45" s="17"/>
      <c r="BZ45" s="17"/>
      <c r="CA45" s="17"/>
      <c r="CB45" s="20"/>
      <c r="CC45" s="92"/>
      <c r="CD45" s="93"/>
      <c r="CE45" s="92"/>
      <c r="CF45" s="94"/>
      <c r="CG45" s="95"/>
      <c r="CH45" s="17"/>
      <c r="CI45" s="17"/>
      <c r="CJ45" s="17"/>
      <c r="CK45" s="20"/>
      <c r="CL45" s="92"/>
      <c r="CM45" s="93"/>
      <c r="CN45" s="92"/>
      <c r="CO45" s="94"/>
      <c r="CP45" s="95"/>
      <c r="CQ45" s="17"/>
      <c r="CR45" s="17"/>
      <c r="CS45" s="17"/>
      <c r="CT45" s="20"/>
      <c r="CU45" s="92"/>
      <c r="CV45" s="93"/>
      <c r="CW45" s="92"/>
      <c r="CX45" s="94"/>
      <c r="CY45" s="95"/>
      <c r="CZ45" s="17"/>
      <c r="DA45" s="17"/>
      <c r="DB45" s="17"/>
      <c r="DC45" s="20"/>
      <c r="DD45" s="92"/>
      <c r="DE45" s="93"/>
      <c r="DF45" s="92"/>
      <c r="DG45" s="94"/>
      <c r="DH45" s="95"/>
      <c r="DI45" s="17"/>
      <c r="DJ45" s="17"/>
      <c r="DK45" s="17"/>
      <c r="DL45" s="20"/>
      <c r="DM45" s="92"/>
      <c r="DN45" s="93"/>
      <c r="DO45" s="92"/>
      <c r="DP45" s="94"/>
      <c r="DQ45" s="95"/>
      <c r="DR45" s="17"/>
      <c r="DS45" s="17"/>
      <c r="DT45" s="17"/>
      <c r="DU45" s="20"/>
      <c r="DV45" s="92"/>
      <c r="DW45" s="93"/>
      <c r="DX45" s="92"/>
      <c r="DY45" s="94"/>
      <c r="DZ45" s="95"/>
      <c r="EA45" s="17"/>
      <c r="EB45" s="17"/>
      <c r="EC45" s="17"/>
      <c r="ED45" s="20"/>
      <c r="EE45" s="92"/>
      <c r="EF45" s="93"/>
      <c r="EG45" s="92"/>
      <c r="EH45" s="94"/>
      <c r="EI45" s="95"/>
      <c r="EJ45" s="17"/>
      <c r="EK45" s="17"/>
      <c r="EL45" s="17"/>
      <c r="EM45" s="20"/>
      <c r="EN45" s="92"/>
      <c r="EO45" s="93"/>
      <c r="EP45" s="92"/>
      <c r="EQ45" s="94"/>
      <c r="ER45" s="95"/>
      <c r="ES45" s="17"/>
      <c r="ET45" s="17"/>
      <c r="EU45" s="17"/>
      <c r="EV45" s="20"/>
      <c r="EW45" s="92"/>
      <c r="EX45" s="93"/>
      <c r="EY45" s="92"/>
      <c r="EZ45" s="94"/>
      <c r="FA45" s="95"/>
      <c r="FB45" s="17"/>
      <c r="FC45" s="17"/>
      <c r="FD45" s="17"/>
      <c r="FE45" s="20"/>
      <c r="FF45" s="92"/>
      <c r="FG45" s="93"/>
      <c r="FH45" s="92"/>
      <c r="FI45" s="94"/>
      <c r="FJ45" s="95"/>
      <c r="FK45" s="17"/>
      <c r="FL45" s="17"/>
      <c r="FM45" s="17"/>
      <c r="FN45" s="20"/>
      <c r="FO45" s="92"/>
      <c r="FP45" s="93"/>
      <c r="FQ45" s="92"/>
      <c r="FR45" s="94"/>
      <c r="FS45" s="95"/>
      <c r="FT45" s="17"/>
      <c r="FU45" s="17"/>
      <c r="FV45" s="17"/>
      <c r="FW45" s="20"/>
      <c r="FX45" s="92"/>
      <c r="FY45" s="93"/>
      <c r="FZ45" s="92"/>
      <c r="GA45" s="94"/>
      <c r="GB45" s="95"/>
      <c r="GC45" s="17"/>
      <c r="GD45" s="17"/>
      <c r="GE45" s="17"/>
      <c r="GF45" s="20"/>
      <c r="GG45" s="92"/>
      <c r="GH45" s="93"/>
      <c r="GI45" s="92"/>
      <c r="GJ45" s="94"/>
      <c r="GK45" s="95"/>
      <c r="GL45" s="17"/>
      <c r="GM45" s="17"/>
      <c r="GN45" s="17"/>
      <c r="GO45" s="20"/>
      <c r="GP45" s="92"/>
      <c r="GQ45" s="93"/>
      <c r="GR45" s="92"/>
      <c r="GS45" s="94"/>
      <c r="GT45" s="95"/>
      <c r="GU45" s="137"/>
      <c r="GV45" s="98"/>
      <c r="GW45" s="129"/>
      <c r="GX45" s="74"/>
      <c r="GY45" s="74"/>
      <c r="GZ45" s="423"/>
      <c r="HA45" s="67"/>
    </row>
    <row r="46" spans="1:212" x14ac:dyDescent="0.25">
      <c r="A46"/>
      <c r="D46" s="35"/>
      <c r="E46" s="36"/>
      <c r="F46" s="37"/>
      <c r="G46" s="38"/>
      <c r="H46" s="39"/>
      <c r="I46" s="40"/>
      <c r="J46" s="68"/>
      <c r="K46" s="69"/>
      <c r="L46" s="69"/>
      <c r="M46" s="70"/>
      <c r="N46" s="71"/>
      <c r="O46" s="56"/>
      <c r="P46" s="72"/>
      <c r="Q46" s="113">
        <f t="shared" si="1"/>
        <v>0</v>
      </c>
      <c r="R46" s="117"/>
      <c r="S46" s="117"/>
      <c r="T46" s="117"/>
      <c r="U46" s="39">
        <f>R46*P46</f>
        <v>0</v>
      </c>
      <c r="V46" s="115"/>
      <c r="W46" s="112"/>
      <c r="X46" s="118"/>
      <c r="Y46" s="17"/>
      <c r="Z46" s="20"/>
      <c r="AA46" s="92"/>
      <c r="AB46" s="93"/>
      <c r="AC46" s="92"/>
      <c r="AD46" s="94"/>
      <c r="AE46" s="95"/>
      <c r="AF46" s="17"/>
      <c r="AG46" s="17"/>
      <c r="AH46" s="17"/>
      <c r="AI46" s="20"/>
      <c r="AJ46" s="92"/>
      <c r="AK46" s="93"/>
      <c r="AL46" s="92"/>
      <c r="AM46" s="94"/>
      <c r="AN46" s="95"/>
      <c r="AO46" s="17"/>
      <c r="AP46" s="17"/>
      <c r="AQ46" s="17"/>
      <c r="AR46" s="20"/>
      <c r="AS46" s="92"/>
      <c r="AT46" s="93"/>
      <c r="AU46" s="92"/>
      <c r="AV46" s="94"/>
      <c r="AW46" s="95"/>
      <c r="AX46" s="17"/>
      <c r="AY46" s="17"/>
      <c r="AZ46" s="17"/>
      <c r="BA46" s="20"/>
      <c r="BB46" s="92"/>
      <c r="BC46" s="93"/>
      <c r="BD46" s="92"/>
      <c r="BE46" s="94"/>
      <c r="BF46" s="95"/>
      <c r="BG46" s="17"/>
      <c r="BH46" s="17"/>
      <c r="BI46" s="17"/>
      <c r="BJ46" s="20"/>
      <c r="BK46" s="92"/>
      <c r="BL46" s="93"/>
      <c r="BM46" s="92"/>
      <c r="BN46" s="94"/>
      <c r="BO46" s="95"/>
      <c r="BP46" s="17"/>
      <c r="BQ46" s="17"/>
      <c r="BR46" s="17"/>
      <c r="BS46" s="20"/>
      <c r="BT46" s="92"/>
      <c r="BU46" s="93"/>
      <c r="BV46" s="92"/>
      <c r="BW46" s="94"/>
      <c r="BX46" s="95"/>
      <c r="BY46" s="17"/>
      <c r="BZ46" s="17"/>
      <c r="CA46" s="17"/>
      <c r="CB46" s="20"/>
      <c r="CC46" s="92"/>
      <c r="CD46" s="93"/>
      <c r="CE46" s="92"/>
      <c r="CF46" s="94"/>
      <c r="CG46" s="95"/>
      <c r="CH46" s="17"/>
      <c r="CI46" s="17"/>
      <c r="CJ46" s="17"/>
      <c r="CK46" s="20"/>
      <c r="CL46" s="92"/>
      <c r="CM46" s="93"/>
      <c r="CN46" s="92"/>
      <c r="CO46" s="94"/>
      <c r="CP46" s="95"/>
      <c r="CQ46" s="17"/>
      <c r="CR46" s="17"/>
      <c r="CS46" s="17"/>
      <c r="CT46" s="20"/>
      <c r="CU46" s="92"/>
      <c r="CV46" s="93"/>
      <c r="CW46" s="92"/>
      <c r="CX46" s="94"/>
      <c r="CY46" s="95"/>
      <c r="CZ46" s="17"/>
      <c r="DA46" s="17"/>
      <c r="DB46" s="17"/>
      <c r="DC46" s="20"/>
      <c r="DD46" s="92"/>
      <c r="DE46" s="93"/>
      <c r="DF46" s="92"/>
      <c r="DG46" s="94"/>
      <c r="DH46" s="95"/>
      <c r="DI46" s="17"/>
      <c r="DJ46" s="17"/>
      <c r="DK46" s="17"/>
      <c r="DL46" s="20"/>
      <c r="DM46" s="92"/>
      <c r="DN46" s="93"/>
      <c r="DO46" s="92"/>
      <c r="DP46" s="94"/>
      <c r="DQ46" s="95"/>
      <c r="DR46" s="17"/>
      <c r="DS46" s="17"/>
      <c r="DT46" s="17"/>
      <c r="DU46" s="20"/>
      <c r="DV46" s="92"/>
      <c r="DW46" s="93"/>
      <c r="DX46" s="92"/>
      <c r="DY46" s="94"/>
      <c r="DZ46" s="95"/>
      <c r="EA46" s="17"/>
      <c r="EB46" s="17"/>
      <c r="EC46" s="17"/>
      <c r="ED46" s="20"/>
      <c r="EE46" s="92"/>
      <c r="EF46" s="93"/>
      <c r="EG46" s="92"/>
      <c r="EH46" s="94"/>
      <c r="EI46" s="95"/>
      <c r="EJ46" s="17"/>
      <c r="EK46" s="17"/>
      <c r="EL46" s="17"/>
      <c r="EM46" s="20"/>
      <c r="EN46" s="92"/>
      <c r="EO46" s="93"/>
      <c r="EP46" s="92"/>
      <c r="EQ46" s="94"/>
      <c r="ER46" s="95"/>
      <c r="ES46" s="17"/>
      <c r="ET46" s="17"/>
      <c r="EU46" s="17"/>
      <c r="EV46" s="20"/>
      <c r="EW46" s="92"/>
      <c r="EX46" s="93"/>
      <c r="EY46" s="92"/>
      <c r="EZ46" s="94"/>
      <c r="FA46" s="95"/>
      <c r="FB46" s="17"/>
      <c r="FC46" s="17"/>
      <c r="FD46" s="17"/>
      <c r="FE46" s="20"/>
      <c r="FF46" s="92"/>
      <c r="FG46" s="93"/>
      <c r="FH46" s="92"/>
      <c r="FI46" s="94"/>
      <c r="FJ46" s="95"/>
      <c r="FK46" s="17"/>
      <c r="FL46" s="17"/>
      <c r="FM46" s="17"/>
      <c r="FN46" s="20"/>
      <c r="FO46" s="92"/>
      <c r="FP46" s="93"/>
      <c r="FQ46" s="92"/>
      <c r="FR46" s="94"/>
      <c r="FS46" s="95"/>
      <c r="FT46" s="17"/>
      <c r="FU46" s="17"/>
      <c r="FV46" s="17"/>
      <c r="FW46" s="20"/>
      <c r="FX46" s="92"/>
      <c r="FY46" s="93"/>
      <c r="FZ46" s="92"/>
      <c r="GA46" s="94"/>
      <c r="GB46" s="95"/>
      <c r="GC46" s="17"/>
      <c r="GD46" s="17"/>
      <c r="GE46" s="17"/>
      <c r="GF46" s="20"/>
      <c r="GG46" s="92"/>
      <c r="GH46" s="93"/>
      <c r="GI46" s="92"/>
      <c r="GJ46" s="94"/>
      <c r="GK46" s="95"/>
      <c r="GL46" s="17"/>
      <c r="GM46" s="17"/>
      <c r="GN46" s="17"/>
      <c r="GO46" s="20"/>
      <c r="GP46" s="92"/>
      <c r="GQ46" s="93"/>
      <c r="GR46" s="92"/>
      <c r="GS46" s="94"/>
      <c r="GT46" s="95"/>
      <c r="GU46" s="128"/>
      <c r="GV46" s="98"/>
      <c r="GW46" s="129"/>
      <c r="GX46" s="74"/>
      <c r="GY46" s="74"/>
      <c r="GZ46" s="423"/>
      <c r="HA46" s="67"/>
    </row>
    <row r="47" spans="1:212" x14ac:dyDescent="0.25">
      <c r="A47"/>
      <c r="D47" s="35"/>
      <c r="E47" s="36"/>
      <c r="F47" s="37"/>
      <c r="G47" s="38"/>
      <c r="H47" s="39"/>
      <c r="I47" s="40"/>
      <c r="J47" s="68"/>
      <c r="K47" s="69"/>
      <c r="L47" s="69"/>
      <c r="M47" s="70"/>
      <c r="N47" s="71"/>
      <c r="O47" s="56"/>
      <c r="P47" s="72"/>
      <c r="Q47" s="113">
        <f t="shared" si="1"/>
        <v>0</v>
      </c>
      <c r="R47" s="117"/>
      <c r="S47" s="117"/>
      <c r="T47" s="117"/>
      <c r="U47" s="39">
        <f>R47*P47</f>
        <v>0</v>
      </c>
      <c r="V47" s="115"/>
      <c r="W47" s="112"/>
      <c r="X47" s="118"/>
      <c r="Y47" s="17"/>
      <c r="Z47" s="20"/>
      <c r="AA47" s="92"/>
      <c r="AB47" s="93"/>
      <c r="AC47" s="92"/>
      <c r="AD47" s="94"/>
      <c r="AE47" s="95"/>
      <c r="AF47" s="17"/>
      <c r="AG47" s="17"/>
      <c r="AH47" s="17"/>
      <c r="AI47" s="20"/>
      <c r="AJ47" s="92"/>
      <c r="AK47" s="93"/>
      <c r="AL47" s="92"/>
      <c r="AM47" s="94"/>
      <c r="AN47" s="95"/>
      <c r="AO47" s="17"/>
      <c r="AP47" s="17"/>
      <c r="AQ47" s="17"/>
      <c r="AR47" s="20"/>
      <c r="AS47" s="92"/>
      <c r="AT47" s="93"/>
      <c r="AU47" s="92"/>
      <c r="AV47" s="94"/>
      <c r="AW47" s="95"/>
      <c r="AX47" s="17"/>
      <c r="AY47" s="17"/>
      <c r="AZ47" s="17"/>
      <c r="BA47" s="20"/>
      <c r="BB47" s="92"/>
      <c r="BC47" s="93"/>
      <c r="BD47" s="92"/>
      <c r="BE47" s="94"/>
      <c r="BF47" s="95"/>
      <c r="BG47" s="17"/>
      <c r="BH47" s="17"/>
      <c r="BI47" s="17"/>
      <c r="BJ47" s="20"/>
      <c r="BK47" s="92"/>
      <c r="BL47" s="93"/>
      <c r="BM47" s="92"/>
      <c r="BN47" s="94"/>
      <c r="BO47" s="95"/>
      <c r="BP47" s="17"/>
      <c r="BQ47" s="17"/>
      <c r="BR47" s="17"/>
      <c r="BS47" s="20"/>
      <c r="BT47" s="92"/>
      <c r="BU47" s="93"/>
      <c r="BV47" s="92"/>
      <c r="BW47" s="94"/>
      <c r="BX47" s="95"/>
      <c r="BY47" s="17"/>
      <c r="BZ47" s="17"/>
      <c r="CA47" s="17"/>
      <c r="CB47" s="20"/>
      <c r="CC47" s="92"/>
      <c r="CD47" s="93"/>
      <c r="CE47" s="92"/>
      <c r="CF47" s="94"/>
      <c r="CG47" s="95"/>
      <c r="CH47" s="17"/>
      <c r="CI47" s="17"/>
      <c r="CJ47" s="17"/>
      <c r="CK47" s="20"/>
      <c r="CL47" s="92"/>
      <c r="CM47" s="93"/>
      <c r="CN47" s="92"/>
      <c r="CO47" s="94"/>
      <c r="CP47" s="95"/>
      <c r="CQ47" s="17"/>
      <c r="CR47" s="17"/>
      <c r="CS47" s="17"/>
      <c r="CT47" s="20"/>
      <c r="CU47" s="92"/>
      <c r="CV47" s="93"/>
      <c r="CW47" s="92"/>
      <c r="CX47" s="94"/>
      <c r="CY47" s="95"/>
      <c r="CZ47" s="17"/>
      <c r="DA47" s="17"/>
      <c r="DB47" s="17"/>
      <c r="DC47" s="20"/>
      <c r="DD47" s="92"/>
      <c r="DE47" s="93"/>
      <c r="DF47" s="92"/>
      <c r="DG47" s="94"/>
      <c r="DH47" s="95"/>
      <c r="DI47" s="17"/>
      <c r="DJ47" s="17"/>
      <c r="DK47" s="17"/>
      <c r="DL47" s="20"/>
      <c r="DM47" s="92"/>
      <c r="DN47" s="93"/>
      <c r="DO47" s="92"/>
      <c r="DP47" s="94"/>
      <c r="DQ47" s="95"/>
      <c r="DR47" s="17"/>
      <c r="DS47" s="17"/>
      <c r="DT47" s="17"/>
      <c r="DU47" s="20"/>
      <c r="DV47" s="92"/>
      <c r="DW47" s="93"/>
      <c r="DX47" s="92"/>
      <c r="DY47" s="94"/>
      <c r="DZ47" s="95"/>
      <c r="EA47" s="17"/>
      <c r="EB47" s="17"/>
      <c r="EC47" s="17"/>
      <c r="ED47" s="20"/>
      <c r="EE47" s="92"/>
      <c r="EF47" s="93"/>
      <c r="EG47" s="92"/>
      <c r="EH47" s="94"/>
      <c r="EI47" s="95"/>
      <c r="EJ47" s="17"/>
      <c r="EK47" s="17"/>
      <c r="EL47" s="17"/>
      <c r="EM47" s="20"/>
      <c r="EN47" s="92"/>
      <c r="EO47" s="93"/>
      <c r="EP47" s="92"/>
      <c r="EQ47" s="94"/>
      <c r="ER47" s="95"/>
      <c r="ES47" s="17"/>
      <c r="ET47" s="17"/>
      <c r="EU47" s="17"/>
      <c r="EV47" s="20"/>
      <c r="EW47" s="92"/>
      <c r="EX47" s="93"/>
      <c r="EY47" s="92"/>
      <c r="EZ47" s="94"/>
      <c r="FA47" s="95"/>
      <c r="FB47" s="17"/>
      <c r="FC47" s="17"/>
      <c r="FD47" s="17"/>
      <c r="FE47" s="20"/>
      <c r="FF47" s="92"/>
      <c r="FG47" s="93"/>
      <c r="FH47" s="92"/>
      <c r="FI47" s="94"/>
      <c r="FJ47" s="95"/>
      <c r="FK47" s="17"/>
      <c r="FL47" s="17"/>
      <c r="FM47" s="17"/>
      <c r="FN47" s="20"/>
      <c r="FO47" s="92"/>
      <c r="FP47" s="93"/>
      <c r="FQ47" s="92"/>
      <c r="FR47" s="94"/>
      <c r="FS47" s="95"/>
      <c r="FT47" s="17"/>
      <c r="FU47" s="17"/>
      <c r="FV47" s="17"/>
      <c r="FW47" s="20"/>
      <c r="FX47" s="92"/>
      <c r="FY47" s="93"/>
      <c r="FZ47" s="92"/>
      <c r="GA47" s="94"/>
      <c r="GB47" s="95"/>
      <c r="GC47" s="17"/>
      <c r="GD47" s="17"/>
      <c r="GE47" s="17"/>
      <c r="GF47" s="20"/>
      <c r="GG47" s="92"/>
      <c r="GH47" s="93"/>
      <c r="GI47" s="92"/>
      <c r="GJ47" s="94"/>
      <c r="GK47" s="95"/>
      <c r="GL47" s="17"/>
      <c r="GM47" s="17"/>
      <c r="GN47" s="17"/>
      <c r="GO47" s="20"/>
      <c r="GP47" s="92"/>
      <c r="GQ47" s="93"/>
      <c r="GR47" s="92"/>
      <c r="GS47" s="94"/>
      <c r="GT47" s="95"/>
      <c r="GU47" s="97"/>
      <c r="GV47" s="98"/>
      <c r="GW47" s="130"/>
      <c r="GX47" s="74"/>
      <c r="GY47" s="74"/>
      <c r="GZ47" s="141"/>
      <c r="HA47" s="86"/>
    </row>
    <row r="48" spans="1:212" x14ac:dyDescent="0.25">
      <c r="A48"/>
      <c r="D48" s="35"/>
      <c r="E48" s="36"/>
      <c r="F48" s="37"/>
      <c r="G48" s="38"/>
      <c r="H48" s="39"/>
      <c r="I48" s="40"/>
      <c r="J48" s="68"/>
      <c r="K48" s="69"/>
      <c r="L48" s="69"/>
      <c r="M48" s="70"/>
      <c r="N48" s="71"/>
      <c r="O48" s="56"/>
      <c r="P48" s="72"/>
      <c r="Q48" s="113">
        <f t="shared" si="1"/>
        <v>0</v>
      </c>
      <c r="R48" s="117"/>
      <c r="S48" s="117"/>
      <c r="T48" s="117"/>
      <c r="U48" s="39">
        <f>R48*P48</f>
        <v>0</v>
      </c>
      <c r="V48" s="138"/>
      <c r="W48" s="139"/>
      <c r="X48" s="121"/>
      <c r="Y48" s="17"/>
      <c r="Z48" s="20"/>
      <c r="AA48" s="92"/>
      <c r="AB48" s="93"/>
      <c r="AC48" s="92"/>
      <c r="AD48" s="94"/>
      <c r="AE48" s="95"/>
      <c r="AF48" s="17"/>
      <c r="AG48" s="17"/>
      <c r="AH48" s="17"/>
      <c r="AI48" s="20"/>
      <c r="AJ48" s="92"/>
      <c r="AK48" s="93"/>
      <c r="AL48" s="92"/>
      <c r="AM48" s="94"/>
      <c r="AN48" s="95"/>
      <c r="AO48" s="17"/>
      <c r="AP48" s="17"/>
      <c r="AQ48" s="17"/>
      <c r="AR48" s="20"/>
      <c r="AS48" s="92"/>
      <c r="AT48" s="93"/>
      <c r="AU48" s="92"/>
      <c r="AV48" s="94"/>
      <c r="AW48" s="95"/>
      <c r="AX48" s="17"/>
      <c r="AY48" s="17"/>
      <c r="AZ48" s="17"/>
      <c r="BA48" s="20"/>
      <c r="BB48" s="92"/>
      <c r="BC48" s="93"/>
      <c r="BD48" s="92"/>
      <c r="BE48" s="94"/>
      <c r="BF48" s="95"/>
      <c r="BG48" s="17"/>
      <c r="BH48" s="17"/>
      <c r="BI48" s="17"/>
      <c r="BJ48" s="20"/>
      <c r="BK48" s="92"/>
      <c r="BL48" s="93"/>
      <c r="BM48" s="92"/>
      <c r="BN48" s="94"/>
      <c r="BO48" s="95"/>
      <c r="BP48" s="17"/>
      <c r="BQ48" s="17"/>
      <c r="BR48" s="17"/>
      <c r="BS48" s="20"/>
      <c r="BT48" s="92"/>
      <c r="BU48" s="93"/>
      <c r="BV48" s="92"/>
      <c r="BW48" s="94"/>
      <c r="BX48" s="95"/>
      <c r="BY48" s="17"/>
      <c r="BZ48" s="17"/>
      <c r="CA48" s="17"/>
      <c r="CB48" s="20"/>
      <c r="CC48" s="92"/>
      <c r="CD48" s="93"/>
      <c r="CE48" s="92"/>
      <c r="CF48" s="94"/>
      <c r="CG48" s="95"/>
      <c r="CH48" s="17"/>
      <c r="CI48" s="17"/>
      <c r="CJ48" s="17"/>
      <c r="CK48" s="20"/>
      <c r="CL48" s="92"/>
      <c r="CM48" s="93"/>
      <c r="CN48" s="92"/>
      <c r="CO48" s="94"/>
      <c r="CP48" s="95"/>
      <c r="CQ48" s="17"/>
      <c r="CR48" s="17"/>
      <c r="CS48" s="17"/>
      <c r="CT48" s="20"/>
      <c r="CU48" s="92"/>
      <c r="CV48" s="93"/>
      <c r="CW48" s="92"/>
      <c r="CX48" s="94"/>
      <c r="CY48" s="95"/>
      <c r="CZ48" s="17"/>
      <c r="DA48" s="17"/>
      <c r="DB48" s="17"/>
      <c r="DC48" s="20"/>
      <c r="DD48" s="92"/>
      <c r="DE48" s="93"/>
      <c r="DF48" s="92"/>
      <c r="DG48" s="94"/>
      <c r="DH48" s="95"/>
      <c r="DI48" s="17"/>
      <c r="DJ48" s="17"/>
      <c r="DK48" s="17"/>
      <c r="DL48" s="20"/>
      <c r="DM48" s="92"/>
      <c r="DN48" s="93"/>
      <c r="DO48" s="92"/>
      <c r="DP48" s="94"/>
      <c r="DQ48" s="95"/>
      <c r="DR48" s="17"/>
      <c r="DS48" s="17"/>
      <c r="DT48" s="17"/>
      <c r="DU48" s="20"/>
      <c r="DV48" s="92"/>
      <c r="DW48" s="93"/>
      <c r="DX48" s="92"/>
      <c r="DY48" s="94"/>
      <c r="DZ48" s="95"/>
      <c r="EA48" s="17"/>
      <c r="EB48" s="17"/>
      <c r="EC48" s="17"/>
      <c r="ED48" s="20"/>
      <c r="EE48" s="92"/>
      <c r="EF48" s="93"/>
      <c r="EG48" s="92"/>
      <c r="EH48" s="94"/>
      <c r="EI48" s="95"/>
      <c r="EJ48" s="17"/>
      <c r="EK48" s="17"/>
      <c r="EL48" s="17"/>
      <c r="EM48" s="20"/>
      <c r="EN48" s="92"/>
      <c r="EO48" s="93"/>
      <c r="EP48" s="92"/>
      <c r="EQ48" s="94"/>
      <c r="ER48" s="95"/>
      <c r="ES48" s="17"/>
      <c r="ET48" s="17"/>
      <c r="EU48" s="17"/>
      <c r="EV48" s="20"/>
      <c r="EW48" s="92"/>
      <c r="EX48" s="93"/>
      <c r="EY48" s="92"/>
      <c r="EZ48" s="94"/>
      <c r="FA48" s="95"/>
      <c r="FB48" s="17"/>
      <c r="FC48" s="17"/>
      <c r="FD48" s="17"/>
      <c r="FE48" s="20"/>
      <c r="FF48" s="92"/>
      <c r="FG48" s="93"/>
      <c r="FH48" s="92"/>
      <c r="FI48" s="94"/>
      <c r="FJ48" s="95"/>
      <c r="FK48" s="17"/>
      <c r="FL48" s="17"/>
      <c r="FM48" s="17"/>
      <c r="FN48" s="20"/>
      <c r="FO48" s="92"/>
      <c r="FP48" s="93"/>
      <c r="FQ48" s="92"/>
      <c r="FR48" s="94"/>
      <c r="FS48" s="95"/>
      <c r="FT48" s="17"/>
      <c r="FU48" s="17"/>
      <c r="FV48" s="17"/>
      <c r="FW48" s="20"/>
      <c r="FX48" s="92"/>
      <c r="FY48" s="93"/>
      <c r="FZ48" s="92"/>
      <c r="GA48" s="94"/>
      <c r="GB48" s="95"/>
      <c r="GC48" s="17"/>
      <c r="GD48" s="17"/>
      <c r="GE48" s="17"/>
      <c r="GF48" s="20"/>
      <c r="GG48" s="92"/>
      <c r="GH48" s="93"/>
      <c r="GI48" s="92"/>
      <c r="GJ48" s="94"/>
      <c r="GK48" s="95"/>
      <c r="GL48" s="17"/>
      <c r="GM48" s="17"/>
      <c r="GN48" s="17"/>
      <c r="GO48" s="20"/>
      <c r="GP48" s="92"/>
      <c r="GQ48" s="93"/>
      <c r="GR48" s="92"/>
      <c r="GS48" s="94"/>
      <c r="GT48" s="95"/>
      <c r="GU48" s="97"/>
      <c r="GV48" s="98"/>
      <c r="GW48" s="130"/>
      <c r="GX48" s="74"/>
      <c r="GY48" s="74"/>
      <c r="GZ48" s="141"/>
      <c r="HA48" s="86"/>
    </row>
    <row r="49" spans="1:209" x14ac:dyDescent="0.25">
      <c r="A49"/>
      <c r="D49" s="35"/>
      <c r="E49" s="36"/>
      <c r="F49" s="37"/>
      <c r="G49" s="38"/>
      <c r="H49" s="39"/>
      <c r="I49" s="40"/>
      <c r="J49" s="68"/>
      <c r="K49" s="69"/>
      <c r="L49" s="69"/>
      <c r="M49" s="70"/>
      <c r="N49" s="71"/>
      <c r="O49" s="56"/>
      <c r="P49" s="72"/>
      <c r="Q49" s="113">
        <f t="shared" si="1"/>
        <v>0</v>
      </c>
      <c r="R49" s="117"/>
      <c r="S49" s="117"/>
      <c r="T49" s="140"/>
      <c r="U49" s="39">
        <f t="shared" si="0"/>
        <v>0</v>
      </c>
      <c r="V49" s="138"/>
      <c r="W49" s="112"/>
      <c r="X49" s="121"/>
      <c r="Y49" s="17"/>
      <c r="Z49" s="20"/>
      <c r="AA49" s="92"/>
      <c r="AB49" s="93"/>
      <c r="AC49" s="92"/>
      <c r="AD49" s="94"/>
      <c r="AE49" s="95"/>
      <c r="AF49" s="17"/>
      <c r="AG49" s="17"/>
      <c r="AH49" s="17"/>
      <c r="AI49" s="20"/>
      <c r="AJ49" s="92"/>
      <c r="AK49" s="93"/>
      <c r="AL49" s="92"/>
      <c r="AM49" s="94"/>
      <c r="AN49" s="95"/>
      <c r="AO49" s="17"/>
      <c r="AP49" s="17"/>
      <c r="AQ49" s="17"/>
      <c r="AR49" s="20"/>
      <c r="AS49" s="92"/>
      <c r="AT49" s="93"/>
      <c r="AU49" s="92"/>
      <c r="AV49" s="94"/>
      <c r="AW49" s="95"/>
      <c r="AX49" s="17"/>
      <c r="AY49" s="17"/>
      <c r="AZ49" s="17"/>
      <c r="BA49" s="20"/>
      <c r="BB49" s="92"/>
      <c r="BC49" s="93"/>
      <c r="BD49" s="92"/>
      <c r="BE49" s="94"/>
      <c r="BF49" s="95"/>
      <c r="BG49" s="17"/>
      <c r="BH49" s="17"/>
      <c r="BI49" s="17"/>
      <c r="BJ49" s="20"/>
      <c r="BK49" s="92"/>
      <c r="BL49" s="93"/>
      <c r="BM49" s="92"/>
      <c r="BN49" s="94"/>
      <c r="BO49" s="95"/>
      <c r="BP49" s="17"/>
      <c r="BQ49" s="17"/>
      <c r="BR49" s="17"/>
      <c r="BS49" s="20"/>
      <c r="BT49" s="92"/>
      <c r="BU49" s="93"/>
      <c r="BV49" s="92"/>
      <c r="BW49" s="94"/>
      <c r="BX49" s="95"/>
      <c r="BY49" s="17"/>
      <c r="BZ49" s="17"/>
      <c r="CA49" s="17"/>
      <c r="CB49" s="20"/>
      <c r="CC49" s="92"/>
      <c r="CD49" s="93"/>
      <c r="CE49" s="92"/>
      <c r="CF49" s="94"/>
      <c r="CG49" s="95"/>
      <c r="CH49" s="17"/>
      <c r="CI49" s="17"/>
      <c r="CJ49" s="17"/>
      <c r="CK49" s="20"/>
      <c r="CL49" s="92"/>
      <c r="CM49" s="93"/>
      <c r="CN49" s="92"/>
      <c r="CO49" s="94"/>
      <c r="CP49" s="95"/>
      <c r="CQ49" s="17"/>
      <c r="CR49" s="17"/>
      <c r="CS49" s="17"/>
      <c r="CT49" s="20"/>
      <c r="CU49" s="92"/>
      <c r="CV49" s="93"/>
      <c r="CW49" s="92"/>
      <c r="CX49" s="94"/>
      <c r="CY49" s="95"/>
      <c r="CZ49" s="17"/>
      <c r="DA49" s="17"/>
      <c r="DB49" s="17"/>
      <c r="DC49" s="20"/>
      <c r="DD49" s="92"/>
      <c r="DE49" s="93"/>
      <c r="DF49" s="92"/>
      <c r="DG49" s="94"/>
      <c r="DH49" s="95"/>
      <c r="DI49" s="17"/>
      <c r="DJ49" s="17"/>
      <c r="DK49" s="17"/>
      <c r="DL49" s="20"/>
      <c r="DM49" s="92"/>
      <c r="DN49" s="93"/>
      <c r="DO49" s="92"/>
      <c r="DP49" s="94"/>
      <c r="DQ49" s="95"/>
      <c r="DR49" s="17"/>
      <c r="DS49" s="17"/>
      <c r="DT49" s="17"/>
      <c r="DU49" s="20"/>
      <c r="DV49" s="92"/>
      <c r="DW49" s="93"/>
      <c r="DX49" s="92"/>
      <c r="DY49" s="94"/>
      <c r="DZ49" s="95"/>
      <c r="EA49" s="17"/>
      <c r="EB49" s="17"/>
      <c r="EC49" s="17"/>
      <c r="ED49" s="20"/>
      <c r="EE49" s="92"/>
      <c r="EF49" s="93"/>
      <c r="EG49" s="92"/>
      <c r="EH49" s="94"/>
      <c r="EI49" s="95"/>
      <c r="EJ49" s="17"/>
      <c r="EK49" s="17"/>
      <c r="EL49" s="17"/>
      <c r="EM49" s="20"/>
      <c r="EN49" s="92"/>
      <c r="EO49" s="93"/>
      <c r="EP49" s="92"/>
      <c r="EQ49" s="94"/>
      <c r="ER49" s="95"/>
      <c r="ES49" s="17"/>
      <c r="ET49" s="17"/>
      <c r="EU49" s="17"/>
      <c r="EV49" s="20"/>
      <c r="EW49" s="92"/>
      <c r="EX49" s="93"/>
      <c r="EY49" s="92"/>
      <c r="EZ49" s="94"/>
      <c r="FA49" s="95"/>
      <c r="FB49" s="17"/>
      <c r="FC49" s="17"/>
      <c r="FD49" s="17"/>
      <c r="FE49" s="20"/>
      <c r="FF49" s="92"/>
      <c r="FG49" s="93"/>
      <c r="FH49" s="92"/>
      <c r="FI49" s="94"/>
      <c r="FJ49" s="95"/>
      <c r="FK49" s="17"/>
      <c r="FL49" s="17"/>
      <c r="FM49" s="17"/>
      <c r="FN49" s="20"/>
      <c r="FO49" s="92"/>
      <c r="FP49" s="93"/>
      <c r="FQ49" s="92"/>
      <c r="FR49" s="94"/>
      <c r="FS49" s="95"/>
      <c r="FT49" s="17"/>
      <c r="FU49" s="17"/>
      <c r="FV49" s="17"/>
      <c r="FW49" s="20"/>
      <c r="FX49" s="92"/>
      <c r="FY49" s="93"/>
      <c r="FZ49" s="92"/>
      <c r="GA49" s="94"/>
      <c r="GB49" s="95"/>
      <c r="GC49" s="17"/>
      <c r="GD49" s="17"/>
      <c r="GE49" s="17"/>
      <c r="GF49" s="20"/>
      <c r="GG49" s="92"/>
      <c r="GH49" s="93"/>
      <c r="GI49" s="92"/>
      <c r="GJ49" s="94"/>
      <c r="GK49" s="95"/>
      <c r="GL49" s="17"/>
      <c r="GM49" s="17"/>
      <c r="GN49" s="17"/>
      <c r="GO49" s="20"/>
      <c r="GP49" s="92"/>
      <c r="GQ49" s="93"/>
      <c r="GR49" s="92"/>
      <c r="GS49" s="94"/>
      <c r="GT49" s="95"/>
      <c r="GU49" s="97"/>
      <c r="GV49" s="98"/>
      <c r="GW49" s="130"/>
      <c r="GX49" s="74"/>
      <c r="GY49" s="74"/>
      <c r="GZ49" s="141"/>
      <c r="HA49" s="86"/>
    </row>
    <row r="50" spans="1:209" x14ac:dyDescent="0.25">
      <c r="A50"/>
      <c r="D50" s="35"/>
      <c r="E50" s="36"/>
      <c r="F50" s="37"/>
      <c r="G50" s="38"/>
      <c r="H50" s="39"/>
      <c r="I50" s="40"/>
      <c r="J50" s="68"/>
      <c r="K50" s="69"/>
      <c r="L50" s="69"/>
      <c r="M50" s="70"/>
      <c r="N50" s="71"/>
      <c r="O50" s="56"/>
      <c r="P50" s="72"/>
      <c r="Q50" s="113">
        <f t="shared" si="1"/>
        <v>0</v>
      </c>
      <c r="R50" s="117"/>
      <c r="S50" s="117"/>
      <c r="T50" s="117"/>
      <c r="U50" s="39">
        <f t="shared" si="0"/>
        <v>0</v>
      </c>
      <c r="V50" s="138"/>
      <c r="W50" s="112"/>
      <c r="X50" s="121"/>
      <c r="Y50" s="17"/>
      <c r="Z50" s="20"/>
      <c r="AA50" s="92"/>
      <c r="AB50" s="93"/>
      <c r="AC50" s="92"/>
      <c r="AD50" s="94"/>
      <c r="AE50" s="95"/>
      <c r="AF50" s="17"/>
      <c r="AG50" s="17"/>
      <c r="AH50" s="17"/>
      <c r="AI50" s="20"/>
      <c r="AJ50" s="92"/>
      <c r="AK50" s="93"/>
      <c r="AL50" s="92"/>
      <c r="AM50" s="94"/>
      <c r="AN50" s="95"/>
      <c r="AO50" s="17"/>
      <c r="AP50" s="17"/>
      <c r="AQ50" s="17"/>
      <c r="AR50" s="20"/>
      <c r="AS50" s="92"/>
      <c r="AT50" s="93"/>
      <c r="AU50" s="92"/>
      <c r="AV50" s="94"/>
      <c r="AW50" s="95"/>
      <c r="AX50" s="17"/>
      <c r="AY50" s="17"/>
      <c r="AZ50" s="17"/>
      <c r="BA50" s="20"/>
      <c r="BB50" s="92"/>
      <c r="BC50" s="93"/>
      <c r="BD50" s="92"/>
      <c r="BE50" s="94"/>
      <c r="BF50" s="95"/>
      <c r="BG50" s="17"/>
      <c r="BH50" s="17"/>
      <c r="BI50" s="17"/>
      <c r="BJ50" s="20"/>
      <c r="BK50" s="92"/>
      <c r="BL50" s="93"/>
      <c r="BM50" s="92"/>
      <c r="BN50" s="94"/>
      <c r="BO50" s="95"/>
      <c r="BP50" s="17"/>
      <c r="BQ50" s="17"/>
      <c r="BR50" s="17"/>
      <c r="BS50" s="20"/>
      <c r="BT50" s="92"/>
      <c r="BU50" s="93"/>
      <c r="BV50" s="92"/>
      <c r="BW50" s="94"/>
      <c r="BX50" s="95"/>
      <c r="BY50" s="17"/>
      <c r="BZ50" s="17"/>
      <c r="CA50" s="17"/>
      <c r="CB50" s="20"/>
      <c r="CC50" s="92"/>
      <c r="CD50" s="93"/>
      <c r="CE50" s="92"/>
      <c r="CF50" s="94"/>
      <c r="CG50" s="95"/>
      <c r="CH50" s="17"/>
      <c r="CI50" s="17"/>
      <c r="CJ50" s="17"/>
      <c r="CK50" s="20"/>
      <c r="CL50" s="92"/>
      <c r="CM50" s="93"/>
      <c r="CN50" s="92"/>
      <c r="CO50" s="94"/>
      <c r="CP50" s="95"/>
      <c r="CQ50" s="17"/>
      <c r="CR50" s="17"/>
      <c r="CS50" s="17"/>
      <c r="CT50" s="20"/>
      <c r="CU50" s="92"/>
      <c r="CV50" s="93"/>
      <c r="CW50" s="92"/>
      <c r="CX50" s="94"/>
      <c r="CY50" s="95"/>
      <c r="CZ50" s="17"/>
      <c r="DA50" s="17"/>
      <c r="DB50" s="17"/>
      <c r="DC50" s="20"/>
      <c r="DD50" s="92"/>
      <c r="DE50" s="93"/>
      <c r="DF50" s="92"/>
      <c r="DG50" s="94"/>
      <c r="DH50" s="95"/>
      <c r="DI50" s="17"/>
      <c r="DJ50" s="17"/>
      <c r="DK50" s="17"/>
      <c r="DL50" s="20"/>
      <c r="DM50" s="92"/>
      <c r="DN50" s="93"/>
      <c r="DO50" s="92"/>
      <c r="DP50" s="94"/>
      <c r="DQ50" s="95"/>
      <c r="DR50" s="17"/>
      <c r="DS50" s="17"/>
      <c r="DT50" s="17"/>
      <c r="DU50" s="20"/>
      <c r="DV50" s="92"/>
      <c r="DW50" s="93"/>
      <c r="DX50" s="92"/>
      <c r="DY50" s="94"/>
      <c r="DZ50" s="95"/>
      <c r="EA50" s="17"/>
      <c r="EB50" s="17"/>
      <c r="EC50" s="17"/>
      <c r="ED50" s="20"/>
      <c r="EE50" s="92"/>
      <c r="EF50" s="93"/>
      <c r="EG50" s="92"/>
      <c r="EH50" s="94"/>
      <c r="EI50" s="95"/>
      <c r="EJ50" s="17"/>
      <c r="EK50" s="17"/>
      <c r="EL50" s="17"/>
      <c r="EM50" s="20"/>
      <c r="EN50" s="92"/>
      <c r="EO50" s="93"/>
      <c r="EP50" s="92"/>
      <c r="EQ50" s="94"/>
      <c r="ER50" s="95"/>
      <c r="ES50" s="17"/>
      <c r="ET50" s="17"/>
      <c r="EU50" s="17"/>
      <c r="EV50" s="20"/>
      <c r="EW50" s="92"/>
      <c r="EX50" s="93"/>
      <c r="EY50" s="92"/>
      <c r="EZ50" s="94"/>
      <c r="FA50" s="95"/>
      <c r="FB50" s="17"/>
      <c r="FC50" s="17"/>
      <c r="FD50" s="17"/>
      <c r="FE50" s="20"/>
      <c r="FF50" s="92"/>
      <c r="FG50" s="93"/>
      <c r="FH50" s="92"/>
      <c r="FI50" s="94"/>
      <c r="FJ50" s="95"/>
      <c r="FK50" s="17"/>
      <c r="FL50" s="17"/>
      <c r="FM50" s="17"/>
      <c r="FN50" s="20"/>
      <c r="FO50" s="92"/>
      <c r="FP50" s="93"/>
      <c r="FQ50" s="92"/>
      <c r="FR50" s="94"/>
      <c r="FS50" s="95"/>
      <c r="FT50" s="17"/>
      <c r="FU50" s="17"/>
      <c r="FV50" s="17"/>
      <c r="FW50" s="20"/>
      <c r="FX50" s="92"/>
      <c r="FY50" s="93"/>
      <c r="FZ50" s="92"/>
      <c r="GA50" s="94"/>
      <c r="GB50" s="95"/>
      <c r="GC50" s="17"/>
      <c r="GD50" s="17"/>
      <c r="GE50" s="17"/>
      <c r="GF50" s="20"/>
      <c r="GG50" s="92"/>
      <c r="GH50" s="93"/>
      <c r="GI50" s="92"/>
      <c r="GJ50" s="94"/>
      <c r="GK50" s="95"/>
      <c r="GL50" s="17"/>
      <c r="GM50" s="17"/>
      <c r="GN50" s="17"/>
      <c r="GO50" s="20"/>
      <c r="GP50" s="92"/>
      <c r="GQ50" s="93"/>
      <c r="GR50" s="92"/>
      <c r="GS50" s="94"/>
      <c r="GT50" s="95"/>
      <c r="GU50" s="97"/>
      <c r="GV50" s="98"/>
      <c r="GW50" s="130"/>
      <c r="GX50" s="141"/>
      <c r="GY50" s="141"/>
      <c r="GZ50" s="141"/>
      <c r="HA50" s="86"/>
    </row>
    <row r="51" spans="1:209" x14ac:dyDescent="0.25">
      <c r="A51"/>
      <c r="D51" s="35"/>
      <c r="E51" s="36"/>
      <c r="F51" s="37"/>
      <c r="G51" s="38"/>
      <c r="H51" s="39"/>
      <c r="I51" s="40"/>
      <c r="J51" s="68"/>
      <c r="K51" s="69"/>
      <c r="L51" s="69"/>
      <c r="M51" s="70"/>
      <c r="N51" s="71"/>
      <c r="O51" s="56"/>
      <c r="P51" s="72"/>
      <c r="Q51" s="113">
        <f t="shared" si="1"/>
        <v>0</v>
      </c>
      <c r="R51" s="117"/>
      <c r="S51" s="117"/>
      <c r="T51" s="117"/>
      <c r="U51" s="39">
        <f t="shared" si="0"/>
        <v>0</v>
      </c>
      <c r="V51" s="138"/>
      <c r="W51" s="112"/>
      <c r="X51" s="121"/>
      <c r="Y51" s="17"/>
      <c r="Z51" s="20"/>
      <c r="AA51" s="92"/>
      <c r="AB51" s="93"/>
      <c r="AC51" s="92"/>
      <c r="AD51" s="94"/>
      <c r="AE51" s="95"/>
      <c r="AF51" s="17"/>
      <c r="AG51" s="17"/>
      <c r="AH51" s="17"/>
      <c r="AI51" s="20"/>
      <c r="AJ51" s="92"/>
      <c r="AK51" s="93"/>
      <c r="AL51" s="92"/>
      <c r="AM51" s="94"/>
      <c r="AN51" s="95"/>
      <c r="AO51" s="17"/>
      <c r="AP51" s="17"/>
      <c r="AQ51" s="17"/>
      <c r="AR51" s="20"/>
      <c r="AS51" s="92"/>
      <c r="AT51" s="93"/>
      <c r="AU51" s="92"/>
      <c r="AV51" s="94"/>
      <c r="AW51" s="95"/>
      <c r="AX51" s="17"/>
      <c r="AY51" s="17"/>
      <c r="AZ51" s="17"/>
      <c r="BA51" s="20"/>
      <c r="BB51" s="92"/>
      <c r="BC51" s="93"/>
      <c r="BD51" s="92"/>
      <c r="BE51" s="94"/>
      <c r="BF51" s="95"/>
      <c r="BG51" s="17"/>
      <c r="BH51" s="17"/>
      <c r="BI51" s="17"/>
      <c r="BJ51" s="20"/>
      <c r="BK51" s="92"/>
      <c r="BL51" s="93"/>
      <c r="BM51" s="92"/>
      <c r="BN51" s="94"/>
      <c r="BO51" s="95"/>
      <c r="BP51" s="17"/>
      <c r="BQ51" s="17"/>
      <c r="BR51" s="17"/>
      <c r="BS51" s="20"/>
      <c r="BT51" s="92"/>
      <c r="BU51" s="93"/>
      <c r="BV51" s="92"/>
      <c r="BW51" s="94"/>
      <c r="BX51" s="95"/>
      <c r="BY51" s="17"/>
      <c r="BZ51" s="17"/>
      <c r="CA51" s="17"/>
      <c r="CB51" s="20"/>
      <c r="CC51" s="92"/>
      <c r="CD51" s="93"/>
      <c r="CE51" s="92"/>
      <c r="CF51" s="94"/>
      <c r="CG51" s="95"/>
      <c r="CH51" s="17"/>
      <c r="CI51" s="17"/>
      <c r="CJ51" s="17"/>
      <c r="CK51" s="20"/>
      <c r="CL51" s="92"/>
      <c r="CM51" s="93"/>
      <c r="CN51" s="92"/>
      <c r="CO51" s="94"/>
      <c r="CP51" s="95"/>
      <c r="CQ51" s="17"/>
      <c r="CR51" s="17"/>
      <c r="CS51" s="17"/>
      <c r="CT51" s="20"/>
      <c r="CU51" s="92"/>
      <c r="CV51" s="93"/>
      <c r="CW51" s="92"/>
      <c r="CX51" s="94"/>
      <c r="CY51" s="95"/>
      <c r="CZ51" s="17"/>
      <c r="DA51" s="17"/>
      <c r="DB51" s="17"/>
      <c r="DC51" s="20"/>
      <c r="DD51" s="92"/>
      <c r="DE51" s="93"/>
      <c r="DF51" s="92"/>
      <c r="DG51" s="94"/>
      <c r="DH51" s="95"/>
      <c r="DI51" s="17"/>
      <c r="DJ51" s="17"/>
      <c r="DK51" s="17"/>
      <c r="DL51" s="20"/>
      <c r="DM51" s="92"/>
      <c r="DN51" s="93"/>
      <c r="DO51" s="92"/>
      <c r="DP51" s="94"/>
      <c r="DQ51" s="95"/>
      <c r="DR51" s="17"/>
      <c r="DS51" s="17"/>
      <c r="DT51" s="17"/>
      <c r="DU51" s="20"/>
      <c r="DV51" s="92"/>
      <c r="DW51" s="93"/>
      <c r="DX51" s="92"/>
      <c r="DY51" s="94"/>
      <c r="DZ51" s="95"/>
      <c r="EA51" s="17"/>
      <c r="EB51" s="17"/>
      <c r="EC51" s="17"/>
      <c r="ED51" s="20"/>
      <c r="EE51" s="92"/>
      <c r="EF51" s="93"/>
      <c r="EG51" s="92"/>
      <c r="EH51" s="94"/>
      <c r="EI51" s="95"/>
      <c r="EJ51" s="17"/>
      <c r="EK51" s="17"/>
      <c r="EL51" s="17"/>
      <c r="EM51" s="20"/>
      <c r="EN51" s="92"/>
      <c r="EO51" s="93"/>
      <c r="EP51" s="92"/>
      <c r="EQ51" s="94"/>
      <c r="ER51" s="95"/>
      <c r="ES51" s="17"/>
      <c r="ET51" s="17"/>
      <c r="EU51" s="17"/>
      <c r="EV51" s="20"/>
      <c r="EW51" s="92"/>
      <c r="EX51" s="93"/>
      <c r="EY51" s="92"/>
      <c r="EZ51" s="94"/>
      <c r="FA51" s="95"/>
      <c r="FB51" s="17"/>
      <c r="FC51" s="17"/>
      <c r="FD51" s="17"/>
      <c r="FE51" s="20"/>
      <c r="FF51" s="92"/>
      <c r="FG51" s="93"/>
      <c r="FH51" s="92"/>
      <c r="FI51" s="94"/>
      <c r="FJ51" s="95"/>
      <c r="FK51" s="17"/>
      <c r="FL51" s="17"/>
      <c r="FM51" s="17"/>
      <c r="FN51" s="20"/>
      <c r="FO51" s="92"/>
      <c r="FP51" s="93"/>
      <c r="FQ51" s="92"/>
      <c r="FR51" s="94"/>
      <c r="FS51" s="95"/>
      <c r="FT51" s="17"/>
      <c r="FU51" s="17"/>
      <c r="FV51" s="17"/>
      <c r="FW51" s="20"/>
      <c r="FX51" s="92"/>
      <c r="FY51" s="93"/>
      <c r="FZ51" s="92"/>
      <c r="GA51" s="94"/>
      <c r="GB51" s="95"/>
      <c r="GC51" s="17"/>
      <c r="GD51" s="17"/>
      <c r="GE51" s="17"/>
      <c r="GF51" s="20"/>
      <c r="GG51" s="92"/>
      <c r="GH51" s="93"/>
      <c r="GI51" s="92"/>
      <c r="GJ51" s="94"/>
      <c r="GK51" s="95"/>
      <c r="GL51" s="17"/>
      <c r="GM51" s="17"/>
      <c r="GN51" s="17"/>
      <c r="GO51" s="20"/>
      <c r="GP51" s="92"/>
      <c r="GQ51" s="93"/>
      <c r="GR51" s="92"/>
      <c r="GS51" s="94"/>
      <c r="GT51" s="95"/>
      <c r="GU51" s="97"/>
      <c r="GV51" s="98"/>
      <c r="GW51" s="130"/>
      <c r="GX51" s="141"/>
      <c r="GY51" s="141"/>
      <c r="GZ51" s="141"/>
      <c r="HA51" s="86"/>
    </row>
    <row r="52" spans="1:209" x14ac:dyDescent="0.25">
      <c r="A52"/>
      <c r="D52" s="35"/>
      <c r="E52" s="36"/>
      <c r="F52" s="37"/>
      <c r="G52" s="38"/>
      <c r="H52" s="39"/>
      <c r="I52" s="40"/>
      <c r="J52" s="76"/>
      <c r="K52" s="69"/>
      <c r="L52" s="69"/>
      <c r="M52" s="70"/>
      <c r="N52" s="71"/>
      <c r="O52" s="142"/>
      <c r="P52" s="72"/>
      <c r="Q52" s="113">
        <f t="shared" si="1"/>
        <v>0</v>
      </c>
      <c r="R52" s="117"/>
      <c r="S52" s="117"/>
      <c r="T52" s="117"/>
      <c r="U52" s="39">
        <f t="shared" si="0"/>
        <v>0</v>
      </c>
      <c r="V52" s="143"/>
      <c r="W52" s="144"/>
      <c r="X52" s="145"/>
      <c r="Y52" s="146"/>
      <c r="Z52" s="147"/>
      <c r="AA52" s="148"/>
      <c r="AB52" s="149"/>
      <c r="AC52" s="148"/>
      <c r="AD52" s="150"/>
      <c r="AE52" s="151"/>
      <c r="AF52" s="146"/>
      <c r="AG52" s="146"/>
      <c r="AH52" s="146"/>
      <c r="AI52" s="147"/>
      <c r="AJ52" s="148"/>
      <c r="AK52" s="149"/>
      <c r="AL52" s="148"/>
      <c r="AM52" s="150"/>
      <c r="AN52" s="151"/>
      <c r="AO52" s="146"/>
      <c r="AP52" s="146"/>
      <c r="AQ52" s="146"/>
      <c r="AR52" s="147"/>
      <c r="AS52" s="148"/>
      <c r="AT52" s="149"/>
      <c r="AU52" s="148"/>
      <c r="AV52" s="150"/>
      <c r="AW52" s="151"/>
      <c r="AX52" s="146"/>
      <c r="AY52" s="146"/>
      <c r="AZ52" s="146"/>
      <c r="BA52" s="147"/>
      <c r="BB52" s="148"/>
      <c r="BC52" s="149"/>
      <c r="BD52" s="148"/>
      <c r="BE52" s="150"/>
      <c r="BF52" s="151"/>
      <c r="BG52" s="146"/>
      <c r="BH52" s="146"/>
      <c r="BI52" s="146"/>
      <c r="BJ52" s="147"/>
      <c r="BK52" s="148"/>
      <c r="BL52" s="149"/>
      <c r="BM52" s="148"/>
      <c r="BN52" s="150"/>
      <c r="BO52" s="151"/>
      <c r="BP52" s="146"/>
      <c r="BQ52" s="146"/>
      <c r="BR52" s="146"/>
      <c r="BS52" s="147"/>
      <c r="BT52" s="148"/>
      <c r="BU52" s="149"/>
      <c r="BV52" s="148"/>
      <c r="BW52" s="150"/>
      <c r="BX52" s="151"/>
      <c r="BY52" s="146"/>
      <c r="BZ52" s="146"/>
      <c r="CA52" s="146"/>
      <c r="CB52" s="147"/>
      <c r="CC52" s="148"/>
      <c r="CD52" s="149"/>
      <c r="CE52" s="148"/>
      <c r="CF52" s="150"/>
      <c r="CG52" s="151"/>
      <c r="CH52" s="146"/>
      <c r="CI52" s="146"/>
      <c r="CJ52" s="146"/>
      <c r="CK52" s="147"/>
      <c r="CL52" s="148"/>
      <c r="CM52" s="149"/>
      <c r="CN52" s="148"/>
      <c r="CO52" s="150"/>
      <c r="CP52" s="151"/>
      <c r="CQ52" s="146"/>
      <c r="CR52" s="146"/>
      <c r="CS52" s="146"/>
      <c r="CT52" s="147"/>
      <c r="CU52" s="148"/>
      <c r="CV52" s="149"/>
      <c r="CW52" s="148"/>
      <c r="CX52" s="150"/>
      <c r="CY52" s="151"/>
      <c r="CZ52" s="146"/>
      <c r="DA52" s="146"/>
      <c r="DB52" s="146"/>
      <c r="DC52" s="147"/>
      <c r="DD52" s="148"/>
      <c r="DE52" s="149"/>
      <c r="DF52" s="148"/>
      <c r="DG52" s="150"/>
      <c r="DH52" s="151"/>
      <c r="DI52" s="146"/>
      <c r="DJ52" s="146"/>
      <c r="DK52" s="146"/>
      <c r="DL52" s="147"/>
      <c r="DM52" s="148"/>
      <c r="DN52" s="149"/>
      <c r="DO52" s="148"/>
      <c r="DP52" s="150"/>
      <c r="DQ52" s="151"/>
      <c r="DR52" s="146"/>
      <c r="DS52" s="146"/>
      <c r="DT52" s="146"/>
      <c r="DU52" s="147"/>
      <c r="DV52" s="148"/>
      <c r="DW52" s="149"/>
      <c r="DX52" s="148"/>
      <c r="DY52" s="150"/>
      <c r="DZ52" s="151"/>
      <c r="EA52" s="146"/>
      <c r="EB52" s="146"/>
      <c r="EC52" s="146"/>
      <c r="ED52" s="147"/>
      <c r="EE52" s="148"/>
      <c r="EF52" s="149"/>
      <c r="EG52" s="148"/>
      <c r="EH52" s="150"/>
      <c r="EI52" s="151"/>
      <c r="EJ52" s="146"/>
      <c r="EK52" s="146"/>
      <c r="EL52" s="146"/>
      <c r="EM52" s="147"/>
      <c r="EN52" s="148"/>
      <c r="EO52" s="149"/>
      <c r="EP52" s="148"/>
      <c r="EQ52" s="150"/>
      <c r="ER52" s="151"/>
      <c r="ES52" s="146"/>
      <c r="ET52" s="146"/>
      <c r="EU52" s="146"/>
      <c r="EV52" s="147"/>
      <c r="EW52" s="148"/>
      <c r="EX52" s="149"/>
      <c r="EY52" s="148"/>
      <c r="EZ52" s="150"/>
      <c r="FA52" s="151"/>
      <c r="FB52" s="146"/>
      <c r="FC52" s="146"/>
      <c r="FD52" s="146"/>
      <c r="FE52" s="147"/>
      <c r="FF52" s="148"/>
      <c r="FG52" s="149"/>
      <c r="FH52" s="148"/>
      <c r="FI52" s="150"/>
      <c r="FJ52" s="151"/>
      <c r="FK52" s="146"/>
      <c r="FL52" s="146"/>
      <c r="FM52" s="146"/>
      <c r="FN52" s="147"/>
      <c r="FO52" s="148"/>
      <c r="FP52" s="149"/>
      <c r="FQ52" s="148"/>
      <c r="FR52" s="150"/>
      <c r="FS52" s="151"/>
      <c r="FT52" s="146"/>
      <c r="FU52" s="146"/>
      <c r="FV52" s="146"/>
      <c r="FW52" s="147"/>
      <c r="FX52" s="148"/>
      <c r="FY52" s="149"/>
      <c r="FZ52" s="148"/>
      <c r="GA52" s="150"/>
      <c r="GB52" s="151"/>
      <c r="GC52" s="146"/>
      <c r="GD52" s="146"/>
      <c r="GE52" s="146"/>
      <c r="GF52" s="147"/>
      <c r="GG52" s="148"/>
      <c r="GH52" s="149"/>
      <c r="GI52" s="148"/>
      <c r="GJ52" s="150"/>
      <c r="GK52" s="151"/>
      <c r="GL52" s="146"/>
      <c r="GM52" s="146"/>
      <c r="GN52" s="146"/>
      <c r="GO52" s="147"/>
      <c r="GP52" s="148"/>
      <c r="GQ52" s="149"/>
      <c r="GR52" s="148"/>
      <c r="GS52" s="150"/>
      <c r="GT52" s="151"/>
      <c r="GU52" s="152"/>
      <c r="GV52" s="131"/>
      <c r="GW52" s="153"/>
      <c r="GX52" s="141"/>
      <c r="GY52" s="141"/>
      <c r="GZ52" s="141"/>
      <c r="HA52" s="86"/>
    </row>
    <row r="53" spans="1:209" x14ac:dyDescent="0.25">
      <c r="A53"/>
      <c r="D53" s="35"/>
      <c r="E53" s="36"/>
      <c r="F53" s="37"/>
      <c r="G53" s="38"/>
      <c r="H53" s="39"/>
      <c r="I53" s="40"/>
      <c r="J53" s="68"/>
      <c r="K53" s="69"/>
      <c r="L53" s="69"/>
      <c r="M53" s="70"/>
      <c r="N53" s="71"/>
      <c r="O53" s="142"/>
      <c r="P53" s="72"/>
      <c r="Q53" s="113">
        <f t="shared" si="1"/>
        <v>0</v>
      </c>
      <c r="R53" s="117"/>
      <c r="S53" s="117"/>
      <c r="T53" s="117"/>
      <c r="U53" s="39">
        <f t="shared" si="0"/>
        <v>0</v>
      </c>
      <c r="V53" s="143"/>
      <c r="W53" s="154"/>
      <c r="X53" s="155"/>
      <c r="Y53" s="146"/>
      <c r="Z53" s="147"/>
      <c r="AA53" s="148"/>
      <c r="AB53" s="149"/>
      <c r="AC53" s="148"/>
      <c r="AD53" s="150"/>
      <c r="AE53" s="151"/>
      <c r="AF53" s="146"/>
      <c r="AG53" s="146"/>
      <c r="AH53" s="146"/>
      <c r="AI53" s="147"/>
      <c r="AJ53" s="148"/>
      <c r="AK53" s="149"/>
      <c r="AL53" s="148"/>
      <c r="AM53" s="150"/>
      <c r="AN53" s="151"/>
      <c r="AO53" s="146"/>
      <c r="AP53" s="146"/>
      <c r="AQ53" s="146"/>
      <c r="AR53" s="147"/>
      <c r="AS53" s="148"/>
      <c r="AT53" s="149"/>
      <c r="AU53" s="148"/>
      <c r="AV53" s="150"/>
      <c r="AW53" s="151"/>
      <c r="AX53" s="146"/>
      <c r="AY53" s="146"/>
      <c r="AZ53" s="146"/>
      <c r="BA53" s="147"/>
      <c r="BB53" s="148"/>
      <c r="BC53" s="149"/>
      <c r="BD53" s="148"/>
      <c r="BE53" s="150"/>
      <c r="BF53" s="151"/>
      <c r="BG53" s="146"/>
      <c r="BH53" s="146"/>
      <c r="BI53" s="146"/>
      <c r="BJ53" s="147"/>
      <c r="BK53" s="148"/>
      <c r="BL53" s="149"/>
      <c r="BM53" s="148"/>
      <c r="BN53" s="150"/>
      <c r="BO53" s="151"/>
      <c r="BP53" s="146"/>
      <c r="BQ53" s="146"/>
      <c r="BR53" s="146"/>
      <c r="BS53" s="147"/>
      <c r="BT53" s="148"/>
      <c r="BU53" s="149"/>
      <c r="BV53" s="148"/>
      <c r="BW53" s="150"/>
      <c r="BX53" s="151"/>
      <c r="BY53" s="146"/>
      <c r="BZ53" s="146"/>
      <c r="CA53" s="146"/>
      <c r="CB53" s="147"/>
      <c r="CC53" s="148"/>
      <c r="CD53" s="149"/>
      <c r="CE53" s="148"/>
      <c r="CF53" s="150"/>
      <c r="CG53" s="151"/>
      <c r="CH53" s="146"/>
      <c r="CI53" s="146"/>
      <c r="CJ53" s="146"/>
      <c r="CK53" s="147"/>
      <c r="CL53" s="148"/>
      <c r="CM53" s="149"/>
      <c r="CN53" s="148"/>
      <c r="CO53" s="150"/>
      <c r="CP53" s="151"/>
      <c r="CQ53" s="146"/>
      <c r="CR53" s="146"/>
      <c r="CS53" s="146"/>
      <c r="CT53" s="147"/>
      <c r="CU53" s="148"/>
      <c r="CV53" s="149"/>
      <c r="CW53" s="148"/>
      <c r="CX53" s="150"/>
      <c r="CY53" s="151"/>
      <c r="CZ53" s="146"/>
      <c r="DA53" s="146"/>
      <c r="DB53" s="146"/>
      <c r="DC53" s="147"/>
      <c r="DD53" s="148"/>
      <c r="DE53" s="149"/>
      <c r="DF53" s="148"/>
      <c r="DG53" s="150"/>
      <c r="DH53" s="151"/>
      <c r="DI53" s="146"/>
      <c r="DJ53" s="146"/>
      <c r="DK53" s="146"/>
      <c r="DL53" s="147"/>
      <c r="DM53" s="148"/>
      <c r="DN53" s="149"/>
      <c r="DO53" s="148"/>
      <c r="DP53" s="150"/>
      <c r="DQ53" s="151"/>
      <c r="DR53" s="146"/>
      <c r="DS53" s="146"/>
      <c r="DT53" s="146"/>
      <c r="DU53" s="147"/>
      <c r="DV53" s="148"/>
      <c r="DW53" s="149"/>
      <c r="DX53" s="148"/>
      <c r="DY53" s="150"/>
      <c r="DZ53" s="151"/>
      <c r="EA53" s="146"/>
      <c r="EB53" s="146"/>
      <c r="EC53" s="146"/>
      <c r="ED53" s="147"/>
      <c r="EE53" s="148"/>
      <c r="EF53" s="149"/>
      <c r="EG53" s="148"/>
      <c r="EH53" s="150"/>
      <c r="EI53" s="151"/>
      <c r="EJ53" s="146"/>
      <c r="EK53" s="146"/>
      <c r="EL53" s="146"/>
      <c r="EM53" s="147"/>
      <c r="EN53" s="148"/>
      <c r="EO53" s="149"/>
      <c r="EP53" s="148"/>
      <c r="EQ53" s="150"/>
      <c r="ER53" s="151"/>
      <c r="ES53" s="146"/>
      <c r="ET53" s="146"/>
      <c r="EU53" s="146"/>
      <c r="EV53" s="147"/>
      <c r="EW53" s="148"/>
      <c r="EX53" s="149"/>
      <c r="EY53" s="148"/>
      <c r="EZ53" s="150"/>
      <c r="FA53" s="151"/>
      <c r="FB53" s="146"/>
      <c r="FC53" s="146"/>
      <c r="FD53" s="146"/>
      <c r="FE53" s="147"/>
      <c r="FF53" s="148"/>
      <c r="FG53" s="149"/>
      <c r="FH53" s="148"/>
      <c r="FI53" s="150"/>
      <c r="FJ53" s="151"/>
      <c r="FK53" s="146"/>
      <c r="FL53" s="146"/>
      <c r="FM53" s="146"/>
      <c r="FN53" s="147"/>
      <c r="FO53" s="148"/>
      <c r="FP53" s="149"/>
      <c r="FQ53" s="148"/>
      <c r="FR53" s="150"/>
      <c r="FS53" s="151"/>
      <c r="FT53" s="146"/>
      <c r="FU53" s="146"/>
      <c r="FV53" s="146"/>
      <c r="FW53" s="147"/>
      <c r="FX53" s="148"/>
      <c r="FY53" s="149"/>
      <c r="FZ53" s="148"/>
      <c r="GA53" s="150"/>
      <c r="GB53" s="151"/>
      <c r="GC53" s="146"/>
      <c r="GD53" s="146"/>
      <c r="GE53" s="146"/>
      <c r="GF53" s="147"/>
      <c r="GG53" s="148"/>
      <c r="GH53" s="149"/>
      <c r="GI53" s="148"/>
      <c r="GJ53" s="150"/>
      <c r="GK53" s="151"/>
      <c r="GL53" s="146"/>
      <c r="GM53" s="146"/>
      <c r="GN53" s="146"/>
      <c r="GO53" s="147"/>
      <c r="GP53" s="148"/>
      <c r="GQ53" s="149"/>
      <c r="GR53" s="148"/>
      <c r="GS53" s="150"/>
      <c r="GT53" s="151"/>
      <c r="GU53" s="154"/>
      <c r="GV53" s="156"/>
      <c r="GW53" s="153"/>
      <c r="GX53" s="141"/>
      <c r="GY53" s="141"/>
      <c r="GZ53" s="141"/>
      <c r="HA53" s="86"/>
    </row>
    <row r="54" spans="1:209" x14ac:dyDescent="0.25">
      <c r="A54"/>
      <c r="D54" s="35"/>
      <c r="E54" s="36"/>
      <c r="F54" s="37"/>
      <c r="G54" s="38"/>
      <c r="H54" s="39"/>
      <c r="I54" s="40"/>
      <c r="J54" s="68"/>
      <c r="K54" s="69"/>
      <c r="L54" s="69"/>
      <c r="M54" s="70"/>
      <c r="N54" s="71"/>
      <c r="O54" s="142"/>
      <c r="P54" s="72"/>
      <c r="Q54" s="113">
        <f t="shared" si="1"/>
        <v>0</v>
      </c>
      <c r="R54" s="117"/>
      <c r="S54" s="117"/>
      <c r="T54" s="117"/>
      <c r="U54" s="39">
        <f t="shared" si="0"/>
        <v>0</v>
      </c>
      <c r="V54" s="143"/>
      <c r="W54" s="154"/>
      <c r="X54" s="157"/>
      <c r="Y54" s="146"/>
      <c r="Z54" s="147"/>
      <c r="AA54" s="148"/>
      <c r="AB54" s="149"/>
      <c r="AC54" s="148"/>
      <c r="AD54" s="150"/>
      <c r="AE54" s="151"/>
      <c r="AF54" s="146"/>
      <c r="AG54" s="146"/>
      <c r="AH54" s="146"/>
      <c r="AI54" s="147"/>
      <c r="AJ54" s="148"/>
      <c r="AK54" s="149"/>
      <c r="AL54" s="148"/>
      <c r="AM54" s="150"/>
      <c r="AN54" s="151"/>
      <c r="AO54" s="146"/>
      <c r="AP54" s="146"/>
      <c r="AQ54" s="146"/>
      <c r="AR54" s="147"/>
      <c r="AS54" s="148"/>
      <c r="AT54" s="149"/>
      <c r="AU54" s="148"/>
      <c r="AV54" s="150"/>
      <c r="AW54" s="151"/>
      <c r="AX54" s="146"/>
      <c r="AY54" s="146"/>
      <c r="AZ54" s="146"/>
      <c r="BA54" s="147"/>
      <c r="BB54" s="148"/>
      <c r="BC54" s="149"/>
      <c r="BD54" s="148"/>
      <c r="BE54" s="150"/>
      <c r="BF54" s="151"/>
      <c r="BG54" s="146"/>
      <c r="BH54" s="146"/>
      <c r="BI54" s="146"/>
      <c r="BJ54" s="147"/>
      <c r="BK54" s="148"/>
      <c r="BL54" s="149"/>
      <c r="BM54" s="148"/>
      <c r="BN54" s="150"/>
      <c r="BO54" s="151"/>
      <c r="BP54" s="146"/>
      <c r="BQ54" s="146"/>
      <c r="BR54" s="146"/>
      <c r="BS54" s="147"/>
      <c r="BT54" s="148"/>
      <c r="BU54" s="149"/>
      <c r="BV54" s="148"/>
      <c r="BW54" s="150"/>
      <c r="BX54" s="151"/>
      <c r="BY54" s="146"/>
      <c r="BZ54" s="146"/>
      <c r="CA54" s="146"/>
      <c r="CB54" s="147"/>
      <c r="CC54" s="148"/>
      <c r="CD54" s="149"/>
      <c r="CE54" s="148"/>
      <c r="CF54" s="150"/>
      <c r="CG54" s="151"/>
      <c r="CH54" s="146"/>
      <c r="CI54" s="146"/>
      <c r="CJ54" s="146"/>
      <c r="CK54" s="147"/>
      <c r="CL54" s="148"/>
      <c r="CM54" s="149"/>
      <c r="CN54" s="148"/>
      <c r="CO54" s="150"/>
      <c r="CP54" s="151"/>
      <c r="CQ54" s="146"/>
      <c r="CR54" s="146"/>
      <c r="CS54" s="146"/>
      <c r="CT54" s="147"/>
      <c r="CU54" s="148"/>
      <c r="CV54" s="149"/>
      <c r="CW54" s="148"/>
      <c r="CX54" s="150"/>
      <c r="CY54" s="151"/>
      <c r="CZ54" s="146"/>
      <c r="DA54" s="146"/>
      <c r="DB54" s="146"/>
      <c r="DC54" s="147"/>
      <c r="DD54" s="148"/>
      <c r="DE54" s="149"/>
      <c r="DF54" s="148"/>
      <c r="DG54" s="150"/>
      <c r="DH54" s="151"/>
      <c r="DI54" s="146"/>
      <c r="DJ54" s="146"/>
      <c r="DK54" s="146"/>
      <c r="DL54" s="147"/>
      <c r="DM54" s="148"/>
      <c r="DN54" s="149"/>
      <c r="DO54" s="148"/>
      <c r="DP54" s="150"/>
      <c r="DQ54" s="151"/>
      <c r="DR54" s="146"/>
      <c r="DS54" s="146"/>
      <c r="DT54" s="146"/>
      <c r="DU54" s="147"/>
      <c r="DV54" s="148"/>
      <c r="DW54" s="149"/>
      <c r="DX54" s="148"/>
      <c r="DY54" s="150"/>
      <c r="DZ54" s="151"/>
      <c r="EA54" s="146"/>
      <c r="EB54" s="146"/>
      <c r="EC54" s="146"/>
      <c r="ED54" s="147"/>
      <c r="EE54" s="148"/>
      <c r="EF54" s="149"/>
      <c r="EG54" s="148"/>
      <c r="EH54" s="150"/>
      <c r="EI54" s="151"/>
      <c r="EJ54" s="146"/>
      <c r="EK54" s="146"/>
      <c r="EL54" s="146"/>
      <c r="EM54" s="147"/>
      <c r="EN54" s="148"/>
      <c r="EO54" s="149"/>
      <c r="EP54" s="148"/>
      <c r="EQ54" s="150"/>
      <c r="ER54" s="151"/>
      <c r="ES54" s="146"/>
      <c r="ET54" s="146"/>
      <c r="EU54" s="146"/>
      <c r="EV54" s="147"/>
      <c r="EW54" s="148"/>
      <c r="EX54" s="149"/>
      <c r="EY54" s="148"/>
      <c r="EZ54" s="150"/>
      <c r="FA54" s="151"/>
      <c r="FB54" s="146"/>
      <c r="FC54" s="146"/>
      <c r="FD54" s="146"/>
      <c r="FE54" s="147"/>
      <c r="FF54" s="148"/>
      <c r="FG54" s="149"/>
      <c r="FH54" s="148"/>
      <c r="FI54" s="150"/>
      <c r="FJ54" s="151"/>
      <c r="FK54" s="146"/>
      <c r="FL54" s="146"/>
      <c r="FM54" s="146"/>
      <c r="FN54" s="147"/>
      <c r="FO54" s="148"/>
      <c r="FP54" s="149"/>
      <c r="FQ54" s="148"/>
      <c r="FR54" s="150"/>
      <c r="FS54" s="151"/>
      <c r="FT54" s="146"/>
      <c r="FU54" s="146"/>
      <c r="FV54" s="146"/>
      <c r="FW54" s="147"/>
      <c r="FX54" s="148"/>
      <c r="FY54" s="149"/>
      <c r="FZ54" s="148"/>
      <c r="GA54" s="150"/>
      <c r="GB54" s="151"/>
      <c r="GC54" s="146"/>
      <c r="GD54" s="146"/>
      <c r="GE54" s="146"/>
      <c r="GF54" s="147"/>
      <c r="GG54" s="148"/>
      <c r="GH54" s="149"/>
      <c r="GI54" s="148"/>
      <c r="GJ54" s="150"/>
      <c r="GK54" s="151"/>
      <c r="GL54" s="146"/>
      <c r="GM54" s="146"/>
      <c r="GN54" s="146"/>
      <c r="GO54" s="147"/>
      <c r="GP54" s="148"/>
      <c r="GQ54" s="149"/>
      <c r="GR54" s="148"/>
      <c r="GS54" s="150"/>
      <c r="GT54" s="151"/>
      <c r="GU54" s="154"/>
      <c r="GV54" s="156"/>
      <c r="GW54" s="153"/>
      <c r="GX54" s="141"/>
      <c r="GY54" s="141"/>
      <c r="GZ54" s="141"/>
      <c r="HA54" s="86"/>
    </row>
    <row r="55" spans="1:209" x14ac:dyDescent="0.25">
      <c r="A55"/>
      <c r="D55" s="35"/>
      <c r="E55" s="36"/>
      <c r="F55" s="37"/>
      <c r="G55" s="38"/>
      <c r="H55" s="39"/>
      <c r="I55" s="40"/>
      <c r="J55" s="68"/>
      <c r="K55" s="69"/>
      <c r="L55" s="69"/>
      <c r="M55" s="70"/>
      <c r="N55" s="71"/>
      <c r="O55" s="142"/>
      <c r="P55" s="72"/>
      <c r="Q55" s="113">
        <f t="shared" si="1"/>
        <v>0</v>
      </c>
      <c r="R55" s="117"/>
      <c r="S55" s="117"/>
      <c r="T55" s="117"/>
      <c r="U55" s="39">
        <f t="shared" si="0"/>
        <v>0</v>
      </c>
      <c r="V55" s="143"/>
      <c r="W55" s="154"/>
      <c r="X55" s="155"/>
      <c r="Y55" s="146"/>
      <c r="Z55" s="147"/>
      <c r="AA55" s="148"/>
      <c r="AB55" s="149"/>
      <c r="AC55" s="148"/>
      <c r="AD55" s="150"/>
      <c r="AE55" s="151"/>
      <c r="AF55" s="146"/>
      <c r="AG55" s="146"/>
      <c r="AH55" s="146"/>
      <c r="AI55" s="147"/>
      <c r="AJ55" s="148"/>
      <c r="AK55" s="149"/>
      <c r="AL55" s="148"/>
      <c r="AM55" s="150"/>
      <c r="AN55" s="151"/>
      <c r="AO55" s="146"/>
      <c r="AP55" s="146"/>
      <c r="AQ55" s="146"/>
      <c r="AR55" s="147"/>
      <c r="AS55" s="148"/>
      <c r="AT55" s="149"/>
      <c r="AU55" s="148"/>
      <c r="AV55" s="150"/>
      <c r="AW55" s="151"/>
      <c r="AX55" s="146"/>
      <c r="AY55" s="146"/>
      <c r="AZ55" s="146"/>
      <c r="BA55" s="147"/>
      <c r="BB55" s="148"/>
      <c r="BC55" s="149"/>
      <c r="BD55" s="148"/>
      <c r="BE55" s="150"/>
      <c r="BF55" s="151"/>
      <c r="BG55" s="146"/>
      <c r="BH55" s="146"/>
      <c r="BI55" s="146"/>
      <c r="BJ55" s="147"/>
      <c r="BK55" s="148"/>
      <c r="BL55" s="149"/>
      <c r="BM55" s="148"/>
      <c r="BN55" s="150"/>
      <c r="BO55" s="151"/>
      <c r="BP55" s="146"/>
      <c r="BQ55" s="146"/>
      <c r="BR55" s="146"/>
      <c r="BS55" s="147"/>
      <c r="BT55" s="148"/>
      <c r="BU55" s="149"/>
      <c r="BV55" s="148"/>
      <c r="BW55" s="150"/>
      <c r="BX55" s="151"/>
      <c r="BY55" s="146"/>
      <c r="BZ55" s="146"/>
      <c r="CA55" s="146"/>
      <c r="CB55" s="147"/>
      <c r="CC55" s="148"/>
      <c r="CD55" s="149"/>
      <c r="CE55" s="148"/>
      <c r="CF55" s="150"/>
      <c r="CG55" s="151"/>
      <c r="CH55" s="146"/>
      <c r="CI55" s="146"/>
      <c r="CJ55" s="146"/>
      <c r="CK55" s="147"/>
      <c r="CL55" s="148"/>
      <c r="CM55" s="149"/>
      <c r="CN55" s="148"/>
      <c r="CO55" s="150"/>
      <c r="CP55" s="151"/>
      <c r="CQ55" s="146"/>
      <c r="CR55" s="146"/>
      <c r="CS55" s="146"/>
      <c r="CT55" s="147"/>
      <c r="CU55" s="148"/>
      <c r="CV55" s="149"/>
      <c r="CW55" s="148"/>
      <c r="CX55" s="150"/>
      <c r="CY55" s="151"/>
      <c r="CZ55" s="146"/>
      <c r="DA55" s="146"/>
      <c r="DB55" s="146"/>
      <c r="DC55" s="147"/>
      <c r="DD55" s="148"/>
      <c r="DE55" s="149"/>
      <c r="DF55" s="148"/>
      <c r="DG55" s="150"/>
      <c r="DH55" s="151"/>
      <c r="DI55" s="146"/>
      <c r="DJ55" s="146"/>
      <c r="DK55" s="146"/>
      <c r="DL55" s="147"/>
      <c r="DM55" s="148"/>
      <c r="DN55" s="149"/>
      <c r="DO55" s="148"/>
      <c r="DP55" s="150"/>
      <c r="DQ55" s="151"/>
      <c r="DR55" s="146"/>
      <c r="DS55" s="146"/>
      <c r="DT55" s="146"/>
      <c r="DU55" s="147"/>
      <c r="DV55" s="148"/>
      <c r="DW55" s="149"/>
      <c r="DX55" s="148"/>
      <c r="DY55" s="150"/>
      <c r="DZ55" s="151"/>
      <c r="EA55" s="146"/>
      <c r="EB55" s="146"/>
      <c r="EC55" s="146"/>
      <c r="ED55" s="147"/>
      <c r="EE55" s="148"/>
      <c r="EF55" s="149"/>
      <c r="EG55" s="148"/>
      <c r="EH55" s="150"/>
      <c r="EI55" s="151"/>
      <c r="EJ55" s="146"/>
      <c r="EK55" s="146"/>
      <c r="EL55" s="146"/>
      <c r="EM55" s="147"/>
      <c r="EN55" s="148"/>
      <c r="EO55" s="149"/>
      <c r="EP55" s="148"/>
      <c r="EQ55" s="150"/>
      <c r="ER55" s="151"/>
      <c r="ES55" s="146"/>
      <c r="ET55" s="146"/>
      <c r="EU55" s="146"/>
      <c r="EV55" s="147"/>
      <c r="EW55" s="148"/>
      <c r="EX55" s="149"/>
      <c r="EY55" s="148"/>
      <c r="EZ55" s="150"/>
      <c r="FA55" s="151"/>
      <c r="FB55" s="146"/>
      <c r="FC55" s="146"/>
      <c r="FD55" s="146"/>
      <c r="FE55" s="147"/>
      <c r="FF55" s="148"/>
      <c r="FG55" s="149"/>
      <c r="FH55" s="148"/>
      <c r="FI55" s="150"/>
      <c r="FJ55" s="151"/>
      <c r="FK55" s="146"/>
      <c r="FL55" s="146"/>
      <c r="FM55" s="146"/>
      <c r="FN55" s="147"/>
      <c r="FO55" s="148"/>
      <c r="FP55" s="149"/>
      <c r="FQ55" s="148"/>
      <c r="FR55" s="150"/>
      <c r="FS55" s="151"/>
      <c r="FT55" s="146"/>
      <c r="FU55" s="146"/>
      <c r="FV55" s="146"/>
      <c r="FW55" s="147"/>
      <c r="FX55" s="148"/>
      <c r="FY55" s="149"/>
      <c r="FZ55" s="148"/>
      <c r="GA55" s="150"/>
      <c r="GB55" s="151"/>
      <c r="GC55" s="146"/>
      <c r="GD55" s="146"/>
      <c r="GE55" s="146"/>
      <c r="GF55" s="147"/>
      <c r="GG55" s="148"/>
      <c r="GH55" s="149"/>
      <c r="GI55" s="148"/>
      <c r="GJ55" s="150"/>
      <c r="GK55" s="151"/>
      <c r="GL55" s="146"/>
      <c r="GM55" s="146"/>
      <c r="GN55" s="146"/>
      <c r="GO55" s="147"/>
      <c r="GP55" s="148"/>
      <c r="GQ55" s="149"/>
      <c r="GR55" s="148"/>
      <c r="GS55" s="150"/>
      <c r="GT55" s="151"/>
      <c r="GU55" s="154"/>
      <c r="GV55" s="156"/>
      <c r="GW55" s="153"/>
      <c r="GX55" s="141"/>
      <c r="GY55" s="141"/>
      <c r="GZ55" s="141"/>
      <c r="HA55" s="86"/>
    </row>
    <row r="56" spans="1:209" x14ac:dyDescent="0.25">
      <c r="A56"/>
      <c r="D56" s="35"/>
      <c r="E56" s="36"/>
      <c r="F56" s="37"/>
      <c r="G56" s="38"/>
      <c r="H56" s="39"/>
      <c r="I56" s="40"/>
      <c r="J56" s="68"/>
      <c r="K56" s="69"/>
      <c r="L56" s="69"/>
      <c r="M56" s="70"/>
      <c r="N56" s="71"/>
      <c r="O56" s="142"/>
      <c r="P56" s="72"/>
      <c r="Q56" s="113">
        <f t="shared" si="1"/>
        <v>0</v>
      </c>
      <c r="R56" s="117"/>
      <c r="S56" s="117"/>
      <c r="T56" s="117"/>
      <c r="U56" s="39">
        <f t="shared" si="0"/>
        <v>0</v>
      </c>
      <c r="V56" s="143"/>
      <c r="W56" s="154"/>
      <c r="X56" s="155"/>
      <c r="Y56" s="158"/>
      <c r="Z56" s="159"/>
      <c r="AA56" s="160"/>
      <c r="AB56" s="161"/>
      <c r="AC56" s="160"/>
      <c r="AD56" s="162"/>
      <c r="AE56" s="163"/>
      <c r="AF56" s="158"/>
      <c r="AG56" s="158"/>
      <c r="AH56" s="158"/>
      <c r="AI56" s="159"/>
      <c r="AJ56" s="160"/>
      <c r="AK56" s="161"/>
      <c r="AL56" s="160"/>
      <c r="AM56" s="162"/>
      <c r="AN56" s="163"/>
      <c r="AO56" s="158"/>
      <c r="AP56" s="158"/>
      <c r="AQ56" s="158"/>
      <c r="AR56" s="159"/>
      <c r="AS56" s="160"/>
      <c r="AT56" s="161"/>
      <c r="AU56" s="160"/>
      <c r="AV56" s="162"/>
      <c r="AW56" s="163"/>
      <c r="AX56" s="158"/>
      <c r="AY56" s="158"/>
      <c r="AZ56" s="158"/>
      <c r="BA56" s="159"/>
      <c r="BB56" s="160"/>
      <c r="BC56" s="161"/>
      <c r="BD56" s="160"/>
      <c r="BE56" s="162"/>
      <c r="BF56" s="163"/>
      <c r="BG56" s="158"/>
      <c r="BH56" s="158"/>
      <c r="BI56" s="158"/>
      <c r="BJ56" s="159"/>
      <c r="BK56" s="160"/>
      <c r="BL56" s="161"/>
      <c r="BM56" s="160"/>
      <c r="BN56" s="162"/>
      <c r="BO56" s="163"/>
      <c r="BP56" s="158"/>
      <c r="BQ56" s="158"/>
      <c r="BR56" s="158"/>
      <c r="BS56" s="159"/>
      <c r="BT56" s="160"/>
      <c r="BU56" s="161"/>
      <c r="BV56" s="160"/>
      <c r="BW56" s="162"/>
      <c r="BX56" s="163"/>
      <c r="BY56" s="158"/>
      <c r="BZ56" s="158"/>
      <c r="CA56" s="158"/>
      <c r="CB56" s="159"/>
      <c r="CC56" s="160"/>
      <c r="CD56" s="161"/>
      <c r="CE56" s="160"/>
      <c r="CF56" s="162"/>
      <c r="CG56" s="163"/>
      <c r="CH56" s="158"/>
      <c r="CI56" s="158"/>
      <c r="CJ56" s="158"/>
      <c r="CK56" s="159"/>
      <c r="CL56" s="160"/>
      <c r="CM56" s="161"/>
      <c r="CN56" s="160"/>
      <c r="CO56" s="162"/>
      <c r="CP56" s="163"/>
      <c r="CQ56" s="158"/>
      <c r="CR56" s="158"/>
      <c r="CS56" s="158"/>
      <c r="CT56" s="159"/>
      <c r="CU56" s="160"/>
      <c r="CV56" s="161"/>
      <c r="CW56" s="160"/>
      <c r="CX56" s="162"/>
      <c r="CY56" s="163"/>
      <c r="CZ56" s="158"/>
      <c r="DA56" s="158"/>
      <c r="DB56" s="158"/>
      <c r="DC56" s="159"/>
      <c r="DD56" s="160"/>
      <c r="DE56" s="161"/>
      <c r="DF56" s="160"/>
      <c r="DG56" s="162"/>
      <c r="DH56" s="163"/>
      <c r="DI56" s="158"/>
      <c r="DJ56" s="158"/>
      <c r="DK56" s="158"/>
      <c r="DL56" s="159"/>
      <c r="DM56" s="160"/>
      <c r="DN56" s="161"/>
      <c r="DO56" s="160"/>
      <c r="DP56" s="162"/>
      <c r="DQ56" s="163"/>
      <c r="DR56" s="158"/>
      <c r="DS56" s="158"/>
      <c r="DT56" s="158"/>
      <c r="DU56" s="159"/>
      <c r="DV56" s="160"/>
      <c r="DW56" s="161"/>
      <c r="DX56" s="160"/>
      <c r="DY56" s="162"/>
      <c r="DZ56" s="163"/>
      <c r="EA56" s="158"/>
      <c r="EB56" s="158"/>
      <c r="EC56" s="158"/>
      <c r="ED56" s="159"/>
      <c r="EE56" s="160"/>
      <c r="EF56" s="161"/>
      <c r="EG56" s="160"/>
      <c r="EH56" s="162"/>
      <c r="EI56" s="163"/>
      <c r="EJ56" s="158"/>
      <c r="EK56" s="158"/>
      <c r="EL56" s="158"/>
      <c r="EM56" s="159"/>
      <c r="EN56" s="160"/>
      <c r="EO56" s="161"/>
      <c r="EP56" s="160"/>
      <c r="EQ56" s="162"/>
      <c r="ER56" s="163"/>
      <c r="ES56" s="158"/>
      <c r="ET56" s="158"/>
      <c r="EU56" s="158"/>
      <c r="EV56" s="159"/>
      <c r="EW56" s="160"/>
      <c r="EX56" s="161"/>
      <c r="EY56" s="160"/>
      <c r="EZ56" s="162"/>
      <c r="FA56" s="163"/>
      <c r="FB56" s="158"/>
      <c r="FC56" s="158"/>
      <c r="FD56" s="158"/>
      <c r="FE56" s="159"/>
      <c r="FF56" s="160"/>
      <c r="FG56" s="161"/>
      <c r="FH56" s="160"/>
      <c r="FI56" s="162"/>
      <c r="FJ56" s="163"/>
      <c r="FK56" s="158"/>
      <c r="FL56" s="158"/>
      <c r="FM56" s="158"/>
      <c r="FN56" s="159"/>
      <c r="FO56" s="160"/>
      <c r="FP56" s="161"/>
      <c r="FQ56" s="160"/>
      <c r="FR56" s="162"/>
      <c r="FS56" s="163"/>
      <c r="FT56" s="158"/>
      <c r="FU56" s="158"/>
      <c r="FV56" s="158"/>
      <c r="FW56" s="159"/>
      <c r="FX56" s="160"/>
      <c r="FY56" s="161"/>
      <c r="FZ56" s="160"/>
      <c r="GA56" s="162"/>
      <c r="GB56" s="163"/>
      <c r="GC56" s="158"/>
      <c r="GD56" s="158"/>
      <c r="GE56" s="158"/>
      <c r="GF56" s="159"/>
      <c r="GG56" s="160"/>
      <c r="GH56" s="161"/>
      <c r="GI56" s="160"/>
      <c r="GJ56" s="162"/>
      <c r="GK56" s="163"/>
      <c r="GL56" s="158"/>
      <c r="GM56" s="158"/>
      <c r="GN56" s="158"/>
      <c r="GO56" s="159"/>
      <c r="GP56" s="160"/>
      <c r="GQ56" s="161"/>
      <c r="GR56" s="160"/>
      <c r="GS56" s="162"/>
      <c r="GT56" s="163"/>
      <c r="GU56" s="154"/>
      <c r="GV56" s="156"/>
      <c r="GW56" s="153"/>
      <c r="GX56" s="141"/>
      <c r="GY56" s="141"/>
      <c r="GZ56" s="141"/>
      <c r="HA56" s="86"/>
    </row>
    <row r="57" spans="1:209" x14ac:dyDescent="0.25">
      <c r="A57"/>
      <c r="D57" s="35"/>
      <c r="E57" s="36"/>
      <c r="F57" s="37"/>
      <c r="G57" s="38"/>
      <c r="H57" s="39"/>
      <c r="I57" s="40"/>
      <c r="J57" s="68"/>
      <c r="K57" s="69"/>
      <c r="L57" s="69"/>
      <c r="M57" s="70"/>
      <c r="N57" s="71"/>
      <c r="O57" s="164"/>
      <c r="P57" s="72"/>
      <c r="Q57" s="113">
        <f t="shared" si="1"/>
        <v>0</v>
      </c>
      <c r="R57" s="117"/>
      <c r="S57" s="117"/>
      <c r="T57" s="117"/>
      <c r="U57" s="39">
        <f t="shared" si="0"/>
        <v>0</v>
      </c>
      <c r="V57" s="143"/>
      <c r="W57" s="154"/>
      <c r="X57" s="165"/>
      <c r="Y57" s="158"/>
      <c r="Z57" s="159"/>
      <c r="AA57" s="160"/>
      <c r="AB57" s="161"/>
      <c r="AC57" s="160"/>
      <c r="AD57" s="162"/>
      <c r="AE57" s="163"/>
      <c r="AF57" s="158"/>
      <c r="AG57" s="158"/>
      <c r="AH57" s="158"/>
      <c r="AI57" s="159"/>
      <c r="AJ57" s="160"/>
      <c r="AK57" s="161"/>
      <c r="AL57" s="160"/>
      <c r="AM57" s="162"/>
      <c r="AN57" s="163"/>
      <c r="AO57" s="158"/>
      <c r="AP57" s="158"/>
      <c r="AQ57" s="158"/>
      <c r="AR57" s="159"/>
      <c r="AS57" s="160"/>
      <c r="AT57" s="161"/>
      <c r="AU57" s="160"/>
      <c r="AV57" s="162"/>
      <c r="AW57" s="163"/>
      <c r="AX57" s="158"/>
      <c r="AY57" s="158"/>
      <c r="AZ57" s="158"/>
      <c r="BA57" s="159"/>
      <c r="BB57" s="160"/>
      <c r="BC57" s="161"/>
      <c r="BD57" s="160"/>
      <c r="BE57" s="162"/>
      <c r="BF57" s="163"/>
      <c r="BG57" s="158"/>
      <c r="BH57" s="158"/>
      <c r="BI57" s="158"/>
      <c r="BJ57" s="159"/>
      <c r="BK57" s="160"/>
      <c r="BL57" s="161"/>
      <c r="BM57" s="160"/>
      <c r="BN57" s="162"/>
      <c r="BO57" s="163"/>
      <c r="BP57" s="158"/>
      <c r="BQ57" s="158"/>
      <c r="BR57" s="158"/>
      <c r="BS57" s="159"/>
      <c r="BT57" s="160"/>
      <c r="BU57" s="161"/>
      <c r="BV57" s="160"/>
      <c r="BW57" s="162"/>
      <c r="BX57" s="163"/>
      <c r="BY57" s="158"/>
      <c r="BZ57" s="158"/>
      <c r="CA57" s="158"/>
      <c r="CB57" s="159"/>
      <c r="CC57" s="160"/>
      <c r="CD57" s="161"/>
      <c r="CE57" s="160"/>
      <c r="CF57" s="162"/>
      <c r="CG57" s="163"/>
      <c r="CH57" s="158"/>
      <c r="CI57" s="158"/>
      <c r="CJ57" s="158"/>
      <c r="CK57" s="159"/>
      <c r="CL57" s="160"/>
      <c r="CM57" s="161"/>
      <c r="CN57" s="160"/>
      <c r="CO57" s="162"/>
      <c r="CP57" s="163"/>
      <c r="CQ57" s="158"/>
      <c r="CR57" s="158"/>
      <c r="CS57" s="158"/>
      <c r="CT57" s="159"/>
      <c r="CU57" s="160"/>
      <c r="CV57" s="161"/>
      <c r="CW57" s="160"/>
      <c r="CX57" s="162"/>
      <c r="CY57" s="163"/>
      <c r="CZ57" s="158"/>
      <c r="DA57" s="158"/>
      <c r="DB57" s="158"/>
      <c r="DC57" s="159"/>
      <c r="DD57" s="160"/>
      <c r="DE57" s="161"/>
      <c r="DF57" s="160"/>
      <c r="DG57" s="162"/>
      <c r="DH57" s="163"/>
      <c r="DI57" s="158"/>
      <c r="DJ57" s="158"/>
      <c r="DK57" s="158"/>
      <c r="DL57" s="159"/>
      <c r="DM57" s="160"/>
      <c r="DN57" s="161"/>
      <c r="DO57" s="160"/>
      <c r="DP57" s="162"/>
      <c r="DQ57" s="163"/>
      <c r="DR57" s="158"/>
      <c r="DS57" s="158"/>
      <c r="DT57" s="158"/>
      <c r="DU57" s="159"/>
      <c r="DV57" s="160"/>
      <c r="DW57" s="161"/>
      <c r="DX57" s="160"/>
      <c r="DY57" s="162"/>
      <c r="DZ57" s="163"/>
      <c r="EA57" s="158"/>
      <c r="EB57" s="158"/>
      <c r="EC57" s="158"/>
      <c r="ED57" s="159"/>
      <c r="EE57" s="160"/>
      <c r="EF57" s="161"/>
      <c r="EG57" s="160"/>
      <c r="EH57" s="162"/>
      <c r="EI57" s="163"/>
      <c r="EJ57" s="158"/>
      <c r="EK57" s="158"/>
      <c r="EL57" s="158"/>
      <c r="EM57" s="159"/>
      <c r="EN57" s="160"/>
      <c r="EO57" s="161"/>
      <c r="EP57" s="160"/>
      <c r="EQ57" s="162"/>
      <c r="ER57" s="163"/>
      <c r="ES57" s="158"/>
      <c r="ET57" s="158"/>
      <c r="EU57" s="158"/>
      <c r="EV57" s="159"/>
      <c r="EW57" s="160"/>
      <c r="EX57" s="161"/>
      <c r="EY57" s="160"/>
      <c r="EZ57" s="162"/>
      <c r="FA57" s="163"/>
      <c r="FB57" s="158"/>
      <c r="FC57" s="158"/>
      <c r="FD57" s="158"/>
      <c r="FE57" s="159"/>
      <c r="FF57" s="160"/>
      <c r="FG57" s="161"/>
      <c r="FH57" s="160"/>
      <c r="FI57" s="162"/>
      <c r="FJ57" s="163"/>
      <c r="FK57" s="158"/>
      <c r="FL57" s="158"/>
      <c r="FM57" s="158"/>
      <c r="FN57" s="159"/>
      <c r="FO57" s="160"/>
      <c r="FP57" s="161"/>
      <c r="FQ57" s="160"/>
      <c r="FR57" s="162"/>
      <c r="FS57" s="163"/>
      <c r="FT57" s="158"/>
      <c r="FU57" s="158"/>
      <c r="FV57" s="158"/>
      <c r="FW57" s="159"/>
      <c r="FX57" s="160"/>
      <c r="FY57" s="161"/>
      <c r="FZ57" s="160"/>
      <c r="GA57" s="162"/>
      <c r="GB57" s="163"/>
      <c r="GC57" s="158"/>
      <c r="GD57" s="158"/>
      <c r="GE57" s="158"/>
      <c r="GF57" s="159"/>
      <c r="GG57" s="160"/>
      <c r="GH57" s="161"/>
      <c r="GI57" s="160"/>
      <c r="GJ57" s="162"/>
      <c r="GK57" s="163"/>
      <c r="GL57" s="158"/>
      <c r="GM57" s="158"/>
      <c r="GN57" s="158"/>
      <c r="GO57" s="159"/>
      <c r="GP57" s="160"/>
      <c r="GQ57" s="161"/>
      <c r="GR57" s="160"/>
      <c r="GS57" s="162"/>
      <c r="GT57" s="163"/>
      <c r="GU57" s="154"/>
      <c r="GV57" s="156"/>
      <c r="GW57" s="153"/>
      <c r="GX57" s="66"/>
      <c r="GY57" s="66"/>
      <c r="GZ57" s="141"/>
      <c r="HA57" s="86"/>
    </row>
    <row r="58" spans="1:209" x14ac:dyDescent="0.25">
      <c r="A58"/>
      <c r="D58" s="35"/>
      <c r="E58" s="36"/>
      <c r="F58" s="37"/>
      <c r="G58" s="38"/>
      <c r="H58" s="39"/>
      <c r="I58" s="40"/>
      <c r="J58" s="68"/>
      <c r="K58" s="82"/>
      <c r="L58" s="82"/>
      <c r="M58" s="70"/>
      <c r="N58" s="71"/>
      <c r="O58" s="56"/>
      <c r="P58" s="72"/>
      <c r="Q58" s="113">
        <f t="shared" si="1"/>
        <v>0</v>
      </c>
      <c r="R58" s="117"/>
      <c r="S58" s="117"/>
      <c r="T58" s="117"/>
      <c r="U58" s="39">
        <f t="shared" si="0"/>
        <v>0</v>
      </c>
      <c r="V58" s="138"/>
      <c r="W58" s="166"/>
      <c r="X58" s="86"/>
      <c r="Y58" s="68"/>
      <c r="Z58" s="167"/>
      <c r="AA58" s="168"/>
      <c r="AB58" s="169"/>
      <c r="AC58" s="168"/>
      <c r="AD58" s="170"/>
      <c r="AE58" s="171"/>
      <c r="AF58" s="68"/>
      <c r="AG58" s="68"/>
      <c r="AH58" s="68"/>
      <c r="AI58" s="167"/>
      <c r="AJ58" s="168"/>
      <c r="AK58" s="169"/>
      <c r="AL58" s="168"/>
      <c r="AM58" s="170"/>
      <c r="AN58" s="171"/>
      <c r="AO58" s="68"/>
      <c r="AP58" s="68"/>
      <c r="AQ58" s="68"/>
      <c r="AR58" s="167"/>
      <c r="AS58" s="168"/>
      <c r="AT58" s="169"/>
      <c r="AU58" s="168"/>
      <c r="AV58" s="170"/>
      <c r="AW58" s="171"/>
      <c r="AX58" s="68"/>
      <c r="AY58" s="68"/>
      <c r="AZ58" s="68"/>
      <c r="BA58" s="167"/>
      <c r="BB58" s="168"/>
      <c r="BC58" s="169"/>
      <c r="BD58" s="168"/>
      <c r="BE58" s="170"/>
      <c r="BF58" s="171"/>
      <c r="BG58" s="68"/>
      <c r="BH58" s="68"/>
      <c r="BI58" s="68"/>
      <c r="BJ58" s="167"/>
      <c r="BK58" s="168"/>
      <c r="BL58" s="169"/>
      <c r="BM58" s="168"/>
      <c r="BN58" s="170"/>
      <c r="BO58" s="171"/>
      <c r="BP58" s="68"/>
      <c r="BQ58" s="68"/>
      <c r="BR58" s="68"/>
      <c r="BS58" s="167"/>
      <c r="BT58" s="168"/>
      <c r="BU58" s="169"/>
      <c r="BV58" s="168"/>
      <c r="BW58" s="170"/>
      <c r="BX58" s="171"/>
      <c r="BY58" s="68"/>
      <c r="BZ58" s="68"/>
      <c r="CA58" s="68"/>
      <c r="CB58" s="167"/>
      <c r="CC58" s="168"/>
      <c r="CD58" s="169"/>
      <c r="CE58" s="168"/>
      <c r="CF58" s="170"/>
      <c r="CG58" s="171"/>
      <c r="CH58" s="68"/>
      <c r="CI58" s="68"/>
      <c r="CJ58" s="68"/>
      <c r="CK58" s="167"/>
      <c r="CL58" s="168"/>
      <c r="CM58" s="169"/>
      <c r="CN58" s="168"/>
      <c r="CO58" s="170"/>
      <c r="CP58" s="171"/>
      <c r="CQ58" s="68"/>
      <c r="CR58" s="68"/>
      <c r="CS58" s="68"/>
      <c r="CT58" s="167"/>
      <c r="CU58" s="168"/>
      <c r="CV58" s="169"/>
      <c r="CW58" s="168"/>
      <c r="CX58" s="170"/>
      <c r="CY58" s="171"/>
      <c r="CZ58" s="68"/>
      <c r="DA58" s="68"/>
      <c r="DB58" s="68"/>
      <c r="DC58" s="167"/>
      <c r="DD58" s="168"/>
      <c r="DE58" s="169"/>
      <c r="DF58" s="168"/>
      <c r="DG58" s="170"/>
      <c r="DH58" s="171"/>
      <c r="DI58" s="68"/>
      <c r="DJ58" s="68"/>
      <c r="DK58" s="68"/>
      <c r="DL58" s="167"/>
      <c r="DM58" s="168"/>
      <c r="DN58" s="169"/>
      <c r="DO58" s="168"/>
      <c r="DP58" s="170"/>
      <c r="DQ58" s="171"/>
      <c r="DR58" s="68"/>
      <c r="DS58" s="68"/>
      <c r="DT58" s="68"/>
      <c r="DU58" s="167"/>
      <c r="DV58" s="168"/>
      <c r="DW58" s="169"/>
      <c r="DX58" s="168"/>
      <c r="DY58" s="170"/>
      <c r="DZ58" s="171"/>
      <c r="EA58" s="68"/>
      <c r="EB58" s="68"/>
      <c r="EC58" s="68"/>
      <c r="ED58" s="167"/>
      <c r="EE58" s="168"/>
      <c r="EF58" s="169"/>
      <c r="EG58" s="168"/>
      <c r="EH58" s="170"/>
      <c r="EI58" s="171"/>
      <c r="EJ58" s="68"/>
      <c r="EK58" s="68"/>
      <c r="EL58" s="68"/>
      <c r="EM58" s="167"/>
      <c r="EN58" s="168"/>
      <c r="EO58" s="169"/>
      <c r="EP58" s="168"/>
      <c r="EQ58" s="170"/>
      <c r="ER58" s="171"/>
      <c r="ES58" s="68"/>
      <c r="ET58" s="68"/>
      <c r="EU58" s="68"/>
      <c r="EV58" s="167"/>
      <c r="EW58" s="168"/>
      <c r="EX58" s="169"/>
      <c r="EY58" s="168"/>
      <c r="EZ58" s="170"/>
      <c r="FA58" s="171"/>
      <c r="FB58" s="68"/>
      <c r="FC58" s="68"/>
      <c r="FD58" s="68"/>
      <c r="FE58" s="167"/>
      <c r="FF58" s="168"/>
      <c r="FG58" s="169"/>
      <c r="FH58" s="168"/>
      <c r="FI58" s="170"/>
      <c r="FJ58" s="171"/>
      <c r="FK58" s="68"/>
      <c r="FL58" s="68"/>
      <c r="FM58" s="68"/>
      <c r="FN58" s="167"/>
      <c r="FO58" s="168"/>
      <c r="FP58" s="169"/>
      <c r="FQ58" s="168"/>
      <c r="FR58" s="170"/>
      <c r="FS58" s="171"/>
      <c r="FT58" s="68"/>
      <c r="FU58" s="68"/>
      <c r="FV58" s="68"/>
      <c r="FW58" s="167"/>
      <c r="FX58" s="168"/>
      <c r="FY58" s="169"/>
      <c r="FZ58" s="168"/>
      <c r="GA58" s="170"/>
      <c r="GB58" s="171"/>
      <c r="GC58" s="68"/>
      <c r="GD58" s="68"/>
      <c r="GE58" s="68"/>
      <c r="GF58" s="167"/>
      <c r="GG58" s="168"/>
      <c r="GH58" s="169"/>
      <c r="GI58" s="168"/>
      <c r="GJ58" s="170"/>
      <c r="GK58" s="171"/>
      <c r="GL58" s="68"/>
      <c r="GM58" s="68"/>
      <c r="GN58" s="68"/>
      <c r="GO58" s="167"/>
      <c r="GP58" s="168"/>
      <c r="GQ58" s="169"/>
      <c r="GR58" s="168"/>
      <c r="GS58" s="170"/>
      <c r="GT58" s="171"/>
      <c r="GU58" s="166"/>
      <c r="GV58" s="64"/>
      <c r="GW58" s="65"/>
      <c r="GX58" s="66"/>
      <c r="GY58" s="66"/>
      <c r="GZ58" s="141"/>
      <c r="HA58" s="86"/>
    </row>
    <row r="59" spans="1:209" x14ac:dyDescent="0.25">
      <c r="A59"/>
      <c r="D59" s="35"/>
      <c r="E59" s="36"/>
      <c r="F59" s="37"/>
      <c r="G59" s="38"/>
      <c r="H59" s="39"/>
      <c r="I59" s="40"/>
      <c r="J59" s="68"/>
      <c r="K59" s="69"/>
      <c r="L59" s="69"/>
      <c r="M59" s="70"/>
      <c r="N59" s="71"/>
      <c r="O59" s="56"/>
      <c r="P59" s="72"/>
      <c r="Q59" s="113">
        <f t="shared" si="1"/>
        <v>0</v>
      </c>
      <c r="R59" s="117"/>
      <c r="S59" s="117"/>
      <c r="T59" s="117"/>
      <c r="U59" s="39">
        <f t="shared" si="0"/>
        <v>0</v>
      </c>
      <c r="V59" s="138"/>
      <c r="W59" s="166"/>
      <c r="X59" s="86"/>
      <c r="Y59" s="68"/>
      <c r="Z59" s="167"/>
      <c r="AA59" s="168"/>
      <c r="AB59" s="169"/>
      <c r="AC59" s="168"/>
      <c r="AD59" s="170"/>
      <c r="AE59" s="171"/>
      <c r="AF59" s="68"/>
      <c r="AG59" s="68"/>
      <c r="AH59" s="68"/>
      <c r="AI59" s="167"/>
      <c r="AJ59" s="168"/>
      <c r="AK59" s="169"/>
      <c r="AL59" s="168"/>
      <c r="AM59" s="170"/>
      <c r="AN59" s="171"/>
      <c r="AO59" s="68"/>
      <c r="AP59" s="68"/>
      <c r="AQ59" s="68"/>
      <c r="AR59" s="167"/>
      <c r="AS59" s="168"/>
      <c r="AT59" s="169"/>
      <c r="AU59" s="168"/>
      <c r="AV59" s="170"/>
      <c r="AW59" s="171"/>
      <c r="AX59" s="68"/>
      <c r="AY59" s="68"/>
      <c r="AZ59" s="68"/>
      <c r="BA59" s="167"/>
      <c r="BB59" s="168"/>
      <c r="BC59" s="169"/>
      <c r="BD59" s="168"/>
      <c r="BE59" s="170"/>
      <c r="BF59" s="171"/>
      <c r="BG59" s="68"/>
      <c r="BH59" s="68"/>
      <c r="BI59" s="68"/>
      <c r="BJ59" s="167"/>
      <c r="BK59" s="168"/>
      <c r="BL59" s="169"/>
      <c r="BM59" s="168"/>
      <c r="BN59" s="170"/>
      <c r="BO59" s="171"/>
      <c r="BP59" s="68"/>
      <c r="BQ59" s="68"/>
      <c r="BR59" s="68"/>
      <c r="BS59" s="167"/>
      <c r="BT59" s="168"/>
      <c r="BU59" s="169"/>
      <c r="BV59" s="168"/>
      <c r="BW59" s="170"/>
      <c r="BX59" s="171"/>
      <c r="BY59" s="68"/>
      <c r="BZ59" s="68"/>
      <c r="CA59" s="68"/>
      <c r="CB59" s="167"/>
      <c r="CC59" s="168"/>
      <c r="CD59" s="169"/>
      <c r="CE59" s="168"/>
      <c r="CF59" s="170"/>
      <c r="CG59" s="171"/>
      <c r="CH59" s="68"/>
      <c r="CI59" s="68"/>
      <c r="CJ59" s="68"/>
      <c r="CK59" s="167"/>
      <c r="CL59" s="168"/>
      <c r="CM59" s="169"/>
      <c r="CN59" s="168"/>
      <c r="CO59" s="170"/>
      <c r="CP59" s="171"/>
      <c r="CQ59" s="68"/>
      <c r="CR59" s="68"/>
      <c r="CS59" s="68"/>
      <c r="CT59" s="167"/>
      <c r="CU59" s="168"/>
      <c r="CV59" s="169"/>
      <c r="CW59" s="168"/>
      <c r="CX59" s="170"/>
      <c r="CY59" s="171"/>
      <c r="CZ59" s="68"/>
      <c r="DA59" s="68"/>
      <c r="DB59" s="68"/>
      <c r="DC59" s="167"/>
      <c r="DD59" s="168"/>
      <c r="DE59" s="169"/>
      <c r="DF59" s="168"/>
      <c r="DG59" s="170"/>
      <c r="DH59" s="171"/>
      <c r="DI59" s="68"/>
      <c r="DJ59" s="68"/>
      <c r="DK59" s="68"/>
      <c r="DL59" s="167"/>
      <c r="DM59" s="168"/>
      <c r="DN59" s="169"/>
      <c r="DO59" s="168"/>
      <c r="DP59" s="170"/>
      <c r="DQ59" s="171"/>
      <c r="DR59" s="68"/>
      <c r="DS59" s="68"/>
      <c r="DT59" s="68"/>
      <c r="DU59" s="167"/>
      <c r="DV59" s="168"/>
      <c r="DW59" s="169"/>
      <c r="DX59" s="168"/>
      <c r="DY59" s="170"/>
      <c r="DZ59" s="171"/>
      <c r="EA59" s="68"/>
      <c r="EB59" s="68"/>
      <c r="EC59" s="68"/>
      <c r="ED59" s="167"/>
      <c r="EE59" s="168"/>
      <c r="EF59" s="169"/>
      <c r="EG59" s="168"/>
      <c r="EH59" s="170"/>
      <c r="EI59" s="171"/>
      <c r="EJ59" s="68"/>
      <c r="EK59" s="68"/>
      <c r="EL59" s="68"/>
      <c r="EM59" s="167"/>
      <c r="EN59" s="168"/>
      <c r="EO59" s="169"/>
      <c r="EP59" s="168"/>
      <c r="EQ59" s="170"/>
      <c r="ER59" s="171"/>
      <c r="ES59" s="68"/>
      <c r="ET59" s="68"/>
      <c r="EU59" s="68"/>
      <c r="EV59" s="167"/>
      <c r="EW59" s="168"/>
      <c r="EX59" s="169"/>
      <c r="EY59" s="168"/>
      <c r="EZ59" s="170"/>
      <c r="FA59" s="171"/>
      <c r="FB59" s="68"/>
      <c r="FC59" s="68"/>
      <c r="FD59" s="68"/>
      <c r="FE59" s="167"/>
      <c r="FF59" s="168"/>
      <c r="FG59" s="169"/>
      <c r="FH59" s="168"/>
      <c r="FI59" s="170"/>
      <c r="FJ59" s="171"/>
      <c r="FK59" s="68"/>
      <c r="FL59" s="68"/>
      <c r="FM59" s="68"/>
      <c r="FN59" s="167"/>
      <c r="FO59" s="168"/>
      <c r="FP59" s="169"/>
      <c r="FQ59" s="168"/>
      <c r="FR59" s="170"/>
      <c r="FS59" s="171"/>
      <c r="FT59" s="68"/>
      <c r="FU59" s="68"/>
      <c r="FV59" s="68"/>
      <c r="FW59" s="167"/>
      <c r="FX59" s="168"/>
      <c r="FY59" s="169"/>
      <c r="FZ59" s="168"/>
      <c r="GA59" s="170"/>
      <c r="GB59" s="171"/>
      <c r="GC59" s="68"/>
      <c r="GD59" s="68"/>
      <c r="GE59" s="68"/>
      <c r="GF59" s="167"/>
      <c r="GG59" s="168"/>
      <c r="GH59" s="169"/>
      <c r="GI59" s="168"/>
      <c r="GJ59" s="170"/>
      <c r="GK59" s="171"/>
      <c r="GL59" s="68"/>
      <c r="GM59" s="68"/>
      <c r="GN59" s="68"/>
      <c r="GO59" s="167"/>
      <c r="GP59" s="168"/>
      <c r="GQ59" s="169"/>
      <c r="GR59" s="168"/>
      <c r="GS59" s="170"/>
      <c r="GT59" s="171"/>
      <c r="GU59" s="166"/>
      <c r="GV59" s="64"/>
      <c r="GW59" s="65"/>
      <c r="GX59" s="66"/>
      <c r="GY59" s="66"/>
      <c r="GZ59" s="141"/>
      <c r="HA59" s="86"/>
    </row>
    <row r="60" spans="1:209" x14ac:dyDescent="0.25">
      <c r="A60"/>
      <c r="D60" s="35"/>
      <c r="E60" s="36"/>
      <c r="F60" s="37"/>
      <c r="G60" s="38"/>
      <c r="H60" s="39"/>
      <c r="I60" s="40"/>
      <c r="J60" s="68"/>
      <c r="K60" s="69"/>
      <c r="L60" s="69"/>
      <c r="M60" s="70"/>
      <c r="N60" s="71"/>
      <c r="O60" s="56"/>
      <c r="P60" s="72"/>
      <c r="Q60" s="113">
        <f t="shared" si="1"/>
        <v>0</v>
      </c>
      <c r="R60" s="117"/>
      <c r="S60" s="117"/>
      <c r="T60" s="117"/>
      <c r="U60" s="39">
        <f t="shared" si="0"/>
        <v>0</v>
      </c>
      <c r="V60" s="138"/>
      <c r="W60" s="166"/>
      <c r="X60" s="86"/>
      <c r="Y60" s="68"/>
      <c r="Z60" s="167"/>
      <c r="AA60" s="168"/>
      <c r="AB60" s="169"/>
      <c r="AC60" s="168"/>
      <c r="AD60" s="170"/>
      <c r="AE60" s="171"/>
      <c r="AF60" s="68"/>
      <c r="AG60" s="68"/>
      <c r="AH60" s="68"/>
      <c r="AI60" s="167"/>
      <c r="AJ60" s="168"/>
      <c r="AK60" s="169"/>
      <c r="AL60" s="168"/>
      <c r="AM60" s="170"/>
      <c r="AN60" s="171"/>
      <c r="AO60" s="68"/>
      <c r="AP60" s="68"/>
      <c r="AQ60" s="68"/>
      <c r="AR60" s="167"/>
      <c r="AS60" s="168"/>
      <c r="AT60" s="169"/>
      <c r="AU60" s="168"/>
      <c r="AV60" s="170"/>
      <c r="AW60" s="171"/>
      <c r="AX60" s="68"/>
      <c r="AY60" s="68"/>
      <c r="AZ60" s="68"/>
      <c r="BA60" s="167"/>
      <c r="BB60" s="168"/>
      <c r="BC60" s="169"/>
      <c r="BD60" s="168"/>
      <c r="BE60" s="170"/>
      <c r="BF60" s="171"/>
      <c r="BG60" s="68"/>
      <c r="BH60" s="68"/>
      <c r="BI60" s="68"/>
      <c r="BJ60" s="167"/>
      <c r="BK60" s="168"/>
      <c r="BL60" s="169"/>
      <c r="BM60" s="168"/>
      <c r="BN60" s="170"/>
      <c r="BO60" s="171"/>
      <c r="BP60" s="68"/>
      <c r="BQ60" s="68"/>
      <c r="BR60" s="68"/>
      <c r="BS60" s="167"/>
      <c r="BT60" s="168"/>
      <c r="BU60" s="169"/>
      <c r="BV60" s="168"/>
      <c r="BW60" s="170"/>
      <c r="BX60" s="171"/>
      <c r="BY60" s="68"/>
      <c r="BZ60" s="68"/>
      <c r="CA60" s="68"/>
      <c r="CB60" s="167"/>
      <c r="CC60" s="168"/>
      <c r="CD60" s="169"/>
      <c r="CE60" s="168"/>
      <c r="CF60" s="170"/>
      <c r="CG60" s="171"/>
      <c r="CH60" s="68"/>
      <c r="CI60" s="68"/>
      <c r="CJ60" s="68"/>
      <c r="CK60" s="167"/>
      <c r="CL60" s="168"/>
      <c r="CM60" s="169"/>
      <c r="CN60" s="168"/>
      <c r="CO60" s="170"/>
      <c r="CP60" s="171"/>
      <c r="CQ60" s="68"/>
      <c r="CR60" s="68"/>
      <c r="CS60" s="68"/>
      <c r="CT60" s="167"/>
      <c r="CU60" s="168"/>
      <c r="CV60" s="169"/>
      <c r="CW60" s="168"/>
      <c r="CX60" s="170"/>
      <c r="CY60" s="171"/>
      <c r="CZ60" s="68"/>
      <c r="DA60" s="68"/>
      <c r="DB60" s="68"/>
      <c r="DC60" s="167"/>
      <c r="DD60" s="168"/>
      <c r="DE60" s="169"/>
      <c r="DF60" s="168"/>
      <c r="DG60" s="170"/>
      <c r="DH60" s="171"/>
      <c r="DI60" s="68"/>
      <c r="DJ60" s="68"/>
      <c r="DK60" s="68"/>
      <c r="DL60" s="167"/>
      <c r="DM60" s="168"/>
      <c r="DN60" s="169"/>
      <c r="DO60" s="168"/>
      <c r="DP60" s="170"/>
      <c r="DQ60" s="171"/>
      <c r="DR60" s="68"/>
      <c r="DS60" s="68"/>
      <c r="DT60" s="68"/>
      <c r="DU60" s="167"/>
      <c r="DV60" s="168"/>
      <c r="DW60" s="169"/>
      <c r="DX60" s="168"/>
      <c r="DY60" s="170"/>
      <c r="DZ60" s="171"/>
      <c r="EA60" s="68"/>
      <c r="EB60" s="68"/>
      <c r="EC60" s="68"/>
      <c r="ED60" s="167"/>
      <c r="EE60" s="168"/>
      <c r="EF60" s="169"/>
      <c r="EG60" s="168"/>
      <c r="EH60" s="170"/>
      <c r="EI60" s="171"/>
      <c r="EJ60" s="68"/>
      <c r="EK60" s="68"/>
      <c r="EL60" s="68"/>
      <c r="EM60" s="167"/>
      <c r="EN60" s="168"/>
      <c r="EO60" s="169"/>
      <c r="EP60" s="168"/>
      <c r="EQ60" s="170"/>
      <c r="ER60" s="171"/>
      <c r="ES60" s="68"/>
      <c r="ET60" s="68"/>
      <c r="EU60" s="68"/>
      <c r="EV60" s="167"/>
      <c r="EW60" s="168"/>
      <c r="EX60" s="169"/>
      <c r="EY60" s="168"/>
      <c r="EZ60" s="170"/>
      <c r="FA60" s="171"/>
      <c r="FB60" s="68"/>
      <c r="FC60" s="68"/>
      <c r="FD60" s="68"/>
      <c r="FE60" s="167"/>
      <c r="FF60" s="168"/>
      <c r="FG60" s="169"/>
      <c r="FH60" s="168"/>
      <c r="FI60" s="170"/>
      <c r="FJ60" s="171"/>
      <c r="FK60" s="68"/>
      <c r="FL60" s="68"/>
      <c r="FM60" s="68"/>
      <c r="FN60" s="167"/>
      <c r="FO60" s="168"/>
      <c r="FP60" s="169"/>
      <c r="FQ60" s="168"/>
      <c r="FR60" s="170"/>
      <c r="FS60" s="171"/>
      <c r="FT60" s="68"/>
      <c r="FU60" s="68"/>
      <c r="FV60" s="68"/>
      <c r="FW60" s="167"/>
      <c r="FX60" s="168"/>
      <c r="FY60" s="169"/>
      <c r="FZ60" s="168"/>
      <c r="GA60" s="170"/>
      <c r="GB60" s="171"/>
      <c r="GC60" s="68"/>
      <c r="GD60" s="68"/>
      <c r="GE60" s="68"/>
      <c r="GF60" s="167"/>
      <c r="GG60" s="168"/>
      <c r="GH60" s="169"/>
      <c r="GI60" s="168"/>
      <c r="GJ60" s="170"/>
      <c r="GK60" s="171"/>
      <c r="GL60" s="68"/>
      <c r="GM60" s="68"/>
      <c r="GN60" s="68"/>
      <c r="GO60" s="167"/>
      <c r="GP60" s="168"/>
      <c r="GQ60" s="169"/>
      <c r="GR60" s="168"/>
      <c r="GS60" s="170"/>
      <c r="GT60" s="171"/>
      <c r="GU60" s="171"/>
      <c r="GV60" s="64"/>
      <c r="GW60" s="65"/>
      <c r="GX60" s="66"/>
      <c r="GY60" s="66"/>
      <c r="GZ60" s="141"/>
      <c r="HA60" s="86"/>
    </row>
    <row r="61" spans="1:209" x14ac:dyDescent="0.25">
      <c r="A61"/>
      <c r="D61" s="35"/>
      <c r="E61" s="36"/>
      <c r="F61" s="37"/>
      <c r="G61" s="38"/>
      <c r="H61" s="39"/>
      <c r="I61" s="40"/>
      <c r="J61" s="68"/>
      <c r="K61" s="69"/>
      <c r="L61" s="69"/>
      <c r="M61" s="70"/>
      <c r="N61" s="71"/>
      <c r="O61" s="56"/>
      <c r="P61" s="72"/>
      <c r="Q61" s="113">
        <f t="shared" si="1"/>
        <v>0</v>
      </c>
      <c r="R61" s="117"/>
      <c r="S61" s="117"/>
      <c r="T61" s="117"/>
      <c r="U61" s="39">
        <f t="shared" si="0"/>
        <v>0</v>
      </c>
      <c r="V61" s="138"/>
      <c r="W61" s="166"/>
      <c r="X61" s="86"/>
      <c r="Y61" s="68"/>
      <c r="Z61" s="167"/>
      <c r="AA61" s="168"/>
      <c r="AB61" s="169"/>
      <c r="AC61" s="168"/>
      <c r="AD61" s="170"/>
      <c r="AE61" s="171"/>
      <c r="AF61" s="68"/>
      <c r="AG61" s="68"/>
      <c r="AH61" s="68"/>
      <c r="AI61" s="167"/>
      <c r="AJ61" s="168"/>
      <c r="AK61" s="169"/>
      <c r="AL61" s="168"/>
      <c r="AM61" s="170"/>
      <c r="AN61" s="171"/>
      <c r="AO61" s="68"/>
      <c r="AP61" s="68"/>
      <c r="AQ61" s="68"/>
      <c r="AR61" s="167"/>
      <c r="AS61" s="168"/>
      <c r="AT61" s="169"/>
      <c r="AU61" s="168"/>
      <c r="AV61" s="170"/>
      <c r="AW61" s="171"/>
      <c r="AX61" s="68"/>
      <c r="AY61" s="68"/>
      <c r="AZ61" s="68"/>
      <c r="BA61" s="167"/>
      <c r="BB61" s="168"/>
      <c r="BC61" s="169"/>
      <c r="BD61" s="168"/>
      <c r="BE61" s="170"/>
      <c r="BF61" s="171"/>
      <c r="BG61" s="68"/>
      <c r="BH61" s="68"/>
      <c r="BI61" s="68"/>
      <c r="BJ61" s="167"/>
      <c r="BK61" s="168"/>
      <c r="BL61" s="169"/>
      <c r="BM61" s="168"/>
      <c r="BN61" s="170"/>
      <c r="BO61" s="171"/>
      <c r="BP61" s="68"/>
      <c r="BQ61" s="68"/>
      <c r="BR61" s="68"/>
      <c r="BS61" s="167"/>
      <c r="BT61" s="168"/>
      <c r="BU61" s="169"/>
      <c r="BV61" s="168"/>
      <c r="BW61" s="170"/>
      <c r="BX61" s="171"/>
      <c r="BY61" s="68"/>
      <c r="BZ61" s="68"/>
      <c r="CA61" s="68"/>
      <c r="CB61" s="167"/>
      <c r="CC61" s="168"/>
      <c r="CD61" s="169"/>
      <c r="CE61" s="168"/>
      <c r="CF61" s="170"/>
      <c r="CG61" s="171"/>
      <c r="CH61" s="68"/>
      <c r="CI61" s="68"/>
      <c r="CJ61" s="68"/>
      <c r="CK61" s="167"/>
      <c r="CL61" s="168"/>
      <c r="CM61" s="169"/>
      <c r="CN61" s="168"/>
      <c r="CO61" s="170"/>
      <c r="CP61" s="171"/>
      <c r="CQ61" s="68"/>
      <c r="CR61" s="68"/>
      <c r="CS61" s="68"/>
      <c r="CT61" s="167"/>
      <c r="CU61" s="168"/>
      <c r="CV61" s="169"/>
      <c r="CW61" s="168"/>
      <c r="CX61" s="170"/>
      <c r="CY61" s="171"/>
      <c r="CZ61" s="68"/>
      <c r="DA61" s="68"/>
      <c r="DB61" s="68"/>
      <c r="DC61" s="167"/>
      <c r="DD61" s="168"/>
      <c r="DE61" s="169"/>
      <c r="DF61" s="168"/>
      <c r="DG61" s="170"/>
      <c r="DH61" s="171"/>
      <c r="DI61" s="68"/>
      <c r="DJ61" s="68"/>
      <c r="DK61" s="68"/>
      <c r="DL61" s="167"/>
      <c r="DM61" s="168"/>
      <c r="DN61" s="169"/>
      <c r="DO61" s="168"/>
      <c r="DP61" s="170"/>
      <c r="DQ61" s="171"/>
      <c r="DR61" s="68"/>
      <c r="DS61" s="68"/>
      <c r="DT61" s="68"/>
      <c r="DU61" s="167"/>
      <c r="DV61" s="168"/>
      <c r="DW61" s="169"/>
      <c r="DX61" s="168"/>
      <c r="DY61" s="170"/>
      <c r="DZ61" s="171"/>
      <c r="EA61" s="68"/>
      <c r="EB61" s="68"/>
      <c r="EC61" s="68"/>
      <c r="ED61" s="167"/>
      <c r="EE61" s="168"/>
      <c r="EF61" s="169"/>
      <c r="EG61" s="168"/>
      <c r="EH61" s="170"/>
      <c r="EI61" s="171"/>
      <c r="EJ61" s="68"/>
      <c r="EK61" s="68"/>
      <c r="EL61" s="68"/>
      <c r="EM61" s="167"/>
      <c r="EN61" s="168"/>
      <c r="EO61" s="169"/>
      <c r="EP61" s="168"/>
      <c r="EQ61" s="170"/>
      <c r="ER61" s="171"/>
      <c r="ES61" s="68"/>
      <c r="ET61" s="68"/>
      <c r="EU61" s="68"/>
      <c r="EV61" s="167"/>
      <c r="EW61" s="168"/>
      <c r="EX61" s="169"/>
      <c r="EY61" s="168"/>
      <c r="EZ61" s="170"/>
      <c r="FA61" s="171"/>
      <c r="FB61" s="68"/>
      <c r="FC61" s="68"/>
      <c r="FD61" s="68"/>
      <c r="FE61" s="167"/>
      <c r="FF61" s="168"/>
      <c r="FG61" s="169"/>
      <c r="FH61" s="168"/>
      <c r="FI61" s="170"/>
      <c r="FJ61" s="171"/>
      <c r="FK61" s="68"/>
      <c r="FL61" s="68"/>
      <c r="FM61" s="68"/>
      <c r="FN61" s="167"/>
      <c r="FO61" s="168"/>
      <c r="FP61" s="169"/>
      <c r="FQ61" s="168"/>
      <c r="FR61" s="170"/>
      <c r="FS61" s="171"/>
      <c r="FT61" s="68"/>
      <c r="FU61" s="68"/>
      <c r="FV61" s="68"/>
      <c r="FW61" s="167"/>
      <c r="FX61" s="168"/>
      <c r="FY61" s="169"/>
      <c r="FZ61" s="168"/>
      <c r="GA61" s="170"/>
      <c r="GB61" s="171"/>
      <c r="GC61" s="68"/>
      <c r="GD61" s="68"/>
      <c r="GE61" s="68"/>
      <c r="GF61" s="167"/>
      <c r="GG61" s="168"/>
      <c r="GH61" s="169"/>
      <c r="GI61" s="168"/>
      <c r="GJ61" s="170"/>
      <c r="GK61" s="171"/>
      <c r="GL61" s="68"/>
      <c r="GM61" s="68"/>
      <c r="GN61" s="68"/>
      <c r="GO61" s="167"/>
      <c r="GP61" s="168"/>
      <c r="GQ61" s="169"/>
      <c r="GR61" s="168"/>
      <c r="GS61" s="170"/>
      <c r="GT61" s="171"/>
      <c r="GU61" s="171"/>
      <c r="GV61" s="64"/>
      <c r="GW61" s="65"/>
      <c r="GX61" s="66"/>
      <c r="GY61" s="66"/>
      <c r="GZ61" s="141"/>
      <c r="HA61" s="86"/>
    </row>
    <row r="62" spans="1:209" x14ac:dyDescent="0.25">
      <c r="A62"/>
      <c r="D62" s="35"/>
      <c r="E62" s="36"/>
      <c r="F62" s="37"/>
      <c r="G62" s="38"/>
      <c r="H62" s="39"/>
      <c r="I62" s="40"/>
      <c r="J62" s="68"/>
      <c r="K62" s="69"/>
      <c r="L62" s="69"/>
      <c r="M62" s="70"/>
      <c r="N62" s="71"/>
      <c r="O62" s="56"/>
      <c r="P62" s="72"/>
      <c r="Q62" s="113">
        <f t="shared" si="1"/>
        <v>0</v>
      </c>
      <c r="R62" s="117"/>
      <c r="S62" s="117"/>
      <c r="T62" s="117"/>
      <c r="U62" s="39">
        <f t="shared" si="0"/>
        <v>0</v>
      </c>
      <c r="V62" s="138"/>
      <c r="W62" s="166"/>
      <c r="X62" s="86"/>
      <c r="Y62" s="68"/>
      <c r="Z62" s="167"/>
      <c r="AA62" s="168"/>
      <c r="AB62" s="169"/>
      <c r="AC62" s="168"/>
      <c r="AD62" s="170"/>
      <c r="AE62" s="171"/>
      <c r="AF62" s="68"/>
      <c r="AG62" s="68"/>
      <c r="AH62" s="68"/>
      <c r="AI62" s="167"/>
      <c r="AJ62" s="168"/>
      <c r="AK62" s="169"/>
      <c r="AL62" s="168"/>
      <c r="AM62" s="170"/>
      <c r="AN62" s="171"/>
      <c r="AO62" s="68"/>
      <c r="AP62" s="68"/>
      <c r="AQ62" s="68"/>
      <c r="AR62" s="167"/>
      <c r="AS62" s="168"/>
      <c r="AT62" s="169"/>
      <c r="AU62" s="168"/>
      <c r="AV62" s="170"/>
      <c r="AW62" s="171"/>
      <c r="AX62" s="68"/>
      <c r="AY62" s="68"/>
      <c r="AZ62" s="68"/>
      <c r="BA62" s="167"/>
      <c r="BB62" s="168"/>
      <c r="BC62" s="169"/>
      <c r="BD62" s="168"/>
      <c r="BE62" s="170"/>
      <c r="BF62" s="171"/>
      <c r="BG62" s="68"/>
      <c r="BH62" s="68"/>
      <c r="BI62" s="68"/>
      <c r="BJ62" s="167"/>
      <c r="BK62" s="168"/>
      <c r="BL62" s="169"/>
      <c r="BM62" s="168"/>
      <c r="BN62" s="170"/>
      <c r="BO62" s="171"/>
      <c r="BP62" s="68"/>
      <c r="BQ62" s="68"/>
      <c r="BR62" s="68"/>
      <c r="BS62" s="167"/>
      <c r="BT62" s="168"/>
      <c r="BU62" s="169"/>
      <c r="BV62" s="168"/>
      <c r="BW62" s="170"/>
      <c r="BX62" s="171"/>
      <c r="BY62" s="68"/>
      <c r="BZ62" s="68"/>
      <c r="CA62" s="68"/>
      <c r="CB62" s="167"/>
      <c r="CC62" s="168"/>
      <c r="CD62" s="169"/>
      <c r="CE62" s="168"/>
      <c r="CF62" s="170"/>
      <c r="CG62" s="171"/>
      <c r="CH62" s="68"/>
      <c r="CI62" s="68"/>
      <c r="CJ62" s="68"/>
      <c r="CK62" s="167"/>
      <c r="CL62" s="168"/>
      <c r="CM62" s="169"/>
      <c r="CN62" s="168"/>
      <c r="CO62" s="170"/>
      <c r="CP62" s="171"/>
      <c r="CQ62" s="68"/>
      <c r="CR62" s="68"/>
      <c r="CS62" s="68"/>
      <c r="CT62" s="167"/>
      <c r="CU62" s="168"/>
      <c r="CV62" s="169"/>
      <c r="CW62" s="168"/>
      <c r="CX62" s="170"/>
      <c r="CY62" s="171"/>
      <c r="CZ62" s="68"/>
      <c r="DA62" s="68"/>
      <c r="DB62" s="68"/>
      <c r="DC62" s="167"/>
      <c r="DD62" s="168"/>
      <c r="DE62" s="169"/>
      <c r="DF62" s="168"/>
      <c r="DG62" s="170"/>
      <c r="DH62" s="171"/>
      <c r="DI62" s="68"/>
      <c r="DJ62" s="68"/>
      <c r="DK62" s="68"/>
      <c r="DL62" s="167"/>
      <c r="DM62" s="168"/>
      <c r="DN62" s="169"/>
      <c r="DO62" s="168"/>
      <c r="DP62" s="170"/>
      <c r="DQ62" s="171"/>
      <c r="DR62" s="68"/>
      <c r="DS62" s="68"/>
      <c r="DT62" s="68"/>
      <c r="DU62" s="167"/>
      <c r="DV62" s="168"/>
      <c r="DW62" s="169"/>
      <c r="DX62" s="168"/>
      <c r="DY62" s="170"/>
      <c r="DZ62" s="171"/>
      <c r="EA62" s="68"/>
      <c r="EB62" s="68"/>
      <c r="EC62" s="68"/>
      <c r="ED62" s="167"/>
      <c r="EE62" s="168"/>
      <c r="EF62" s="169"/>
      <c r="EG62" s="168"/>
      <c r="EH62" s="170"/>
      <c r="EI62" s="171"/>
      <c r="EJ62" s="68"/>
      <c r="EK62" s="68"/>
      <c r="EL62" s="68"/>
      <c r="EM62" s="167"/>
      <c r="EN62" s="168"/>
      <c r="EO62" s="169"/>
      <c r="EP62" s="168"/>
      <c r="EQ62" s="170"/>
      <c r="ER62" s="171"/>
      <c r="ES62" s="68"/>
      <c r="ET62" s="68"/>
      <c r="EU62" s="68"/>
      <c r="EV62" s="167"/>
      <c r="EW62" s="168"/>
      <c r="EX62" s="169"/>
      <c r="EY62" s="168"/>
      <c r="EZ62" s="170"/>
      <c r="FA62" s="171"/>
      <c r="FB62" s="68"/>
      <c r="FC62" s="68"/>
      <c r="FD62" s="68"/>
      <c r="FE62" s="167"/>
      <c r="FF62" s="168"/>
      <c r="FG62" s="169"/>
      <c r="FH62" s="168"/>
      <c r="FI62" s="170"/>
      <c r="FJ62" s="171"/>
      <c r="FK62" s="68"/>
      <c r="FL62" s="68"/>
      <c r="FM62" s="68"/>
      <c r="FN62" s="167"/>
      <c r="FO62" s="168"/>
      <c r="FP62" s="169"/>
      <c r="FQ62" s="168"/>
      <c r="FR62" s="170"/>
      <c r="FS62" s="171"/>
      <c r="FT62" s="68"/>
      <c r="FU62" s="68"/>
      <c r="FV62" s="68"/>
      <c r="FW62" s="167"/>
      <c r="FX62" s="168"/>
      <c r="FY62" s="169"/>
      <c r="FZ62" s="168"/>
      <c r="GA62" s="170"/>
      <c r="GB62" s="171"/>
      <c r="GC62" s="68"/>
      <c r="GD62" s="68"/>
      <c r="GE62" s="68"/>
      <c r="GF62" s="167"/>
      <c r="GG62" s="168"/>
      <c r="GH62" s="169"/>
      <c r="GI62" s="168"/>
      <c r="GJ62" s="170"/>
      <c r="GK62" s="171"/>
      <c r="GL62" s="68"/>
      <c r="GM62" s="68"/>
      <c r="GN62" s="68"/>
      <c r="GO62" s="167"/>
      <c r="GP62" s="168"/>
      <c r="GQ62" s="169"/>
      <c r="GR62" s="168"/>
      <c r="GS62" s="170"/>
      <c r="GT62" s="171"/>
      <c r="GU62" s="171"/>
      <c r="GV62" s="64"/>
      <c r="GW62" s="65"/>
      <c r="GX62" s="66"/>
      <c r="GY62" s="66"/>
      <c r="GZ62" s="141"/>
      <c r="HA62" s="86"/>
    </row>
    <row r="63" spans="1:209" x14ac:dyDescent="0.25">
      <c r="A63"/>
      <c r="D63" s="35"/>
      <c r="E63" s="36"/>
      <c r="F63" s="37"/>
      <c r="G63" s="38"/>
      <c r="H63" s="39"/>
      <c r="I63" s="40"/>
      <c r="J63" s="68"/>
      <c r="K63" s="69"/>
      <c r="L63" s="69"/>
      <c r="M63" s="70"/>
      <c r="N63" s="71"/>
      <c r="O63" s="56"/>
      <c r="P63" s="72"/>
      <c r="Q63" s="113">
        <f t="shared" si="1"/>
        <v>0</v>
      </c>
      <c r="R63" s="117"/>
      <c r="S63" s="117"/>
      <c r="T63" s="117"/>
      <c r="U63" s="39">
        <f t="shared" si="0"/>
        <v>0</v>
      </c>
      <c r="V63" s="138"/>
      <c r="W63" s="166"/>
      <c r="X63" s="86"/>
      <c r="Y63" s="68"/>
      <c r="Z63" s="167"/>
      <c r="AA63" s="168"/>
      <c r="AB63" s="169"/>
      <c r="AC63" s="168"/>
      <c r="AD63" s="170"/>
      <c r="AE63" s="171"/>
      <c r="AF63" s="68"/>
      <c r="AG63" s="68"/>
      <c r="AH63" s="68"/>
      <c r="AI63" s="167"/>
      <c r="AJ63" s="168"/>
      <c r="AK63" s="169"/>
      <c r="AL63" s="168"/>
      <c r="AM63" s="170"/>
      <c r="AN63" s="171"/>
      <c r="AO63" s="68"/>
      <c r="AP63" s="68"/>
      <c r="AQ63" s="68"/>
      <c r="AR63" s="167"/>
      <c r="AS63" s="168"/>
      <c r="AT63" s="169"/>
      <c r="AU63" s="168"/>
      <c r="AV63" s="170"/>
      <c r="AW63" s="171"/>
      <c r="AX63" s="68"/>
      <c r="AY63" s="68"/>
      <c r="AZ63" s="68"/>
      <c r="BA63" s="167"/>
      <c r="BB63" s="168"/>
      <c r="BC63" s="169"/>
      <c r="BD63" s="168"/>
      <c r="BE63" s="170"/>
      <c r="BF63" s="171"/>
      <c r="BG63" s="68"/>
      <c r="BH63" s="68"/>
      <c r="BI63" s="68"/>
      <c r="BJ63" s="167"/>
      <c r="BK63" s="168"/>
      <c r="BL63" s="169"/>
      <c r="BM63" s="168"/>
      <c r="BN63" s="170"/>
      <c r="BO63" s="171"/>
      <c r="BP63" s="68"/>
      <c r="BQ63" s="68"/>
      <c r="BR63" s="68"/>
      <c r="BS63" s="167"/>
      <c r="BT63" s="168"/>
      <c r="BU63" s="169"/>
      <c r="BV63" s="168"/>
      <c r="BW63" s="170"/>
      <c r="BX63" s="171"/>
      <c r="BY63" s="68"/>
      <c r="BZ63" s="68"/>
      <c r="CA63" s="68"/>
      <c r="CB63" s="167"/>
      <c r="CC63" s="168"/>
      <c r="CD63" s="169"/>
      <c r="CE63" s="168"/>
      <c r="CF63" s="170"/>
      <c r="CG63" s="171"/>
      <c r="CH63" s="68"/>
      <c r="CI63" s="68"/>
      <c r="CJ63" s="68"/>
      <c r="CK63" s="167"/>
      <c r="CL63" s="168"/>
      <c r="CM63" s="169"/>
      <c r="CN63" s="168"/>
      <c r="CO63" s="170"/>
      <c r="CP63" s="171"/>
      <c r="CQ63" s="68"/>
      <c r="CR63" s="68"/>
      <c r="CS63" s="68"/>
      <c r="CT63" s="167"/>
      <c r="CU63" s="168"/>
      <c r="CV63" s="169"/>
      <c r="CW63" s="168"/>
      <c r="CX63" s="170"/>
      <c r="CY63" s="171"/>
      <c r="CZ63" s="68"/>
      <c r="DA63" s="68"/>
      <c r="DB63" s="68"/>
      <c r="DC63" s="167"/>
      <c r="DD63" s="168"/>
      <c r="DE63" s="169"/>
      <c r="DF63" s="168"/>
      <c r="DG63" s="170"/>
      <c r="DH63" s="171"/>
      <c r="DI63" s="68"/>
      <c r="DJ63" s="68"/>
      <c r="DK63" s="68"/>
      <c r="DL63" s="167"/>
      <c r="DM63" s="168"/>
      <c r="DN63" s="169"/>
      <c r="DO63" s="168"/>
      <c r="DP63" s="170"/>
      <c r="DQ63" s="171"/>
      <c r="DR63" s="68"/>
      <c r="DS63" s="68"/>
      <c r="DT63" s="68"/>
      <c r="DU63" s="167"/>
      <c r="DV63" s="168"/>
      <c r="DW63" s="169"/>
      <c r="DX63" s="168"/>
      <c r="DY63" s="170"/>
      <c r="DZ63" s="171"/>
      <c r="EA63" s="68"/>
      <c r="EB63" s="68"/>
      <c r="EC63" s="68"/>
      <c r="ED63" s="167"/>
      <c r="EE63" s="168"/>
      <c r="EF63" s="169"/>
      <c r="EG63" s="168"/>
      <c r="EH63" s="170"/>
      <c r="EI63" s="171"/>
      <c r="EJ63" s="68"/>
      <c r="EK63" s="68"/>
      <c r="EL63" s="68"/>
      <c r="EM63" s="167"/>
      <c r="EN63" s="168"/>
      <c r="EO63" s="169"/>
      <c r="EP63" s="168"/>
      <c r="EQ63" s="170"/>
      <c r="ER63" s="171"/>
      <c r="ES63" s="68"/>
      <c r="ET63" s="68"/>
      <c r="EU63" s="68"/>
      <c r="EV63" s="167"/>
      <c r="EW63" s="168"/>
      <c r="EX63" s="169"/>
      <c r="EY63" s="168"/>
      <c r="EZ63" s="170"/>
      <c r="FA63" s="171"/>
      <c r="FB63" s="68"/>
      <c r="FC63" s="68"/>
      <c r="FD63" s="68"/>
      <c r="FE63" s="167"/>
      <c r="FF63" s="168"/>
      <c r="FG63" s="169"/>
      <c r="FH63" s="168"/>
      <c r="FI63" s="170"/>
      <c r="FJ63" s="171"/>
      <c r="FK63" s="68"/>
      <c r="FL63" s="68"/>
      <c r="FM63" s="68"/>
      <c r="FN63" s="167"/>
      <c r="FO63" s="168"/>
      <c r="FP63" s="169"/>
      <c r="FQ63" s="168"/>
      <c r="FR63" s="170"/>
      <c r="FS63" s="171"/>
      <c r="FT63" s="68"/>
      <c r="FU63" s="68"/>
      <c r="FV63" s="68"/>
      <c r="FW63" s="167"/>
      <c r="FX63" s="168"/>
      <c r="FY63" s="169"/>
      <c r="FZ63" s="168"/>
      <c r="GA63" s="170"/>
      <c r="GB63" s="171"/>
      <c r="GC63" s="68"/>
      <c r="GD63" s="68"/>
      <c r="GE63" s="68"/>
      <c r="GF63" s="167"/>
      <c r="GG63" s="168"/>
      <c r="GH63" s="169"/>
      <c r="GI63" s="168"/>
      <c r="GJ63" s="170"/>
      <c r="GK63" s="171"/>
      <c r="GL63" s="68"/>
      <c r="GM63" s="68"/>
      <c r="GN63" s="68"/>
      <c r="GO63" s="167"/>
      <c r="GP63" s="168"/>
      <c r="GQ63" s="169"/>
      <c r="GR63" s="168"/>
      <c r="GS63" s="170"/>
      <c r="GT63" s="171"/>
      <c r="GU63" s="171"/>
      <c r="GV63" s="64"/>
      <c r="GW63" s="65"/>
      <c r="GX63" s="66"/>
      <c r="GY63" s="66"/>
      <c r="GZ63" s="141"/>
      <c r="HA63" s="86"/>
    </row>
    <row r="64" spans="1:209" x14ac:dyDescent="0.25">
      <c r="A64"/>
      <c r="D64" s="35"/>
      <c r="E64" s="36"/>
      <c r="F64" s="37"/>
      <c r="G64" s="38"/>
      <c r="H64" s="39"/>
      <c r="I64" s="40"/>
      <c r="J64" s="68"/>
      <c r="K64" s="69"/>
      <c r="L64" s="69"/>
      <c r="M64" s="70"/>
      <c r="N64" s="71"/>
      <c r="O64" s="56"/>
      <c r="P64" s="72"/>
      <c r="Q64" s="113">
        <f t="shared" si="1"/>
        <v>0</v>
      </c>
      <c r="R64" s="117"/>
      <c r="S64" s="117"/>
      <c r="T64" s="117"/>
      <c r="U64" s="39">
        <f t="shared" si="0"/>
        <v>0</v>
      </c>
      <c r="V64" s="138"/>
      <c r="W64" s="172"/>
      <c r="X64" s="86"/>
      <c r="Y64" s="68"/>
      <c r="Z64" s="167"/>
      <c r="AA64" s="168"/>
      <c r="AB64" s="169"/>
      <c r="AC64" s="168"/>
      <c r="AD64" s="170"/>
      <c r="AE64" s="171"/>
      <c r="AF64" s="68"/>
      <c r="AG64" s="68"/>
      <c r="AH64" s="68"/>
      <c r="AI64" s="167"/>
      <c r="AJ64" s="168"/>
      <c r="AK64" s="169"/>
      <c r="AL64" s="168"/>
      <c r="AM64" s="170"/>
      <c r="AN64" s="171"/>
      <c r="AO64" s="68"/>
      <c r="AP64" s="68"/>
      <c r="AQ64" s="68"/>
      <c r="AR64" s="167"/>
      <c r="AS64" s="168"/>
      <c r="AT64" s="169"/>
      <c r="AU64" s="168"/>
      <c r="AV64" s="170"/>
      <c r="AW64" s="171"/>
      <c r="AX64" s="68"/>
      <c r="AY64" s="68"/>
      <c r="AZ64" s="68"/>
      <c r="BA64" s="167"/>
      <c r="BB64" s="168"/>
      <c r="BC64" s="169"/>
      <c r="BD64" s="168"/>
      <c r="BE64" s="170"/>
      <c r="BF64" s="171"/>
      <c r="BG64" s="68"/>
      <c r="BH64" s="68"/>
      <c r="BI64" s="68"/>
      <c r="BJ64" s="167"/>
      <c r="BK64" s="168"/>
      <c r="BL64" s="169"/>
      <c r="BM64" s="168"/>
      <c r="BN64" s="170"/>
      <c r="BO64" s="171"/>
      <c r="BP64" s="68"/>
      <c r="BQ64" s="68"/>
      <c r="BR64" s="68"/>
      <c r="BS64" s="167"/>
      <c r="BT64" s="168"/>
      <c r="BU64" s="169"/>
      <c r="BV64" s="168"/>
      <c r="BW64" s="170"/>
      <c r="BX64" s="171"/>
      <c r="BY64" s="68"/>
      <c r="BZ64" s="68"/>
      <c r="CA64" s="68"/>
      <c r="CB64" s="167"/>
      <c r="CC64" s="168"/>
      <c r="CD64" s="169"/>
      <c r="CE64" s="168"/>
      <c r="CF64" s="170"/>
      <c r="CG64" s="171"/>
      <c r="CH64" s="68"/>
      <c r="CI64" s="68"/>
      <c r="CJ64" s="68"/>
      <c r="CK64" s="167"/>
      <c r="CL64" s="168"/>
      <c r="CM64" s="169"/>
      <c r="CN64" s="168"/>
      <c r="CO64" s="170"/>
      <c r="CP64" s="171"/>
      <c r="CQ64" s="68"/>
      <c r="CR64" s="68"/>
      <c r="CS64" s="68"/>
      <c r="CT64" s="167"/>
      <c r="CU64" s="168"/>
      <c r="CV64" s="169"/>
      <c r="CW64" s="168"/>
      <c r="CX64" s="170"/>
      <c r="CY64" s="171"/>
      <c r="CZ64" s="68"/>
      <c r="DA64" s="68"/>
      <c r="DB64" s="68"/>
      <c r="DC64" s="167"/>
      <c r="DD64" s="168"/>
      <c r="DE64" s="169"/>
      <c r="DF64" s="168"/>
      <c r="DG64" s="170"/>
      <c r="DH64" s="171"/>
      <c r="DI64" s="68"/>
      <c r="DJ64" s="68"/>
      <c r="DK64" s="68"/>
      <c r="DL64" s="167"/>
      <c r="DM64" s="168"/>
      <c r="DN64" s="169"/>
      <c r="DO64" s="168"/>
      <c r="DP64" s="170"/>
      <c r="DQ64" s="171"/>
      <c r="DR64" s="68"/>
      <c r="DS64" s="68"/>
      <c r="DT64" s="68"/>
      <c r="DU64" s="167"/>
      <c r="DV64" s="168"/>
      <c r="DW64" s="169"/>
      <c r="DX64" s="168"/>
      <c r="DY64" s="170"/>
      <c r="DZ64" s="171"/>
      <c r="EA64" s="68"/>
      <c r="EB64" s="68"/>
      <c r="EC64" s="68"/>
      <c r="ED64" s="167"/>
      <c r="EE64" s="168"/>
      <c r="EF64" s="169"/>
      <c r="EG64" s="168"/>
      <c r="EH64" s="170"/>
      <c r="EI64" s="171"/>
      <c r="EJ64" s="68"/>
      <c r="EK64" s="68"/>
      <c r="EL64" s="68"/>
      <c r="EM64" s="167"/>
      <c r="EN64" s="168"/>
      <c r="EO64" s="169"/>
      <c r="EP64" s="168"/>
      <c r="EQ64" s="170"/>
      <c r="ER64" s="171"/>
      <c r="ES64" s="68"/>
      <c r="ET64" s="68"/>
      <c r="EU64" s="68"/>
      <c r="EV64" s="167"/>
      <c r="EW64" s="168"/>
      <c r="EX64" s="169"/>
      <c r="EY64" s="168"/>
      <c r="EZ64" s="170"/>
      <c r="FA64" s="171"/>
      <c r="FB64" s="68"/>
      <c r="FC64" s="68"/>
      <c r="FD64" s="68"/>
      <c r="FE64" s="167"/>
      <c r="FF64" s="168"/>
      <c r="FG64" s="169"/>
      <c r="FH64" s="168"/>
      <c r="FI64" s="170"/>
      <c r="FJ64" s="171"/>
      <c r="FK64" s="68"/>
      <c r="FL64" s="68"/>
      <c r="FM64" s="68"/>
      <c r="FN64" s="167"/>
      <c r="FO64" s="168"/>
      <c r="FP64" s="169"/>
      <c r="FQ64" s="168"/>
      <c r="FR64" s="170"/>
      <c r="FS64" s="171"/>
      <c r="FT64" s="68"/>
      <c r="FU64" s="68"/>
      <c r="FV64" s="68"/>
      <c r="FW64" s="167"/>
      <c r="FX64" s="168"/>
      <c r="FY64" s="169"/>
      <c r="FZ64" s="168"/>
      <c r="GA64" s="170"/>
      <c r="GB64" s="171"/>
      <c r="GC64" s="68"/>
      <c r="GD64" s="68"/>
      <c r="GE64" s="68"/>
      <c r="GF64" s="167"/>
      <c r="GG64" s="168"/>
      <c r="GH64" s="169"/>
      <c r="GI64" s="168"/>
      <c r="GJ64" s="170"/>
      <c r="GK64" s="171"/>
      <c r="GL64" s="68"/>
      <c r="GM64" s="68"/>
      <c r="GN64" s="68"/>
      <c r="GO64" s="167"/>
      <c r="GP64" s="168"/>
      <c r="GQ64" s="169"/>
      <c r="GR64" s="168"/>
      <c r="GS64" s="170"/>
      <c r="GT64" s="171"/>
      <c r="GU64" s="171"/>
      <c r="GV64" s="64"/>
      <c r="GW64" s="65"/>
      <c r="GX64" s="66"/>
      <c r="GY64" s="66"/>
      <c r="GZ64" s="141"/>
      <c r="HA64" s="86"/>
    </row>
    <row r="65" spans="1:209" x14ac:dyDescent="0.25">
      <c r="A65"/>
      <c r="D65" s="35"/>
      <c r="E65" s="36"/>
      <c r="F65" s="37"/>
      <c r="G65" s="38"/>
      <c r="H65" s="39"/>
      <c r="I65" s="40"/>
      <c r="J65" s="68"/>
      <c r="K65" s="69"/>
      <c r="L65" s="69"/>
      <c r="M65" s="70"/>
      <c r="N65" s="71"/>
      <c r="O65" s="173"/>
      <c r="P65" s="72"/>
      <c r="Q65" s="113">
        <f t="shared" si="1"/>
        <v>0</v>
      </c>
      <c r="R65" s="117"/>
      <c r="S65" s="117"/>
      <c r="T65" s="117"/>
      <c r="U65" s="39">
        <f t="shared" si="0"/>
        <v>0</v>
      </c>
      <c r="V65" s="138"/>
      <c r="W65" s="172"/>
      <c r="X65" s="86"/>
      <c r="Y65" s="68"/>
      <c r="Z65" s="167"/>
      <c r="AA65" s="168"/>
      <c r="AB65" s="169"/>
      <c r="AC65" s="168"/>
      <c r="AD65" s="170"/>
      <c r="AE65" s="171"/>
      <c r="AF65" s="68"/>
      <c r="AG65" s="68"/>
      <c r="AH65" s="68"/>
      <c r="AI65" s="167"/>
      <c r="AJ65" s="168"/>
      <c r="AK65" s="169"/>
      <c r="AL65" s="168"/>
      <c r="AM65" s="170"/>
      <c r="AN65" s="171"/>
      <c r="AO65" s="68"/>
      <c r="AP65" s="68"/>
      <c r="AQ65" s="68"/>
      <c r="AR65" s="167"/>
      <c r="AS65" s="168"/>
      <c r="AT65" s="169"/>
      <c r="AU65" s="168"/>
      <c r="AV65" s="170"/>
      <c r="AW65" s="171"/>
      <c r="AX65" s="68"/>
      <c r="AY65" s="68"/>
      <c r="AZ65" s="68"/>
      <c r="BA65" s="167"/>
      <c r="BB65" s="168"/>
      <c r="BC65" s="169"/>
      <c r="BD65" s="168"/>
      <c r="BE65" s="170"/>
      <c r="BF65" s="171"/>
      <c r="BG65" s="68"/>
      <c r="BH65" s="68"/>
      <c r="BI65" s="68"/>
      <c r="BJ65" s="167"/>
      <c r="BK65" s="168"/>
      <c r="BL65" s="169"/>
      <c r="BM65" s="168"/>
      <c r="BN65" s="170"/>
      <c r="BO65" s="171"/>
      <c r="BP65" s="68"/>
      <c r="BQ65" s="68"/>
      <c r="BR65" s="68"/>
      <c r="BS65" s="167"/>
      <c r="BT65" s="168"/>
      <c r="BU65" s="169"/>
      <c r="BV65" s="168"/>
      <c r="BW65" s="170"/>
      <c r="BX65" s="171"/>
      <c r="BY65" s="68"/>
      <c r="BZ65" s="68"/>
      <c r="CA65" s="68"/>
      <c r="CB65" s="167"/>
      <c r="CC65" s="168"/>
      <c r="CD65" s="169"/>
      <c r="CE65" s="168"/>
      <c r="CF65" s="170"/>
      <c r="CG65" s="171"/>
      <c r="CH65" s="68"/>
      <c r="CI65" s="68"/>
      <c r="CJ65" s="68"/>
      <c r="CK65" s="167"/>
      <c r="CL65" s="168"/>
      <c r="CM65" s="169"/>
      <c r="CN65" s="168"/>
      <c r="CO65" s="170"/>
      <c r="CP65" s="171"/>
      <c r="CQ65" s="68"/>
      <c r="CR65" s="68"/>
      <c r="CS65" s="68"/>
      <c r="CT65" s="167"/>
      <c r="CU65" s="168"/>
      <c r="CV65" s="169"/>
      <c r="CW65" s="168"/>
      <c r="CX65" s="170"/>
      <c r="CY65" s="171"/>
      <c r="CZ65" s="68"/>
      <c r="DA65" s="68"/>
      <c r="DB65" s="68"/>
      <c r="DC65" s="167"/>
      <c r="DD65" s="168"/>
      <c r="DE65" s="169"/>
      <c r="DF65" s="168"/>
      <c r="DG65" s="170"/>
      <c r="DH65" s="171"/>
      <c r="DI65" s="68"/>
      <c r="DJ65" s="68"/>
      <c r="DK65" s="68"/>
      <c r="DL65" s="167"/>
      <c r="DM65" s="168"/>
      <c r="DN65" s="169"/>
      <c r="DO65" s="168"/>
      <c r="DP65" s="170"/>
      <c r="DQ65" s="171"/>
      <c r="DR65" s="68"/>
      <c r="DS65" s="68"/>
      <c r="DT65" s="68"/>
      <c r="DU65" s="167"/>
      <c r="DV65" s="168"/>
      <c r="DW65" s="169"/>
      <c r="DX65" s="168"/>
      <c r="DY65" s="170"/>
      <c r="DZ65" s="171"/>
      <c r="EA65" s="68"/>
      <c r="EB65" s="68"/>
      <c r="EC65" s="68"/>
      <c r="ED65" s="167"/>
      <c r="EE65" s="168"/>
      <c r="EF65" s="169"/>
      <c r="EG65" s="168"/>
      <c r="EH65" s="170"/>
      <c r="EI65" s="171"/>
      <c r="EJ65" s="68"/>
      <c r="EK65" s="68"/>
      <c r="EL65" s="68"/>
      <c r="EM65" s="167"/>
      <c r="EN65" s="168"/>
      <c r="EO65" s="169"/>
      <c r="EP65" s="168"/>
      <c r="EQ65" s="170"/>
      <c r="ER65" s="171"/>
      <c r="ES65" s="68"/>
      <c r="ET65" s="68"/>
      <c r="EU65" s="68"/>
      <c r="EV65" s="167"/>
      <c r="EW65" s="168"/>
      <c r="EX65" s="169"/>
      <c r="EY65" s="168"/>
      <c r="EZ65" s="170"/>
      <c r="FA65" s="171"/>
      <c r="FB65" s="68"/>
      <c r="FC65" s="68"/>
      <c r="FD65" s="68"/>
      <c r="FE65" s="167"/>
      <c r="FF65" s="168"/>
      <c r="FG65" s="169"/>
      <c r="FH65" s="168"/>
      <c r="FI65" s="170"/>
      <c r="FJ65" s="171"/>
      <c r="FK65" s="68"/>
      <c r="FL65" s="68"/>
      <c r="FM65" s="68"/>
      <c r="FN65" s="167"/>
      <c r="FO65" s="168"/>
      <c r="FP65" s="169"/>
      <c r="FQ65" s="168"/>
      <c r="FR65" s="170"/>
      <c r="FS65" s="171"/>
      <c r="FT65" s="68"/>
      <c r="FU65" s="68"/>
      <c r="FV65" s="68"/>
      <c r="FW65" s="167"/>
      <c r="FX65" s="168"/>
      <c r="FY65" s="169"/>
      <c r="FZ65" s="168"/>
      <c r="GA65" s="170"/>
      <c r="GB65" s="171"/>
      <c r="GC65" s="68"/>
      <c r="GD65" s="68"/>
      <c r="GE65" s="68"/>
      <c r="GF65" s="167"/>
      <c r="GG65" s="168"/>
      <c r="GH65" s="169"/>
      <c r="GI65" s="168"/>
      <c r="GJ65" s="170"/>
      <c r="GK65" s="171"/>
      <c r="GL65" s="68"/>
      <c r="GM65" s="68"/>
      <c r="GN65" s="68"/>
      <c r="GO65" s="167"/>
      <c r="GP65" s="168"/>
      <c r="GQ65" s="169"/>
      <c r="GR65" s="168"/>
      <c r="GS65" s="170"/>
      <c r="GT65" s="171"/>
      <c r="GU65" s="171"/>
      <c r="GV65" s="64"/>
      <c r="GW65" s="65"/>
      <c r="GX65" s="66"/>
      <c r="GY65" s="66"/>
      <c r="GZ65" s="141"/>
      <c r="HA65" s="86"/>
    </row>
    <row r="66" spans="1:209" x14ac:dyDescent="0.25">
      <c r="A66"/>
      <c r="D66" s="35"/>
      <c r="E66" s="36"/>
      <c r="F66" s="37"/>
      <c r="G66" s="38"/>
      <c r="H66" s="39"/>
      <c r="I66" s="40"/>
      <c r="J66" s="174"/>
      <c r="K66" s="69"/>
      <c r="L66" s="69"/>
      <c r="M66" s="70"/>
      <c r="N66" s="71"/>
      <c r="O66" s="175"/>
      <c r="P66" s="72"/>
      <c r="Q66" s="113">
        <f t="shared" si="1"/>
        <v>0</v>
      </c>
      <c r="R66" s="117"/>
      <c r="S66" s="117"/>
      <c r="T66" s="117"/>
      <c r="U66" s="39">
        <f t="shared" si="0"/>
        <v>0</v>
      </c>
      <c r="V66" s="138"/>
      <c r="W66" s="172"/>
      <c r="X66" s="86"/>
      <c r="Y66" s="68"/>
      <c r="Z66" s="167"/>
      <c r="AA66" s="168"/>
      <c r="AB66" s="169"/>
      <c r="AC66" s="168"/>
      <c r="AD66" s="170"/>
      <c r="AE66" s="171"/>
      <c r="AF66" s="68"/>
      <c r="AG66" s="68"/>
      <c r="AH66" s="68"/>
      <c r="AI66" s="167"/>
      <c r="AJ66" s="168"/>
      <c r="AK66" s="169"/>
      <c r="AL66" s="168"/>
      <c r="AM66" s="170"/>
      <c r="AN66" s="171"/>
      <c r="AO66" s="68"/>
      <c r="AP66" s="68"/>
      <c r="AQ66" s="68"/>
      <c r="AR66" s="167"/>
      <c r="AS66" s="168"/>
      <c r="AT66" s="169"/>
      <c r="AU66" s="168"/>
      <c r="AV66" s="170"/>
      <c r="AW66" s="171"/>
      <c r="AX66" s="68"/>
      <c r="AY66" s="68"/>
      <c r="AZ66" s="68"/>
      <c r="BA66" s="167"/>
      <c r="BB66" s="168"/>
      <c r="BC66" s="169"/>
      <c r="BD66" s="168"/>
      <c r="BE66" s="170"/>
      <c r="BF66" s="171"/>
      <c r="BG66" s="68"/>
      <c r="BH66" s="68"/>
      <c r="BI66" s="68"/>
      <c r="BJ66" s="167"/>
      <c r="BK66" s="168"/>
      <c r="BL66" s="169"/>
      <c r="BM66" s="168"/>
      <c r="BN66" s="170"/>
      <c r="BO66" s="171"/>
      <c r="BP66" s="68"/>
      <c r="BQ66" s="68"/>
      <c r="BR66" s="68"/>
      <c r="BS66" s="167"/>
      <c r="BT66" s="168"/>
      <c r="BU66" s="169"/>
      <c r="BV66" s="168"/>
      <c r="BW66" s="170"/>
      <c r="BX66" s="171"/>
      <c r="BY66" s="68"/>
      <c r="BZ66" s="68"/>
      <c r="CA66" s="68"/>
      <c r="CB66" s="167"/>
      <c r="CC66" s="168"/>
      <c r="CD66" s="169"/>
      <c r="CE66" s="168"/>
      <c r="CF66" s="170"/>
      <c r="CG66" s="171"/>
      <c r="CH66" s="68"/>
      <c r="CI66" s="68"/>
      <c r="CJ66" s="68"/>
      <c r="CK66" s="167"/>
      <c r="CL66" s="168"/>
      <c r="CM66" s="169"/>
      <c r="CN66" s="168"/>
      <c r="CO66" s="170"/>
      <c r="CP66" s="171"/>
      <c r="CQ66" s="68"/>
      <c r="CR66" s="68"/>
      <c r="CS66" s="68"/>
      <c r="CT66" s="167"/>
      <c r="CU66" s="168"/>
      <c r="CV66" s="169"/>
      <c r="CW66" s="168"/>
      <c r="CX66" s="170"/>
      <c r="CY66" s="171"/>
      <c r="CZ66" s="68"/>
      <c r="DA66" s="68"/>
      <c r="DB66" s="68"/>
      <c r="DC66" s="167"/>
      <c r="DD66" s="168"/>
      <c r="DE66" s="169"/>
      <c r="DF66" s="168"/>
      <c r="DG66" s="170"/>
      <c r="DH66" s="171"/>
      <c r="DI66" s="68"/>
      <c r="DJ66" s="68"/>
      <c r="DK66" s="68"/>
      <c r="DL66" s="167"/>
      <c r="DM66" s="168"/>
      <c r="DN66" s="169"/>
      <c r="DO66" s="168"/>
      <c r="DP66" s="170"/>
      <c r="DQ66" s="171"/>
      <c r="DR66" s="68"/>
      <c r="DS66" s="68"/>
      <c r="DT66" s="68"/>
      <c r="DU66" s="167"/>
      <c r="DV66" s="168"/>
      <c r="DW66" s="169"/>
      <c r="DX66" s="168"/>
      <c r="DY66" s="170"/>
      <c r="DZ66" s="171"/>
      <c r="EA66" s="68"/>
      <c r="EB66" s="68"/>
      <c r="EC66" s="68"/>
      <c r="ED66" s="167"/>
      <c r="EE66" s="168"/>
      <c r="EF66" s="169"/>
      <c r="EG66" s="168"/>
      <c r="EH66" s="170"/>
      <c r="EI66" s="171"/>
      <c r="EJ66" s="68"/>
      <c r="EK66" s="68"/>
      <c r="EL66" s="68"/>
      <c r="EM66" s="167"/>
      <c r="EN66" s="168"/>
      <c r="EO66" s="169"/>
      <c r="EP66" s="168"/>
      <c r="EQ66" s="170"/>
      <c r="ER66" s="171"/>
      <c r="ES66" s="68"/>
      <c r="ET66" s="68"/>
      <c r="EU66" s="68"/>
      <c r="EV66" s="167"/>
      <c r="EW66" s="168"/>
      <c r="EX66" s="169"/>
      <c r="EY66" s="168"/>
      <c r="EZ66" s="170"/>
      <c r="FA66" s="171"/>
      <c r="FB66" s="68"/>
      <c r="FC66" s="68"/>
      <c r="FD66" s="68"/>
      <c r="FE66" s="167"/>
      <c r="FF66" s="168"/>
      <c r="FG66" s="169"/>
      <c r="FH66" s="168"/>
      <c r="FI66" s="170"/>
      <c r="FJ66" s="171"/>
      <c r="FK66" s="68"/>
      <c r="FL66" s="68"/>
      <c r="FM66" s="68"/>
      <c r="FN66" s="167"/>
      <c r="FO66" s="168"/>
      <c r="FP66" s="169"/>
      <c r="FQ66" s="168"/>
      <c r="FR66" s="170"/>
      <c r="FS66" s="171"/>
      <c r="FT66" s="68"/>
      <c r="FU66" s="68"/>
      <c r="FV66" s="68"/>
      <c r="FW66" s="167"/>
      <c r="FX66" s="168"/>
      <c r="FY66" s="169"/>
      <c r="FZ66" s="168"/>
      <c r="GA66" s="170"/>
      <c r="GB66" s="171"/>
      <c r="GC66" s="68"/>
      <c r="GD66" s="68"/>
      <c r="GE66" s="68"/>
      <c r="GF66" s="167"/>
      <c r="GG66" s="168"/>
      <c r="GH66" s="169"/>
      <c r="GI66" s="168"/>
      <c r="GJ66" s="170"/>
      <c r="GK66" s="171"/>
      <c r="GL66" s="68"/>
      <c r="GM66" s="68"/>
      <c r="GN66" s="68"/>
      <c r="GO66" s="167"/>
      <c r="GP66" s="168"/>
      <c r="GQ66" s="169"/>
      <c r="GR66" s="168"/>
      <c r="GS66" s="170"/>
      <c r="GT66" s="171"/>
      <c r="GU66" s="171"/>
      <c r="GV66" s="64"/>
      <c r="GW66" s="65"/>
      <c r="GX66" s="66"/>
      <c r="GY66" s="66"/>
      <c r="GZ66" s="423"/>
      <c r="HA66" s="67"/>
    </row>
    <row r="67" spans="1:209" x14ac:dyDescent="0.25">
      <c r="A67"/>
      <c r="D67" s="35"/>
      <c r="E67" s="36"/>
      <c r="F67" s="37"/>
      <c r="G67" s="38"/>
      <c r="H67" s="39"/>
      <c r="I67" s="40"/>
      <c r="J67" s="177"/>
      <c r="K67" s="178"/>
      <c r="O67" s="179"/>
      <c r="Q67" s="27"/>
      <c r="R67" s="180"/>
      <c r="S67" s="180"/>
      <c r="T67" s="180"/>
      <c r="U67" s="39">
        <f t="shared" si="0"/>
        <v>0</v>
      </c>
      <c r="V67" s="181"/>
      <c r="W67" s="182"/>
      <c r="X67" s="30"/>
      <c r="Y67" s="8"/>
      <c r="Z67" s="183"/>
      <c r="AA67" s="184"/>
      <c r="AB67" s="185"/>
      <c r="AC67" s="184"/>
      <c r="AD67" s="186"/>
      <c r="AE67" s="187"/>
      <c r="AF67" s="8"/>
      <c r="AG67" s="8"/>
      <c r="AH67" s="188"/>
      <c r="AI67" s="183"/>
      <c r="AJ67" s="184"/>
      <c r="AK67" s="185"/>
      <c r="AL67" s="28"/>
      <c r="AM67" s="186"/>
      <c r="AN67" s="187"/>
      <c r="AO67" s="8"/>
      <c r="AP67" s="8"/>
      <c r="AQ67" s="188"/>
      <c r="AR67" s="183"/>
      <c r="AS67" s="184"/>
      <c r="AT67" s="185"/>
      <c r="AU67" s="184"/>
      <c r="AV67" s="186"/>
      <c r="AW67" s="187"/>
      <c r="AX67" s="8"/>
      <c r="AY67" s="8"/>
      <c r="AZ67" s="188"/>
      <c r="BA67" s="183"/>
      <c r="BB67" s="184"/>
      <c r="BC67" s="185"/>
      <c r="BD67" s="28"/>
      <c r="BE67" s="186"/>
      <c r="BF67" s="187"/>
      <c r="BG67" s="8"/>
      <c r="BH67" s="8"/>
      <c r="BI67" s="188"/>
      <c r="BJ67" s="183"/>
      <c r="BK67" s="184"/>
      <c r="BL67" s="185"/>
      <c r="BM67" s="28"/>
      <c r="BN67" s="186"/>
      <c r="BO67" s="187"/>
      <c r="BP67" s="8"/>
      <c r="BQ67" s="8"/>
      <c r="BR67" s="188"/>
      <c r="BS67" s="183"/>
      <c r="BT67" s="184"/>
      <c r="BU67" s="185"/>
      <c r="BV67" s="184"/>
      <c r="BW67" s="186"/>
      <c r="BX67" s="187"/>
      <c r="BY67" s="8"/>
      <c r="BZ67" s="8"/>
      <c r="CA67" s="188"/>
      <c r="CB67" s="183"/>
      <c r="CC67" s="184"/>
      <c r="CD67" s="185"/>
      <c r="CE67" s="184"/>
      <c r="CF67" s="186"/>
      <c r="CG67" s="187"/>
      <c r="CH67" s="8"/>
      <c r="CI67" s="8"/>
      <c r="CJ67" s="188"/>
      <c r="CK67" s="183"/>
      <c r="CL67" s="184"/>
      <c r="CM67" s="185"/>
      <c r="CN67" s="184"/>
      <c r="CO67" s="186"/>
      <c r="CP67" s="187"/>
      <c r="CQ67" s="8"/>
      <c r="CR67" s="8"/>
      <c r="CS67" s="188"/>
      <c r="CT67" s="183"/>
      <c r="CU67" s="184"/>
      <c r="CV67" s="189"/>
      <c r="CW67" s="28"/>
      <c r="CX67" s="190"/>
      <c r="CY67" s="187"/>
      <c r="CZ67" s="8"/>
      <c r="DA67" s="8"/>
      <c r="DB67" s="188"/>
      <c r="DC67" s="183"/>
      <c r="DD67" s="184"/>
      <c r="DE67" s="185"/>
      <c r="DF67" s="184"/>
      <c r="DG67" s="186"/>
      <c r="DH67" s="187"/>
      <c r="DI67" s="8"/>
      <c r="DJ67" s="8"/>
      <c r="DK67" s="188"/>
      <c r="DL67" s="183"/>
      <c r="DM67" s="184"/>
      <c r="DN67" s="189"/>
      <c r="DO67" s="28"/>
      <c r="DP67" s="190"/>
      <c r="DQ67" s="187"/>
      <c r="DR67" s="8"/>
      <c r="DS67" s="8"/>
      <c r="DT67" s="188"/>
      <c r="DU67" s="183"/>
      <c r="DV67" s="184"/>
      <c r="DW67" s="185"/>
      <c r="DX67" s="184"/>
      <c r="DY67" s="186"/>
      <c r="DZ67" s="187"/>
      <c r="EA67" s="8"/>
      <c r="EB67" s="8"/>
      <c r="EC67" s="188"/>
      <c r="ED67" s="183"/>
      <c r="EE67" s="184"/>
      <c r="EF67" s="189"/>
      <c r="EG67" s="28"/>
      <c r="EH67" s="190"/>
      <c r="EI67" s="187"/>
      <c r="EJ67" s="8"/>
      <c r="EK67" s="8"/>
      <c r="EL67" s="188"/>
      <c r="EM67" s="183"/>
      <c r="EN67" s="184"/>
      <c r="EO67" s="189"/>
      <c r="EP67" s="28"/>
      <c r="EQ67" s="190"/>
      <c r="ER67" s="187"/>
      <c r="ES67" s="8"/>
      <c r="ET67" s="8"/>
      <c r="EU67" s="188"/>
      <c r="EV67" s="183"/>
      <c r="EW67" s="184"/>
      <c r="EX67" s="185"/>
      <c r="EY67" s="184"/>
      <c r="EZ67" s="186"/>
      <c r="FA67" s="187"/>
      <c r="FB67" s="8"/>
      <c r="FC67" s="8"/>
      <c r="FD67" s="188"/>
      <c r="FE67" s="183"/>
      <c r="FF67" s="184"/>
      <c r="FG67" s="185"/>
      <c r="FH67" s="184"/>
      <c r="FI67" s="186"/>
      <c r="FJ67" s="187"/>
      <c r="FK67" s="8"/>
      <c r="FL67" s="8"/>
      <c r="FM67" s="188"/>
      <c r="FN67" s="183"/>
      <c r="FO67" s="184"/>
      <c r="FP67" s="185"/>
      <c r="FQ67" s="184"/>
      <c r="FR67" s="186"/>
      <c r="FS67" s="187"/>
      <c r="FT67" s="8"/>
      <c r="FU67" s="8"/>
      <c r="FV67" s="188"/>
      <c r="FW67" s="183"/>
      <c r="FX67" s="184"/>
      <c r="FY67" s="185"/>
      <c r="FZ67" s="184"/>
      <c r="GA67" s="186"/>
      <c r="GB67" s="187"/>
      <c r="GC67" s="8"/>
      <c r="GD67" s="8"/>
      <c r="GE67" s="188"/>
      <c r="GF67" s="183"/>
      <c r="GG67" s="184"/>
      <c r="GH67" s="185"/>
      <c r="GI67" s="184"/>
      <c r="GJ67" s="186"/>
      <c r="GK67" s="187"/>
      <c r="GL67" s="8"/>
      <c r="GM67" s="8"/>
      <c r="GN67" s="188"/>
      <c r="GO67" s="183"/>
      <c r="GP67" s="184"/>
      <c r="GQ67" s="185"/>
      <c r="GR67" s="184"/>
      <c r="GS67" s="186"/>
      <c r="GT67" s="187"/>
      <c r="GU67" s="187"/>
      <c r="GV67" s="29"/>
      <c r="GW67" s="191"/>
      <c r="GX67" s="31"/>
      <c r="GY67" s="31"/>
      <c r="GZ67" s="421"/>
      <c r="HA67" s="33"/>
    </row>
    <row r="68" spans="1:209" x14ac:dyDescent="0.25">
      <c r="A68"/>
      <c r="D68" s="35"/>
      <c r="E68" s="36"/>
      <c r="F68" s="37"/>
      <c r="G68" s="38"/>
      <c r="H68" s="39"/>
      <c r="I68" s="40"/>
      <c r="J68" s="177"/>
      <c r="K68" s="178"/>
      <c r="Q68" s="27"/>
      <c r="R68" s="180"/>
      <c r="S68" s="180"/>
      <c r="T68" s="180"/>
      <c r="U68" s="39">
        <f t="shared" si="0"/>
        <v>0</v>
      </c>
      <c r="V68" s="181"/>
      <c r="W68" s="182"/>
      <c r="X68" s="30"/>
      <c r="Y68" s="8"/>
      <c r="Z68" s="183"/>
      <c r="AA68" s="184"/>
      <c r="AB68" s="185"/>
      <c r="AC68" s="184"/>
      <c r="AD68" s="186"/>
      <c r="AE68" s="187"/>
      <c r="AF68" s="8"/>
      <c r="AG68" s="8"/>
      <c r="AH68" s="188"/>
      <c r="AI68" s="183"/>
      <c r="AJ68" s="184"/>
      <c r="AK68" s="185"/>
      <c r="AL68" s="28"/>
      <c r="AM68" s="186"/>
      <c r="AN68" s="187"/>
      <c r="AO68" s="8"/>
      <c r="AP68" s="8"/>
      <c r="AQ68" s="188"/>
      <c r="AR68" s="183"/>
      <c r="AS68" s="184"/>
      <c r="AT68" s="185"/>
      <c r="AU68" s="184"/>
      <c r="AV68" s="186"/>
      <c r="AW68" s="187"/>
      <c r="AX68" s="8"/>
      <c r="AY68" s="8"/>
      <c r="AZ68" s="188"/>
      <c r="BA68" s="183"/>
      <c r="BB68" s="184"/>
      <c r="BC68" s="185"/>
      <c r="BD68" s="28"/>
      <c r="BE68" s="186"/>
      <c r="BF68" s="187"/>
      <c r="BG68" s="8"/>
      <c r="BH68" s="8"/>
      <c r="BI68" s="188"/>
      <c r="BJ68" s="183"/>
      <c r="BK68" s="184"/>
      <c r="BL68" s="185"/>
      <c r="BM68" s="28"/>
      <c r="BN68" s="186"/>
      <c r="BO68" s="187"/>
      <c r="BP68" s="8"/>
      <c r="BQ68" s="8"/>
      <c r="BR68" s="188"/>
      <c r="BS68" s="183"/>
      <c r="BT68" s="184"/>
      <c r="BU68" s="185"/>
      <c r="BV68" s="184"/>
      <c r="BW68" s="186"/>
      <c r="BX68" s="187"/>
      <c r="BY68" s="8"/>
      <c r="BZ68" s="8"/>
      <c r="CA68" s="188"/>
      <c r="CB68" s="183"/>
      <c r="CC68" s="184"/>
      <c r="CD68" s="185"/>
      <c r="CE68" s="184"/>
      <c r="CF68" s="186"/>
      <c r="CG68" s="187"/>
      <c r="CH68" s="8"/>
      <c r="CI68" s="8"/>
      <c r="CJ68" s="188"/>
      <c r="CK68" s="183"/>
      <c r="CL68" s="184"/>
      <c r="CM68" s="185"/>
      <c r="CN68" s="184"/>
      <c r="CO68" s="186"/>
      <c r="CP68" s="187"/>
      <c r="CQ68" s="8"/>
      <c r="CR68" s="8"/>
      <c r="CS68" s="188"/>
      <c r="CT68" s="183"/>
      <c r="CU68" s="184"/>
      <c r="CV68" s="189"/>
      <c r="CW68" s="28"/>
      <c r="CX68" s="190"/>
      <c r="CY68" s="187"/>
      <c r="CZ68" s="8"/>
      <c r="DA68" s="8"/>
      <c r="DB68" s="188"/>
      <c r="DC68" s="183"/>
      <c r="DD68" s="184"/>
      <c r="DE68" s="185"/>
      <c r="DF68" s="184"/>
      <c r="DG68" s="186"/>
      <c r="DH68" s="187"/>
      <c r="DI68" s="8"/>
      <c r="DJ68" s="8"/>
      <c r="DK68" s="188"/>
      <c r="DL68" s="183"/>
      <c r="DM68" s="184"/>
      <c r="DN68" s="189"/>
      <c r="DO68" s="28"/>
      <c r="DP68" s="190"/>
      <c r="DQ68" s="187"/>
      <c r="DR68" s="8"/>
      <c r="DS68" s="8"/>
      <c r="DT68" s="188"/>
      <c r="DU68" s="183"/>
      <c r="DV68" s="184"/>
      <c r="DW68" s="185"/>
      <c r="DX68" s="184"/>
      <c r="DY68" s="186"/>
      <c r="DZ68" s="187"/>
      <c r="EA68" s="8"/>
      <c r="EB68" s="8"/>
      <c r="EC68" s="188"/>
      <c r="ED68" s="183"/>
      <c r="EE68" s="184"/>
      <c r="EF68" s="189"/>
      <c r="EG68" s="28"/>
      <c r="EH68" s="190"/>
      <c r="EI68" s="187"/>
      <c r="EJ68" s="8"/>
      <c r="EK68" s="8"/>
      <c r="EL68" s="188"/>
      <c r="EM68" s="183"/>
      <c r="EN68" s="184"/>
      <c r="EO68" s="189"/>
      <c r="EP68" s="28"/>
      <c r="EQ68" s="190"/>
      <c r="ER68" s="187"/>
      <c r="ES68" s="8"/>
      <c r="ET68" s="8"/>
      <c r="EU68" s="188"/>
      <c r="EV68" s="183"/>
      <c r="EW68" s="184"/>
      <c r="EX68" s="185"/>
      <c r="EY68" s="184"/>
      <c r="EZ68" s="186"/>
      <c r="FA68" s="187"/>
      <c r="FB68" s="8"/>
      <c r="FC68" s="8"/>
      <c r="FD68" s="188"/>
      <c r="FE68" s="183"/>
      <c r="FF68" s="184"/>
      <c r="FG68" s="185"/>
      <c r="FH68" s="184"/>
      <c r="FI68" s="186"/>
      <c r="FJ68" s="187"/>
      <c r="FK68" s="8"/>
      <c r="FL68" s="8"/>
      <c r="FM68" s="188"/>
      <c r="FN68" s="183"/>
      <c r="FO68" s="184"/>
      <c r="FP68" s="185"/>
      <c r="FQ68" s="184"/>
      <c r="FR68" s="186"/>
      <c r="FS68" s="187"/>
      <c r="FT68" s="8"/>
      <c r="FU68" s="8"/>
      <c r="FV68" s="188"/>
      <c r="FW68" s="183"/>
      <c r="FX68" s="184"/>
      <c r="FY68" s="185"/>
      <c r="FZ68" s="184"/>
      <c r="GA68" s="186"/>
      <c r="GB68" s="187"/>
      <c r="GC68" s="8"/>
      <c r="GD68" s="8"/>
      <c r="GE68" s="188"/>
      <c r="GF68" s="183"/>
      <c r="GG68" s="184"/>
      <c r="GH68" s="185"/>
      <c r="GI68" s="184"/>
      <c r="GJ68" s="186"/>
      <c r="GK68" s="187"/>
      <c r="GL68" s="8"/>
      <c r="GM68" s="8"/>
      <c r="GN68" s="188"/>
      <c r="GO68" s="183"/>
      <c r="GP68" s="184"/>
      <c r="GQ68" s="185"/>
      <c r="GR68" s="184"/>
      <c r="GS68" s="186"/>
      <c r="GT68" s="187"/>
      <c r="GU68" s="187"/>
      <c r="GV68" s="29"/>
      <c r="GW68" s="191"/>
      <c r="GX68" s="31"/>
      <c r="GY68" s="31"/>
      <c r="GZ68" s="421"/>
      <c r="HA68" s="33"/>
    </row>
    <row r="69" spans="1:209" ht="16.5" thickBot="1" x14ac:dyDescent="0.3">
      <c r="A69"/>
      <c r="D69" s="35"/>
      <c r="E69" s="36"/>
      <c r="F69" s="37"/>
      <c r="G69" s="38"/>
      <c r="H69" s="39"/>
      <c r="I69" s="40"/>
      <c r="J69" s="177"/>
      <c r="K69" s="178"/>
      <c r="P69" s="192"/>
      <c r="Q69" s="27"/>
      <c r="R69" s="180"/>
      <c r="S69" s="180"/>
      <c r="T69" s="180"/>
      <c r="U69" s="39">
        <f t="shared" si="0"/>
        <v>0</v>
      </c>
      <c r="V69" s="181"/>
      <c r="W69" s="182"/>
      <c r="X69" s="30"/>
      <c r="Y69" s="8"/>
      <c r="Z69" s="183"/>
      <c r="AA69" s="184"/>
      <c r="AB69" s="185"/>
      <c r="AC69" s="184"/>
      <c r="AD69" s="186"/>
      <c r="AE69" s="187"/>
      <c r="AF69" s="8"/>
      <c r="AG69" s="8"/>
      <c r="AH69" s="188"/>
      <c r="AI69" s="183"/>
      <c r="AJ69" s="184"/>
      <c r="AK69" s="185"/>
      <c r="AL69" s="28"/>
      <c r="AM69" s="186"/>
      <c r="AN69" s="187"/>
      <c r="AO69" s="8"/>
      <c r="AP69" s="8"/>
      <c r="AQ69" s="188"/>
      <c r="AR69" s="183"/>
      <c r="AS69" s="184"/>
      <c r="AT69" s="185"/>
      <c r="AU69" s="184"/>
      <c r="AV69" s="186"/>
      <c r="AW69" s="187"/>
      <c r="AX69" s="8"/>
      <c r="AY69" s="8"/>
      <c r="AZ69" s="188"/>
      <c r="BA69" s="183"/>
      <c r="BB69" s="184"/>
      <c r="BC69" s="185"/>
      <c r="BD69" s="28"/>
      <c r="BE69" s="186"/>
      <c r="BF69" s="187"/>
      <c r="BG69" s="8"/>
      <c r="BH69" s="8"/>
      <c r="BI69" s="188"/>
      <c r="BJ69" s="183"/>
      <c r="BK69" s="184"/>
      <c r="BL69" s="185"/>
      <c r="BM69" s="28"/>
      <c r="BN69" s="186"/>
      <c r="BO69" s="187"/>
      <c r="BP69" s="8"/>
      <c r="BQ69" s="8"/>
      <c r="BR69" s="188"/>
      <c r="BS69" s="183"/>
      <c r="BT69" s="184"/>
      <c r="BU69" s="185"/>
      <c r="BV69" s="184"/>
      <c r="BW69" s="186"/>
      <c r="BX69" s="187"/>
      <c r="BY69" s="8"/>
      <c r="BZ69" s="8"/>
      <c r="CA69" s="188"/>
      <c r="CB69" s="183"/>
      <c r="CC69" s="184"/>
      <c r="CD69" s="185"/>
      <c r="CE69" s="184"/>
      <c r="CF69" s="186"/>
      <c r="CG69" s="187"/>
      <c r="CH69" s="8"/>
      <c r="CI69" s="8"/>
      <c r="CJ69" s="188"/>
      <c r="CK69" s="183"/>
      <c r="CL69" s="184"/>
      <c r="CM69" s="185"/>
      <c r="CN69" s="184"/>
      <c r="CO69" s="186"/>
      <c r="CP69" s="187"/>
      <c r="CQ69" s="8"/>
      <c r="CR69" s="8"/>
      <c r="CS69" s="188"/>
      <c r="CT69" s="183"/>
      <c r="CU69" s="184"/>
      <c r="CV69" s="189"/>
      <c r="CW69" s="28"/>
      <c r="CX69" s="190"/>
      <c r="CY69" s="187"/>
      <c r="CZ69" s="8"/>
      <c r="DA69" s="8"/>
      <c r="DB69" s="188"/>
      <c r="DC69" s="183"/>
      <c r="DD69" s="184"/>
      <c r="DE69" s="185"/>
      <c r="DF69" s="184"/>
      <c r="DG69" s="186"/>
      <c r="DH69" s="187"/>
      <c r="DI69" s="8"/>
      <c r="DJ69" s="8"/>
      <c r="DK69" s="188"/>
      <c r="DL69" s="183"/>
      <c r="DM69" s="184"/>
      <c r="DN69" s="189"/>
      <c r="DO69" s="28"/>
      <c r="DP69" s="190"/>
      <c r="DQ69" s="187"/>
      <c r="DR69" s="8"/>
      <c r="DS69" s="8"/>
      <c r="DT69" s="188"/>
      <c r="DU69" s="183"/>
      <c r="DV69" s="184"/>
      <c r="DW69" s="185"/>
      <c r="DX69" s="184"/>
      <c r="DY69" s="186"/>
      <c r="DZ69" s="187"/>
      <c r="EA69" s="8"/>
      <c r="EB69" s="8"/>
      <c r="EC69" s="188"/>
      <c r="ED69" s="183"/>
      <c r="EE69" s="184"/>
      <c r="EF69" s="189"/>
      <c r="EG69" s="28"/>
      <c r="EH69" s="190"/>
      <c r="EI69" s="187"/>
      <c r="EJ69" s="8"/>
      <c r="EK69" s="8"/>
      <c r="EL69" s="188"/>
      <c r="EM69" s="183"/>
      <c r="EN69" s="184"/>
      <c r="EO69" s="189"/>
      <c r="EP69" s="28"/>
      <c r="EQ69" s="190"/>
      <c r="ER69" s="187"/>
      <c r="ES69" s="8"/>
      <c r="ET69" s="8"/>
      <c r="EU69" s="188"/>
      <c r="EV69" s="183"/>
      <c r="EW69" s="184"/>
      <c r="EX69" s="185"/>
      <c r="EY69" s="184"/>
      <c r="EZ69" s="186"/>
      <c r="FA69" s="187"/>
      <c r="FB69" s="8"/>
      <c r="FC69" s="8"/>
      <c r="FD69" s="188"/>
      <c r="FE69" s="183"/>
      <c r="FF69" s="184"/>
      <c r="FG69" s="185"/>
      <c r="FH69" s="184"/>
      <c r="FI69" s="186"/>
      <c r="FJ69" s="187"/>
      <c r="FK69" s="8"/>
      <c r="FL69" s="8"/>
      <c r="FM69" s="188"/>
      <c r="FN69" s="183"/>
      <c r="FO69" s="184"/>
      <c r="FP69" s="185"/>
      <c r="FQ69" s="184"/>
      <c r="FR69" s="186"/>
      <c r="FS69" s="187"/>
      <c r="FT69" s="8"/>
      <c r="FU69" s="8"/>
      <c r="FV69" s="188"/>
      <c r="FW69" s="183"/>
      <c r="FX69" s="184"/>
      <c r="FY69" s="185"/>
      <c r="FZ69" s="184"/>
      <c r="GA69" s="186"/>
      <c r="GB69" s="187"/>
      <c r="GC69" s="8"/>
      <c r="GD69" s="8"/>
      <c r="GE69" s="188"/>
      <c r="GF69" s="183"/>
      <c r="GG69" s="184"/>
      <c r="GH69" s="185"/>
      <c r="GI69" s="184"/>
      <c r="GJ69" s="186"/>
      <c r="GK69" s="187"/>
      <c r="GL69" s="8"/>
      <c r="GM69" s="8"/>
      <c r="GN69" s="188"/>
      <c r="GO69" s="183"/>
      <c r="GP69" s="184"/>
      <c r="GQ69" s="185"/>
      <c r="GR69" s="184"/>
      <c r="GS69" s="186"/>
      <c r="GT69" s="187"/>
      <c r="GU69" s="187"/>
      <c r="GV69" s="29"/>
      <c r="GW69" s="191"/>
      <c r="GX69" s="31"/>
      <c r="GY69" s="31"/>
      <c r="GZ69" s="421"/>
      <c r="HA69" s="33"/>
    </row>
    <row r="70" spans="1:209" ht="20.25" thickTop="1" thickBot="1" x14ac:dyDescent="0.35">
      <c r="A70"/>
      <c r="D70" s="35"/>
      <c r="E70" s="36"/>
      <c r="F70" s="37"/>
      <c r="G70" s="38"/>
      <c r="H70" s="39"/>
      <c r="I70" s="40"/>
      <c r="J70" s="177"/>
      <c r="K70" s="178"/>
      <c r="N70" s="870" t="s">
        <v>28</v>
      </c>
      <c r="O70" s="871"/>
      <c r="P70" s="872">
        <f>SUM(P8:P69)</f>
        <v>603193.51</v>
      </c>
      <c r="Q70" s="193"/>
      <c r="R70" s="180"/>
      <c r="S70" s="194"/>
      <c r="T70" s="180"/>
      <c r="U70" s="39">
        <f t="shared" si="0"/>
        <v>0</v>
      </c>
      <c r="V70" s="181"/>
      <c r="W70" s="182"/>
      <c r="X70" s="30"/>
      <c r="Y70" s="195"/>
      <c r="Z70" s="196"/>
      <c r="AA70" s="197"/>
      <c r="AB70" s="198"/>
      <c r="AC70" s="197"/>
      <c r="AD70" s="199"/>
      <c r="AE70" s="200"/>
      <c r="AF70" s="195"/>
      <c r="AG70" s="195"/>
      <c r="AH70" s="201"/>
      <c r="AI70" s="196"/>
      <c r="AJ70" s="197"/>
      <c r="AK70" s="198"/>
      <c r="AL70" s="202"/>
      <c r="AM70" s="199"/>
      <c r="AN70" s="200"/>
      <c r="AO70" s="195"/>
      <c r="AP70" s="195"/>
      <c r="AQ70" s="201"/>
      <c r="AR70" s="196"/>
      <c r="AS70" s="197"/>
      <c r="AT70" s="198"/>
      <c r="AU70" s="197"/>
      <c r="AV70" s="199"/>
      <c r="AW70" s="200"/>
      <c r="AX70" s="195"/>
      <c r="AY70" s="195"/>
      <c r="AZ70" s="201"/>
      <c r="BA70" s="196"/>
      <c r="BB70" s="197"/>
      <c r="BC70" s="198"/>
      <c r="BD70" s="202"/>
      <c r="BE70" s="199"/>
      <c r="BF70" s="200"/>
      <c r="BG70" s="195"/>
      <c r="BH70" s="195"/>
      <c r="BI70" s="201"/>
      <c r="BJ70" s="196"/>
      <c r="BK70" s="197"/>
      <c r="BL70" s="198"/>
      <c r="BM70" s="202"/>
      <c r="BN70" s="199"/>
      <c r="BO70" s="200"/>
      <c r="BP70" s="195"/>
      <c r="BQ70" s="195"/>
      <c r="BR70" s="201"/>
      <c r="BS70" s="196"/>
      <c r="BT70" s="197"/>
      <c r="BU70" s="198"/>
      <c r="BV70" s="197"/>
      <c r="BW70" s="199"/>
      <c r="BX70" s="200"/>
      <c r="BY70" s="195"/>
      <c r="BZ70" s="195"/>
      <c r="CA70" s="201"/>
      <c r="CB70" s="196"/>
      <c r="CC70" s="197"/>
      <c r="CD70" s="198"/>
      <c r="CE70" s="197"/>
      <c r="CF70" s="199"/>
      <c r="CG70" s="200"/>
      <c r="CH70" s="195"/>
      <c r="CI70" s="195"/>
      <c r="CJ70" s="201"/>
      <c r="CK70" s="196"/>
      <c r="CL70" s="197"/>
      <c r="CM70" s="198"/>
      <c r="CN70" s="197"/>
      <c r="CO70" s="199"/>
      <c r="CP70" s="200"/>
      <c r="CQ70" s="195"/>
      <c r="CR70" s="195"/>
      <c r="CS70" s="201"/>
      <c r="CT70" s="196"/>
      <c r="CU70" s="197"/>
      <c r="CV70" s="203"/>
      <c r="CW70" s="202"/>
      <c r="CX70" s="204"/>
      <c r="CY70" s="200"/>
      <c r="CZ70" s="195"/>
      <c r="DA70" s="195"/>
      <c r="DB70" s="201"/>
      <c r="DC70" s="196"/>
      <c r="DD70" s="197"/>
      <c r="DE70" s="198"/>
      <c r="DF70" s="197"/>
      <c r="DG70" s="199"/>
      <c r="DH70" s="200"/>
      <c r="DI70" s="195"/>
      <c r="DJ70" s="195"/>
      <c r="DK70" s="201"/>
      <c r="DL70" s="196"/>
      <c r="DM70" s="197"/>
      <c r="DN70" s="203"/>
      <c r="DO70" s="202"/>
      <c r="DP70" s="204"/>
      <c r="DQ70" s="200"/>
      <c r="DR70" s="195"/>
      <c r="DS70" s="195"/>
      <c r="DT70" s="201"/>
      <c r="DU70" s="196"/>
      <c r="DV70" s="197"/>
      <c r="DW70" s="198"/>
      <c r="DX70" s="197"/>
      <c r="DY70" s="199"/>
      <c r="DZ70" s="200"/>
      <c r="EA70" s="195"/>
      <c r="EB70" s="195"/>
      <c r="EC70" s="201"/>
      <c r="ED70" s="196"/>
      <c r="EE70" s="197"/>
      <c r="EF70" s="203"/>
      <c r="EG70" s="202"/>
      <c r="EH70" s="204"/>
      <c r="EI70" s="200"/>
      <c r="EJ70" s="195"/>
      <c r="EK70" s="195"/>
      <c r="EL70" s="201"/>
      <c r="EM70" s="196"/>
      <c r="EN70" s="197"/>
      <c r="EO70" s="203"/>
      <c r="EP70" s="202"/>
      <c r="EQ70" s="204"/>
      <c r="ER70" s="200"/>
      <c r="ES70" s="195"/>
      <c r="ET70" s="195"/>
      <c r="EU70" s="201"/>
      <c r="EV70" s="196"/>
      <c r="EW70" s="197"/>
      <c r="EX70" s="198"/>
      <c r="EY70" s="197"/>
      <c r="EZ70" s="199"/>
      <c r="FA70" s="200"/>
      <c r="FB70" s="195"/>
      <c r="FC70" s="195"/>
      <c r="FD70" s="201"/>
      <c r="FE70" s="196"/>
      <c r="FF70" s="197"/>
      <c r="FG70" s="198"/>
      <c r="FH70" s="197"/>
      <c r="FI70" s="199"/>
      <c r="FJ70" s="200"/>
      <c r="FK70" s="195"/>
      <c r="FL70" s="195"/>
      <c r="FM70" s="201"/>
      <c r="FN70" s="196"/>
      <c r="FO70" s="197"/>
      <c r="FP70" s="198"/>
      <c r="FQ70" s="197"/>
      <c r="FR70" s="199"/>
      <c r="FS70" s="200"/>
      <c r="FT70" s="195"/>
      <c r="FU70" s="195"/>
      <c r="FV70" s="201"/>
      <c r="FW70" s="196"/>
      <c r="FX70" s="197"/>
      <c r="FY70" s="198"/>
      <c r="FZ70" s="197"/>
      <c r="GA70" s="199"/>
      <c r="GB70" s="200"/>
      <c r="GC70" s="195"/>
      <c r="GD70" s="195"/>
      <c r="GE70" s="201"/>
      <c r="GF70" s="196"/>
      <c r="GG70" s="197"/>
      <c r="GH70" s="198"/>
      <c r="GI70" s="197"/>
      <c r="GJ70" s="199"/>
      <c r="GK70" s="200"/>
      <c r="GL70" s="195"/>
      <c r="GM70" s="195"/>
      <c r="GN70" s="201"/>
      <c r="GO70" s="196"/>
      <c r="GP70" s="197"/>
      <c r="GQ70" s="198"/>
      <c r="GR70" s="197"/>
      <c r="GS70" s="199"/>
      <c r="GT70" s="200"/>
      <c r="GU70" s="187"/>
      <c r="GV70" s="29"/>
      <c r="GW70" s="205"/>
      <c r="HA70" s="33"/>
    </row>
    <row r="71" spans="1:209" ht="19.5" thickBot="1" x14ac:dyDescent="0.3">
      <c r="A71"/>
      <c r="D71" s="35"/>
      <c r="E71" s="36"/>
      <c r="F71" s="37"/>
      <c r="G71" s="38"/>
      <c r="H71" s="39"/>
      <c r="I71" s="40"/>
      <c r="J71" s="208"/>
      <c r="K71" s="178"/>
      <c r="P71" s="873"/>
      <c r="Q71" s="193"/>
      <c r="R71" s="180"/>
      <c r="S71" s="194"/>
      <c r="T71" s="180"/>
      <c r="U71" s="39">
        <f t="shared" si="0"/>
        <v>0</v>
      </c>
      <c r="V71" s="181"/>
      <c r="W71" s="182"/>
      <c r="X71" s="30"/>
      <c r="Y71" s="195"/>
      <c r="Z71" s="196"/>
      <c r="AA71" s="197"/>
      <c r="AB71" s="198"/>
      <c r="AC71" s="197"/>
      <c r="AD71" s="199"/>
      <c r="AE71" s="200"/>
      <c r="AF71" s="195"/>
      <c r="AG71" s="195"/>
      <c r="AH71" s="201"/>
      <c r="AI71" s="196"/>
      <c r="AJ71" s="197"/>
      <c r="AK71" s="198"/>
      <c r="AL71" s="202"/>
      <c r="AM71" s="199"/>
      <c r="AN71" s="200"/>
      <c r="AO71" s="195"/>
      <c r="AP71" s="195"/>
      <c r="AQ71" s="201"/>
      <c r="AR71" s="196"/>
      <c r="AS71" s="197"/>
      <c r="AT71" s="198"/>
      <c r="AU71" s="197"/>
      <c r="AV71" s="199"/>
      <c r="AW71" s="200"/>
      <c r="AX71" s="195"/>
      <c r="AY71" s="195"/>
      <c r="AZ71" s="201"/>
      <c r="BA71" s="196"/>
      <c r="BB71" s="197"/>
      <c r="BC71" s="198"/>
      <c r="BD71" s="202"/>
      <c r="BE71" s="199"/>
      <c r="BF71" s="200"/>
      <c r="BG71" s="195"/>
      <c r="BH71" s="195"/>
      <c r="BI71" s="201"/>
      <c r="BJ71" s="196"/>
      <c r="BK71" s="197"/>
      <c r="BL71" s="198"/>
      <c r="BM71" s="202"/>
      <c r="BN71" s="199"/>
      <c r="BO71" s="200"/>
      <c r="BP71" s="195"/>
      <c r="BQ71" s="195"/>
      <c r="BR71" s="201"/>
      <c r="BS71" s="196"/>
      <c r="BT71" s="197"/>
      <c r="BU71" s="198"/>
      <c r="BV71" s="197"/>
      <c r="BW71" s="199"/>
      <c r="BX71" s="200"/>
      <c r="BY71" s="195"/>
      <c r="BZ71" s="195"/>
      <c r="CA71" s="201"/>
      <c r="CB71" s="196"/>
      <c r="CC71" s="197"/>
      <c r="CD71" s="198"/>
      <c r="CE71" s="197"/>
      <c r="CF71" s="199"/>
      <c r="CG71" s="200"/>
      <c r="CH71" s="195"/>
      <c r="CI71" s="195"/>
      <c r="CJ71" s="201"/>
      <c r="CK71" s="196"/>
      <c r="CL71" s="197"/>
      <c r="CM71" s="198"/>
      <c r="CN71" s="197"/>
      <c r="CO71" s="199"/>
      <c r="CP71" s="200"/>
      <c r="CQ71" s="195"/>
      <c r="CR71" s="195"/>
      <c r="CS71" s="201"/>
      <c r="CT71" s="196"/>
      <c r="CU71" s="197"/>
      <c r="CV71" s="203"/>
      <c r="CW71" s="202"/>
      <c r="CX71" s="204"/>
      <c r="CY71" s="200"/>
      <c r="CZ71" s="195"/>
      <c r="DA71" s="195"/>
      <c r="DB71" s="201"/>
      <c r="DC71" s="196"/>
      <c r="DD71" s="197"/>
      <c r="DE71" s="198"/>
      <c r="DF71" s="197"/>
      <c r="DG71" s="199"/>
      <c r="DH71" s="200"/>
      <c r="DI71" s="195"/>
      <c r="DJ71" s="195"/>
      <c r="DK71" s="201"/>
      <c r="DL71" s="196"/>
      <c r="DM71" s="197"/>
      <c r="DN71" s="203"/>
      <c r="DO71" s="202"/>
      <c r="DP71" s="204"/>
      <c r="DQ71" s="200"/>
      <c r="DR71" s="195"/>
      <c r="DS71" s="195"/>
      <c r="DT71" s="201"/>
      <c r="DU71" s="196"/>
      <c r="DV71" s="197"/>
      <c r="DW71" s="198"/>
      <c r="DX71" s="197"/>
      <c r="DY71" s="199"/>
      <c r="DZ71" s="200"/>
      <c r="EA71" s="195"/>
      <c r="EB71" s="195"/>
      <c r="EC71" s="201"/>
      <c r="ED71" s="196"/>
      <c r="EE71" s="197"/>
      <c r="EF71" s="203"/>
      <c r="EG71" s="202"/>
      <c r="EH71" s="204"/>
      <c r="EI71" s="200"/>
      <c r="EJ71" s="195"/>
      <c r="EK71" s="195"/>
      <c r="EL71" s="201"/>
      <c r="EM71" s="196"/>
      <c r="EN71" s="197"/>
      <c r="EO71" s="203"/>
      <c r="EP71" s="202"/>
      <c r="EQ71" s="204"/>
      <c r="ER71" s="200"/>
      <c r="ES71" s="195"/>
      <c r="ET71" s="195"/>
      <c r="EU71" s="201"/>
      <c r="EV71" s="196"/>
      <c r="EW71" s="197"/>
      <c r="EX71" s="198"/>
      <c r="EY71" s="197"/>
      <c r="EZ71" s="199"/>
      <c r="FA71" s="200"/>
      <c r="FB71" s="195"/>
      <c r="FC71" s="195"/>
      <c r="FD71" s="201"/>
      <c r="FE71" s="196"/>
      <c r="FF71" s="197"/>
      <c r="FG71" s="198"/>
      <c r="FH71" s="197"/>
      <c r="FI71" s="199"/>
      <c r="FJ71" s="200"/>
      <c r="FK71" s="195"/>
      <c r="FL71" s="195"/>
      <c r="FM71" s="201"/>
      <c r="FN71" s="196"/>
      <c r="FO71" s="197"/>
      <c r="FP71" s="198"/>
      <c r="FQ71" s="197"/>
      <c r="FR71" s="199"/>
      <c r="FS71" s="200"/>
      <c r="FT71" s="195"/>
      <c r="FU71" s="195"/>
      <c r="FV71" s="201"/>
      <c r="FW71" s="196"/>
      <c r="FX71" s="197"/>
      <c r="FY71" s="198"/>
      <c r="FZ71" s="197"/>
      <c r="GA71" s="199"/>
      <c r="GB71" s="200"/>
      <c r="GC71" s="195"/>
      <c r="GD71" s="195"/>
      <c r="GE71" s="201"/>
      <c r="GF71" s="196"/>
      <c r="GG71" s="197"/>
      <c r="GH71" s="198"/>
      <c r="GI71" s="197"/>
      <c r="GJ71" s="199"/>
      <c r="GK71" s="200"/>
      <c r="GL71" s="195"/>
      <c r="GM71" s="195"/>
      <c r="GN71" s="201"/>
      <c r="GO71" s="196"/>
      <c r="GP71" s="197"/>
      <c r="GQ71" s="198"/>
      <c r="GR71" s="197"/>
      <c r="GS71" s="199"/>
      <c r="GT71" s="200"/>
      <c r="GU71" s="187"/>
      <c r="GV71" s="29"/>
      <c r="GW71" s="205"/>
      <c r="HA71" s="33"/>
    </row>
    <row r="72" spans="1:209" ht="16.5" thickTop="1" x14ac:dyDescent="0.25">
      <c r="A72"/>
      <c r="D72" s="35"/>
      <c r="E72" s="36"/>
      <c r="F72" s="37"/>
      <c r="G72" s="38"/>
      <c r="H72" s="39"/>
      <c r="I72" s="40"/>
      <c r="J72" s="177"/>
      <c r="K72" s="178"/>
      <c r="Q72" s="27"/>
      <c r="R72" s="180"/>
      <c r="S72" s="180"/>
      <c r="T72" s="180"/>
      <c r="U72" s="39">
        <f t="shared" si="0"/>
        <v>0</v>
      </c>
      <c r="V72" s="181"/>
      <c r="W72" s="182"/>
      <c r="X72" s="30"/>
      <c r="Y72" s="195"/>
      <c r="Z72" s="196"/>
      <c r="AA72" s="197"/>
      <c r="AB72" s="198"/>
      <c r="AC72" s="197"/>
      <c r="AD72" s="199"/>
      <c r="AE72" s="200"/>
      <c r="AF72" s="195"/>
      <c r="AG72" s="195"/>
      <c r="AH72" s="201"/>
      <c r="AI72" s="196"/>
      <c r="AJ72" s="197"/>
      <c r="AK72" s="198"/>
      <c r="AL72" s="202"/>
      <c r="AM72" s="199"/>
      <c r="AN72" s="200"/>
      <c r="AO72" s="195"/>
      <c r="AP72" s="195"/>
      <c r="AQ72" s="201"/>
      <c r="AR72" s="196"/>
      <c r="AS72" s="197"/>
      <c r="AT72" s="198"/>
      <c r="AU72" s="197"/>
      <c r="AV72" s="199"/>
      <c r="AW72" s="200"/>
      <c r="AX72" s="195"/>
      <c r="AY72" s="195"/>
      <c r="AZ72" s="201"/>
      <c r="BA72" s="196"/>
      <c r="BB72" s="197"/>
      <c r="BC72" s="198"/>
      <c r="BD72" s="202"/>
      <c r="BE72" s="199"/>
      <c r="BF72" s="200"/>
      <c r="BG72" s="195"/>
      <c r="BH72" s="195"/>
      <c r="BI72" s="201"/>
      <c r="BJ72" s="196"/>
      <c r="BK72" s="197"/>
      <c r="BL72" s="198"/>
      <c r="BM72" s="202"/>
      <c r="BN72" s="199"/>
      <c r="BO72" s="200"/>
      <c r="BP72" s="195"/>
      <c r="BQ72" s="195"/>
      <c r="BR72" s="201"/>
      <c r="BS72" s="196"/>
      <c r="BT72" s="197"/>
      <c r="BU72" s="198"/>
      <c r="BV72" s="197"/>
      <c r="BW72" s="199"/>
      <c r="BX72" s="200"/>
      <c r="BY72" s="195"/>
      <c r="BZ72" s="195"/>
      <c r="CA72" s="201"/>
      <c r="CB72" s="196"/>
      <c r="CC72" s="197"/>
      <c r="CD72" s="198"/>
      <c r="CE72" s="197"/>
      <c r="CF72" s="199"/>
      <c r="CG72" s="200"/>
      <c r="CH72" s="195"/>
      <c r="CI72" s="195"/>
      <c r="CJ72" s="201"/>
      <c r="CK72" s="196"/>
      <c r="CL72" s="197"/>
      <c r="CM72" s="198"/>
      <c r="CN72" s="197"/>
      <c r="CO72" s="199"/>
      <c r="CP72" s="200"/>
      <c r="CQ72" s="195"/>
      <c r="CR72" s="195"/>
      <c r="CS72" s="201"/>
      <c r="CT72" s="196"/>
      <c r="CU72" s="197"/>
      <c r="CV72" s="203"/>
      <c r="CW72" s="202"/>
      <c r="CX72" s="204"/>
      <c r="CY72" s="200"/>
      <c r="CZ72" s="195"/>
      <c r="DA72" s="195"/>
      <c r="DB72" s="201"/>
      <c r="DC72" s="196"/>
      <c r="DD72" s="197"/>
      <c r="DE72" s="198"/>
      <c r="DF72" s="197"/>
      <c r="DG72" s="199"/>
      <c r="DH72" s="200"/>
      <c r="DI72" s="195"/>
      <c r="DJ72" s="195"/>
      <c r="DK72" s="201"/>
      <c r="DL72" s="196"/>
      <c r="DM72" s="197"/>
      <c r="DN72" s="203"/>
      <c r="DO72" s="202"/>
      <c r="DP72" s="204"/>
      <c r="DQ72" s="200"/>
      <c r="DR72" s="195"/>
      <c r="DS72" s="195"/>
      <c r="DT72" s="201"/>
      <c r="DU72" s="196"/>
      <c r="DV72" s="197"/>
      <c r="DW72" s="198"/>
      <c r="DX72" s="197"/>
      <c r="DY72" s="199"/>
      <c r="DZ72" s="200"/>
      <c r="EA72" s="195"/>
      <c r="EB72" s="195"/>
      <c r="EC72" s="201"/>
      <c r="ED72" s="196"/>
      <c r="EE72" s="197"/>
      <c r="EF72" s="203"/>
      <c r="EG72" s="202"/>
      <c r="EH72" s="204"/>
      <c r="EI72" s="200"/>
      <c r="EJ72" s="195"/>
      <c r="EK72" s="195"/>
      <c r="EL72" s="201"/>
      <c r="EM72" s="196"/>
      <c r="EN72" s="197"/>
      <c r="EO72" s="203"/>
      <c r="EP72" s="202"/>
      <c r="EQ72" s="204"/>
      <c r="ER72" s="200"/>
      <c r="ES72" s="195"/>
      <c r="ET72" s="195"/>
      <c r="EU72" s="201"/>
      <c r="EV72" s="196"/>
      <c r="EW72" s="197"/>
      <c r="EX72" s="198"/>
      <c r="EY72" s="197"/>
      <c r="EZ72" s="199"/>
      <c r="FA72" s="200"/>
      <c r="FB72" s="195"/>
      <c r="FC72" s="195"/>
      <c r="FD72" s="201"/>
      <c r="FE72" s="196"/>
      <c r="FF72" s="197"/>
      <c r="FG72" s="198"/>
      <c r="FH72" s="197"/>
      <c r="FI72" s="199"/>
      <c r="FJ72" s="200"/>
      <c r="FK72" s="195"/>
      <c r="FL72" s="195"/>
      <c r="FM72" s="201"/>
      <c r="FN72" s="196"/>
      <c r="FO72" s="197"/>
      <c r="FP72" s="198"/>
      <c r="FQ72" s="197"/>
      <c r="FR72" s="199"/>
      <c r="FS72" s="200"/>
      <c r="FT72" s="195"/>
      <c r="FU72" s="195"/>
      <c r="FV72" s="201"/>
      <c r="FW72" s="196"/>
      <c r="FX72" s="197"/>
      <c r="FY72" s="198"/>
      <c r="FZ72" s="197"/>
      <c r="GA72" s="199"/>
      <c r="GB72" s="200"/>
      <c r="GC72" s="195"/>
      <c r="GD72" s="195"/>
      <c r="GE72" s="201"/>
      <c r="GF72" s="196"/>
      <c r="GG72" s="197"/>
      <c r="GH72" s="198"/>
      <c r="GI72" s="197"/>
      <c r="GJ72" s="199"/>
      <c r="GK72" s="200"/>
      <c r="GL72" s="195"/>
      <c r="GM72" s="195"/>
      <c r="GN72" s="201"/>
      <c r="GO72" s="196"/>
      <c r="GP72" s="197"/>
      <c r="GQ72" s="198"/>
      <c r="GR72" s="197"/>
      <c r="GS72" s="199"/>
      <c r="GT72" s="200"/>
      <c r="GU72" s="187"/>
      <c r="GV72" s="29"/>
      <c r="GW72" s="205"/>
      <c r="HA72" s="33"/>
    </row>
    <row r="73" spans="1:209" thickBot="1" x14ac:dyDescent="0.3">
      <c r="A73"/>
      <c r="D73" s="35"/>
      <c r="E73" s="36"/>
      <c r="F73" s="37"/>
      <c r="G73" s="38"/>
      <c r="H73" s="39"/>
      <c r="I73" s="40"/>
      <c r="J73" s="177"/>
      <c r="K73" s="178"/>
      <c r="Q73" s="27"/>
      <c r="R73" s="209"/>
      <c r="U73" s="39">
        <f t="shared" si="0"/>
        <v>0</v>
      </c>
      <c r="V73" s="210"/>
      <c r="X73" s="30"/>
      <c r="Y73" s="195"/>
      <c r="Z73" s="183"/>
      <c r="AA73" s="197"/>
      <c r="AB73" s="198"/>
      <c r="AC73" s="197"/>
      <c r="AD73" s="199"/>
      <c r="AE73" s="200"/>
      <c r="AF73" s="195"/>
      <c r="AG73" s="195"/>
      <c r="AH73" s="201"/>
      <c r="AI73" s="183"/>
      <c r="AJ73" s="197"/>
      <c r="AK73" s="198"/>
      <c r="AL73" s="202"/>
      <c r="AM73" s="199"/>
      <c r="AN73" s="200"/>
      <c r="AO73" s="195"/>
      <c r="AP73" s="195"/>
      <c r="AQ73" s="201"/>
      <c r="AR73" s="183"/>
      <c r="AS73" s="197"/>
      <c r="AT73" s="198"/>
      <c r="AU73" s="197"/>
      <c r="AV73" s="199"/>
      <c r="AW73" s="200"/>
      <c r="AX73" s="195"/>
      <c r="AY73" s="195"/>
      <c r="AZ73" s="201"/>
      <c r="BA73" s="183"/>
      <c r="BB73" s="197"/>
      <c r="BC73" s="198"/>
      <c r="BD73" s="202"/>
      <c r="BE73" s="199"/>
      <c r="BF73" s="200"/>
      <c r="BG73" s="195"/>
      <c r="BH73" s="195"/>
      <c r="BI73" s="201"/>
      <c r="BJ73" s="183"/>
      <c r="BK73" s="197"/>
      <c r="BL73" s="198"/>
      <c r="BM73" s="202"/>
      <c r="BN73" s="199"/>
      <c r="BO73" s="200"/>
      <c r="BP73" s="195"/>
      <c r="BQ73" s="195"/>
      <c r="BR73" s="201"/>
      <c r="BS73" s="183"/>
      <c r="BT73" s="197"/>
      <c r="BU73" s="198"/>
      <c r="BV73" s="197"/>
      <c r="BW73" s="199"/>
      <c r="BX73" s="200"/>
      <c r="BY73" s="195"/>
      <c r="BZ73" s="195"/>
      <c r="CA73" s="201"/>
      <c r="CB73" s="183"/>
      <c r="CC73" s="197"/>
      <c r="CD73" s="198"/>
      <c r="CE73" s="197"/>
      <c r="CF73" s="199"/>
      <c r="CG73" s="200"/>
      <c r="CH73" s="195"/>
      <c r="CI73" s="195"/>
      <c r="CJ73" s="201"/>
      <c r="CK73" s="183"/>
      <c r="CL73" s="197"/>
      <c r="CM73" s="198"/>
      <c r="CN73" s="197"/>
      <c r="CO73" s="199"/>
      <c r="CP73" s="200"/>
      <c r="CQ73" s="195"/>
      <c r="CR73" s="195"/>
      <c r="CS73" s="201"/>
      <c r="CT73" s="183"/>
      <c r="CU73" s="197"/>
      <c r="CV73" s="203"/>
      <c r="CW73" s="202"/>
      <c r="CX73" s="204"/>
      <c r="CY73" s="200"/>
      <c r="CZ73" s="195"/>
      <c r="DA73" s="195"/>
      <c r="DB73" s="201"/>
      <c r="DC73" s="183"/>
      <c r="DD73" s="197"/>
      <c r="DE73" s="198"/>
      <c r="DF73" s="197"/>
      <c r="DG73" s="199"/>
      <c r="DH73" s="200"/>
      <c r="DI73" s="195"/>
      <c r="DJ73" s="195"/>
      <c r="DK73" s="201"/>
      <c r="DL73" s="183"/>
      <c r="DM73" s="197"/>
      <c r="DN73" s="203"/>
      <c r="DO73" s="202"/>
      <c r="DP73" s="204"/>
      <c r="DQ73" s="200"/>
      <c r="DR73" s="195"/>
      <c r="DS73" s="195"/>
      <c r="DT73" s="201"/>
      <c r="DU73" s="183"/>
      <c r="DV73" s="197"/>
      <c r="DW73" s="198"/>
      <c r="DX73" s="197"/>
      <c r="DY73" s="199"/>
      <c r="DZ73" s="200"/>
      <c r="EA73" s="195"/>
      <c r="EB73" s="195"/>
      <c r="EC73" s="201"/>
      <c r="ED73" s="183"/>
      <c r="EE73" s="197"/>
      <c r="EF73" s="203"/>
      <c r="EG73" s="202"/>
      <c r="EH73" s="204"/>
      <c r="EI73" s="200"/>
      <c r="EJ73" s="195"/>
      <c r="EK73" s="195"/>
      <c r="EL73" s="201"/>
      <c r="EM73" s="183"/>
      <c r="EN73" s="197"/>
      <c r="EO73" s="203"/>
      <c r="EP73" s="202"/>
      <c r="EQ73" s="204"/>
      <c r="ER73" s="200"/>
      <c r="ES73" s="195"/>
      <c r="ET73" s="195"/>
      <c r="EU73" s="201"/>
      <c r="EV73" s="183"/>
      <c r="EW73" s="197"/>
      <c r="EX73" s="198"/>
      <c r="EY73" s="197"/>
      <c r="EZ73" s="199"/>
      <c r="FA73" s="200"/>
      <c r="FB73" s="195"/>
      <c r="FC73" s="195"/>
      <c r="FD73" s="201"/>
      <c r="FE73" s="183"/>
      <c r="FF73" s="197"/>
      <c r="FG73" s="198"/>
      <c r="FH73" s="197"/>
      <c r="FI73" s="199"/>
      <c r="FJ73" s="200"/>
      <c r="FK73" s="195"/>
      <c r="FL73" s="195"/>
      <c r="FM73" s="201"/>
      <c r="FN73" s="183"/>
      <c r="FO73" s="197"/>
      <c r="FP73" s="198"/>
      <c r="FQ73" s="197"/>
      <c r="FR73" s="199"/>
      <c r="FS73" s="200"/>
      <c r="FT73" s="195"/>
      <c r="FU73" s="195"/>
      <c r="FV73" s="201"/>
      <c r="FW73" s="183"/>
      <c r="FX73" s="197"/>
      <c r="FY73" s="198"/>
      <c r="FZ73" s="197"/>
      <c r="GA73" s="199"/>
      <c r="GB73" s="200"/>
      <c r="GC73" s="195"/>
      <c r="GD73" s="195"/>
      <c r="GE73" s="201"/>
      <c r="GF73" s="183"/>
      <c r="GG73" s="197"/>
      <c r="GH73" s="198"/>
      <c r="GI73" s="197"/>
      <c r="GJ73" s="199"/>
      <c r="GK73" s="200"/>
      <c r="GL73" s="195"/>
      <c r="GM73" s="195"/>
      <c r="GN73" s="201"/>
      <c r="GO73" s="183"/>
      <c r="GP73" s="197"/>
      <c r="GQ73" s="198"/>
      <c r="GR73" s="197"/>
      <c r="GS73" s="199"/>
      <c r="GT73" s="200"/>
      <c r="GU73" s="187"/>
      <c r="GV73" s="29"/>
      <c r="GW73" s="211"/>
      <c r="HA73" s="33"/>
    </row>
    <row r="74" spans="1:209" ht="16.5" thickTop="1" thickBot="1" x14ac:dyDescent="0.3">
      <c r="A74"/>
      <c r="D74" s="35"/>
      <c r="E74" s="36"/>
      <c r="F74" s="37"/>
      <c r="G74" s="38"/>
      <c r="H74" s="39"/>
      <c r="I74" s="40"/>
      <c r="J74" s="177"/>
      <c r="N74" s="212"/>
      <c r="O74" s="213"/>
      <c r="P74" s="874" t="s">
        <v>29</v>
      </c>
      <c r="Q74" s="875"/>
      <c r="R74" s="875"/>
      <c r="S74" s="214">
        <f>SUM(S8:S73)</f>
        <v>0</v>
      </c>
      <c r="T74" s="215"/>
      <c r="U74" s="216">
        <f>SUM(U8:U73)</f>
        <v>16719567.385</v>
      </c>
      <c r="V74" s="217"/>
      <c r="X74" s="218">
        <f t="shared" ref="X74:CI74" si="5">SUM(X8:X73)</f>
        <v>359519.96</v>
      </c>
      <c r="Y74" s="219">
        <f t="shared" si="5"/>
        <v>0</v>
      </c>
      <c r="Z74" s="219">
        <f t="shared" si="5"/>
        <v>0</v>
      </c>
      <c r="AA74" s="219">
        <f t="shared" si="5"/>
        <v>0</v>
      </c>
      <c r="AB74" s="219">
        <f t="shared" si="5"/>
        <v>0</v>
      </c>
      <c r="AC74" s="219">
        <f t="shared" si="5"/>
        <v>0</v>
      </c>
      <c r="AD74" s="219">
        <f t="shared" si="5"/>
        <v>0</v>
      </c>
      <c r="AE74" s="219">
        <f t="shared" si="5"/>
        <v>0</v>
      </c>
      <c r="AF74" s="219">
        <f t="shared" si="5"/>
        <v>0</v>
      </c>
      <c r="AG74" s="219">
        <f t="shared" si="5"/>
        <v>0</v>
      </c>
      <c r="AH74" s="219">
        <f t="shared" si="5"/>
        <v>0</v>
      </c>
      <c r="AI74" s="219">
        <f t="shared" si="5"/>
        <v>0</v>
      </c>
      <c r="AJ74" s="219">
        <f t="shared" si="5"/>
        <v>0</v>
      </c>
      <c r="AK74" s="219">
        <f t="shared" si="5"/>
        <v>0</v>
      </c>
      <c r="AL74" s="219">
        <f t="shared" si="5"/>
        <v>0</v>
      </c>
      <c r="AM74" s="219">
        <f t="shared" si="5"/>
        <v>0</v>
      </c>
      <c r="AN74" s="219">
        <f t="shared" si="5"/>
        <v>0</v>
      </c>
      <c r="AO74" s="219">
        <f t="shared" si="5"/>
        <v>0</v>
      </c>
      <c r="AP74" s="219">
        <f t="shared" si="5"/>
        <v>0</v>
      </c>
      <c r="AQ74" s="219">
        <f t="shared" si="5"/>
        <v>0</v>
      </c>
      <c r="AR74" s="219">
        <f t="shared" si="5"/>
        <v>0</v>
      </c>
      <c r="AS74" s="219">
        <f t="shared" si="5"/>
        <v>0</v>
      </c>
      <c r="AT74" s="219">
        <f t="shared" si="5"/>
        <v>0</v>
      </c>
      <c r="AU74" s="219">
        <f t="shared" si="5"/>
        <v>0</v>
      </c>
      <c r="AV74" s="219">
        <f t="shared" si="5"/>
        <v>0</v>
      </c>
      <c r="AW74" s="219">
        <f t="shared" si="5"/>
        <v>0</v>
      </c>
      <c r="AX74" s="219">
        <f t="shared" si="5"/>
        <v>0</v>
      </c>
      <c r="AY74" s="219">
        <f t="shared" si="5"/>
        <v>0</v>
      </c>
      <c r="AZ74" s="219">
        <f t="shared" si="5"/>
        <v>0</v>
      </c>
      <c r="BA74" s="219">
        <f t="shared" si="5"/>
        <v>0</v>
      </c>
      <c r="BB74" s="219">
        <f t="shared" si="5"/>
        <v>0</v>
      </c>
      <c r="BC74" s="219">
        <f t="shared" si="5"/>
        <v>0</v>
      </c>
      <c r="BD74" s="219">
        <f t="shared" si="5"/>
        <v>0</v>
      </c>
      <c r="BE74" s="219">
        <f t="shared" si="5"/>
        <v>0</v>
      </c>
      <c r="BF74" s="219">
        <f t="shared" si="5"/>
        <v>0</v>
      </c>
      <c r="BG74" s="219">
        <f t="shared" si="5"/>
        <v>0</v>
      </c>
      <c r="BH74" s="219">
        <f t="shared" si="5"/>
        <v>0</v>
      </c>
      <c r="BI74" s="219">
        <f t="shared" si="5"/>
        <v>0</v>
      </c>
      <c r="BJ74" s="219">
        <f t="shared" si="5"/>
        <v>0</v>
      </c>
      <c r="BK74" s="219">
        <f t="shared" si="5"/>
        <v>0</v>
      </c>
      <c r="BL74" s="219">
        <f t="shared" si="5"/>
        <v>0</v>
      </c>
      <c r="BM74" s="219">
        <f t="shared" si="5"/>
        <v>0</v>
      </c>
      <c r="BN74" s="219">
        <f t="shared" si="5"/>
        <v>0</v>
      </c>
      <c r="BO74" s="219">
        <f t="shared" si="5"/>
        <v>0</v>
      </c>
      <c r="BP74" s="219">
        <f t="shared" si="5"/>
        <v>0</v>
      </c>
      <c r="BQ74" s="219">
        <f t="shared" si="5"/>
        <v>0</v>
      </c>
      <c r="BR74" s="219">
        <f t="shared" si="5"/>
        <v>0</v>
      </c>
      <c r="BS74" s="219">
        <f t="shared" si="5"/>
        <v>0</v>
      </c>
      <c r="BT74" s="219">
        <f t="shared" si="5"/>
        <v>0</v>
      </c>
      <c r="BU74" s="219">
        <f t="shared" si="5"/>
        <v>0</v>
      </c>
      <c r="BV74" s="219">
        <f t="shared" si="5"/>
        <v>0</v>
      </c>
      <c r="BW74" s="219">
        <f t="shared" si="5"/>
        <v>0</v>
      </c>
      <c r="BX74" s="219">
        <f t="shared" si="5"/>
        <v>0</v>
      </c>
      <c r="BY74" s="219">
        <f t="shared" si="5"/>
        <v>0</v>
      </c>
      <c r="BZ74" s="219">
        <f t="shared" si="5"/>
        <v>0</v>
      </c>
      <c r="CA74" s="219">
        <f t="shared" si="5"/>
        <v>0</v>
      </c>
      <c r="CB74" s="219">
        <f t="shared" si="5"/>
        <v>0</v>
      </c>
      <c r="CC74" s="219">
        <f t="shared" si="5"/>
        <v>0</v>
      </c>
      <c r="CD74" s="219">
        <f t="shared" si="5"/>
        <v>0</v>
      </c>
      <c r="CE74" s="219">
        <f t="shared" si="5"/>
        <v>0</v>
      </c>
      <c r="CF74" s="219">
        <f t="shared" si="5"/>
        <v>0</v>
      </c>
      <c r="CG74" s="219">
        <f t="shared" si="5"/>
        <v>0</v>
      </c>
      <c r="CH74" s="219">
        <f t="shared" si="5"/>
        <v>0</v>
      </c>
      <c r="CI74" s="219">
        <f t="shared" si="5"/>
        <v>0</v>
      </c>
      <c r="CJ74" s="219">
        <f t="shared" ref="CJ74:EU74" si="6">SUM(CJ8:CJ73)</f>
        <v>0</v>
      </c>
      <c r="CK74" s="219">
        <f t="shared" si="6"/>
        <v>0</v>
      </c>
      <c r="CL74" s="219">
        <f t="shared" si="6"/>
        <v>0</v>
      </c>
      <c r="CM74" s="219">
        <f t="shared" si="6"/>
        <v>0</v>
      </c>
      <c r="CN74" s="219">
        <f t="shared" si="6"/>
        <v>0</v>
      </c>
      <c r="CO74" s="219">
        <f t="shared" si="6"/>
        <v>0</v>
      </c>
      <c r="CP74" s="219">
        <f t="shared" si="6"/>
        <v>0</v>
      </c>
      <c r="CQ74" s="219">
        <f t="shared" si="6"/>
        <v>0</v>
      </c>
      <c r="CR74" s="219">
        <f t="shared" si="6"/>
        <v>0</v>
      </c>
      <c r="CS74" s="219">
        <f t="shared" si="6"/>
        <v>0</v>
      </c>
      <c r="CT74" s="219">
        <f t="shared" si="6"/>
        <v>0</v>
      </c>
      <c r="CU74" s="219">
        <f t="shared" si="6"/>
        <v>0</v>
      </c>
      <c r="CV74" s="219">
        <f t="shared" si="6"/>
        <v>0</v>
      </c>
      <c r="CW74" s="219">
        <f t="shared" si="6"/>
        <v>0</v>
      </c>
      <c r="CX74" s="219">
        <f t="shared" si="6"/>
        <v>0</v>
      </c>
      <c r="CY74" s="219">
        <f t="shared" si="6"/>
        <v>0</v>
      </c>
      <c r="CZ74" s="219">
        <f t="shared" si="6"/>
        <v>0</v>
      </c>
      <c r="DA74" s="219">
        <f t="shared" si="6"/>
        <v>0</v>
      </c>
      <c r="DB74" s="219">
        <f t="shared" si="6"/>
        <v>0</v>
      </c>
      <c r="DC74" s="219">
        <f t="shared" si="6"/>
        <v>0</v>
      </c>
      <c r="DD74" s="219">
        <f t="shared" si="6"/>
        <v>0</v>
      </c>
      <c r="DE74" s="219">
        <f t="shared" si="6"/>
        <v>0</v>
      </c>
      <c r="DF74" s="219">
        <f t="shared" si="6"/>
        <v>0</v>
      </c>
      <c r="DG74" s="219">
        <f t="shared" si="6"/>
        <v>0</v>
      </c>
      <c r="DH74" s="219">
        <f t="shared" si="6"/>
        <v>0</v>
      </c>
      <c r="DI74" s="219">
        <f t="shared" si="6"/>
        <v>0</v>
      </c>
      <c r="DJ74" s="219">
        <f t="shared" si="6"/>
        <v>0</v>
      </c>
      <c r="DK74" s="219">
        <f t="shared" si="6"/>
        <v>0</v>
      </c>
      <c r="DL74" s="219">
        <f t="shared" si="6"/>
        <v>0</v>
      </c>
      <c r="DM74" s="219">
        <f t="shared" si="6"/>
        <v>0</v>
      </c>
      <c r="DN74" s="219">
        <f t="shared" si="6"/>
        <v>0</v>
      </c>
      <c r="DO74" s="219">
        <f t="shared" si="6"/>
        <v>0</v>
      </c>
      <c r="DP74" s="219">
        <f t="shared" si="6"/>
        <v>0</v>
      </c>
      <c r="DQ74" s="219">
        <f t="shared" si="6"/>
        <v>0</v>
      </c>
      <c r="DR74" s="219">
        <f t="shared" si="6"/>
        <v>0</v>
      </c>
      <c r="DS74" s="219">
        <f t="shared" si="6"/>
        <v>0</v>
      </c>
      <c r="DT74" s="219">
        <f t="shared" si="6"/>
        <v>0</v>
      </c>
      <c r="DU74" s="219">
        <f t="shared" si="6"/>
        <v>0</v>
      </c>
      <c r="DV74" s="219">
        <f t="shared" si="6"/>
        <v>0</v>
      </c>
      <c r="DW74" s="219">
        <f t="shared" si="6"/>
        <v>0</v>
      </c>
      <c r="DX74" s="219">
        <f t="shared" si="6"/>
        <v>0</v>
      </c>
      <c r="DY74" s="219">
        <f t="shared" si="6"/>
        <v>0</v>
      </c>
      <c r="DZ74" s="219">
        <f t="shared" si="6"/>
        <v>0</v>
      </c>
      <c r="EA74" s="219">
        <f t="shared" si="6"/>
        <v>0</v>
      </c>
      <c r="EB74" s="219">
        <f t="shared" si="6"/>
        <v>0</v>
      </c>
      <c r="EC74" s="219">
        <f t="shared" si="6"/>
        <v>0</v>
      </c>
      <c r="ED74" s="219">
        <f t="shared" si="6"/>
        <v>0</v>
      </c>
      <c r="EE74" s="219">
        <f t="shared" si="6"/>
        <v>0</v>
      </c>
      <c r="EF74" s="219">
        <f t="shared" si="6"/>
        <v>0</v>
      </c>
      <c r="EG74" s="219">
        <f t="shared" si="6"/>
        <v>0</v>
      </c>
      <c r="EH74" s="219">
        <f t="shared" si="6"/>
        <v>0</v>
      </c>
      <c r="EI74" s="219">
        <f t="shared" si="6"/>
        <v>0</v>
      </c>
      <c r="EJ74" s="219">
        <f t="shared" si="6"/>
        <v>0</v>
      </c>
      <c r="EK74" s="219">
        <f t="shared" si="6"/>
        <v>0</v>
      </c>
      <c r="EL74" s="219">
        <f t="shared" si="6"/>
        <v>0</v>
      </c>
      <c r="EM74" s="219">
        <f t="shared" si="6"/>
        <v>0</v>
      </c>
      <c r="EN74" s="219">
        <f t="shared" si="6"/>
        <v>0</v>
      </c>
      <c r="EO74" s="219">
        <f t="shared" si="6"/>
        <v>0</v>
      </c>
      <c r="EP74" s="219">
        <f t="shared" si="6"/>
        <v>0</v>
      </c>
      <c r="EQ74" s="219">
        <f t="shared" si="6"/>
        <v>0</v>
      </c>
      <c r="ER74" s="219">
        <f t="shared" si="6"/>
        <v>0</v>
      </c>
      <c r="ES74" s="219">
        <f t="shared" si="6"/>
        <v>0</v>
      </c>
      <c r="ET74" s="219">
        <f t="shared" si="6"/>
        <v>0</v>
      </c>
      <c r="EU74" s="219">
        <f t="shared" si="6"/>
        <v>0</v>
      </c>
      <c r="EV74" s="219">
        <f t="shared" ref="EV74:GT74" si="7">SUM(EV8:EV73)</f>
        <v>0</v>
      </c>
      <c r="EW74" s="219">
        <f t="shared" si="7"/>
        <v>0</v>
      </c>
      <c r="EX74" s="219">
        <f t="shared" si="7"/>
        <v>0</v>
      </c>
      <c r="EY74" s="219">
        <f t="shared" si="7"/>
        <v>0</v>
      </c>
      <c r="EZ74" s="219">
        <f t="shared" si="7"/>
        <v>0</v>
      </c>
      <c r="FA74" s="219">
        <f t="shared" si="7"/>
        <v>0</v>
      </c>
      <c r="FB74" s="219">
        <f t="shared" si="7"/>
        <v>0</v>
      </c>
      <c r="FC74" s="219">
        <f t="shared" si="7"/>
        <v>0</v>
      </c>
      <c r="FD74" s="219">
        <f t="shared" si="7"/>
        <v>0</v>
      </c>
      <c r="FE74" s="219">
        <f t="shared" si="7"/>
        <v>0</v>
      </c>
      <c r="FF74" s="219">
        <f t="shared" si="7"/>
        <v>0</v>
      </c>
      <c r="FG74" s="219">
        <f t="shared" si="7"/>
        <v>0</v>
      </c>
      <c r="FH74" s="219">
        <f t="shared" si="7"/>
        <v>0</v>
      </c>
      <c r="FI74" s="219">
        <f t="shared" si="7"/>
        <v>0</v>
      </c>
      <c r="FJ74" s="219">
        <f t="shared" si="7"/>
        <v>0</v>
      </c>
      <c r="FK74" s="219">
        <f t="shared" si="7"/>
        <v>0</v>
      </c>
      <c r="FL74" s="219">
        <f t="shared" si="7"/>
        <v>0</v>
      </c>
      <c r="FM74" s="219">
        <f t="shared" si="7"/>
        <v>0</v>
      </c>
      <c r="FN74" s="219">
        <f t="shared" si="7"/>
        <v>0</v>
      </c>
      <c r="FO74" s="219">
        <f t="shared" si="7"/>
        <v>0</v>
      </c>
      <c r="FP74" s="219">
        <f t="shared" si="7"/>
        <v>0</v>
      </c>
      <c r="FQ74" s="219">
        <f t="shared" si="7"/>
        <v>0</v>
      </c>
      <c r="FR74" s="219">
        <f t="shared" si="7"/>
        <v>0</v>
      </c>
      <c r="FS74" s="219">
        <f t="shared" si="7"/>
        <v>0</v>
      </c>
      <c r="FT74" s="219">
        <f t="shared" si="7"/>
        <v>0</v>
      </c>
      <c r="FU74" s="219">
        <f t="shared" si="7"/>
        <v>0</v>
      </c>
      <c r="FV74" s="219">
        <f t="shared" si="7"/>
        <v>0</v>
      </c>
      <c r="FW74" s="219">
        <f t="shared" si="7"/>
        <v>0</v>
      </c>
      <c r="FX74" s="219">
        <f t="shared" si="7"/>
        <v>0</v>
      </c>
      <c r="FY74" s="219">
        <f t="shared" si="7"/>
        <v>0</v>
      </c>
      <c r="FZ74" s="219">
        <f t="shared" si="7"/>
        <v>0</v>
      </c>
      <c r="GA74" s="219">
        <f t="shared" si="7"/>
        <v>0</v>
      </c>
      <c r="GB74" s="219">
        <f t="shared" si="7"/>
        <v>0</v>
      </c>
      <c r="GC74" s="219">
        <f t="shared" si="7"/>
        <v>0</v>
      </c>
      <c r="GD74" s="219">
        <f t="shared" si="7"/>
        <v>0</v>
      </c>
      <c r="GE74" s="219">
        <f t="shared" si="7"/>
        <v>0</v>
      </c>
      <c r="GF74" s="219">
        <f t="shared" si="7"/>
        <v>0</v>
      </c>
      <c r="GG74" s="219">
        <f t="shared" si="7"/>
        <v>0</v>
      </c>
      <c r="GH74" s="219">
        <f t="shared" si="7"/>
        <v>0</v>
      </c>
      <c r="GI74" s="219">
        <f t="shared" si="7"/>
        <v>0</v>
      </c>
      <c r="GJ74" s="219">
        <f t="shared" si="7"/>
        <v>0</v>
      </c>
      <c r="GK74" s="219">
        <f t="shared" si="7"/>
        <v>0</v>
      </c>
      <c r="GL74" s="219">
        <f t="shared" si="7"/>
        <v>0</v>
      </c>
      <c r="GM74" s="219">
        <f t="shared" si="7"/>
        <v>0</v>
      </c>
      <c r="GN74" s="219">
        <f t="shared" si="7"/>
        <v>0</v>
      </c>
      <c r="GO74" s="219">
        <f t="shared" si="7"/>
        <v>0</v>
      </c>
      <c r="GP74" s="219">
        <f t="shared" si="7"/>
        <v>0</v>
      </c>
      <c r="GQ74" s="219">
        <f t="shared" si="7"/>
        <v>0</v>
      </c>
      <c r="GR74" s="219">
        <f t="shared" si="7"/>
        <v>0</v>
      </c>
      <c r="GS74" s="219">
        <f t="shared" si="7"/>
        <v>0</v>
      </c>
      <c r="GT74" s="219">
        <f t="shared" si="7"/>
        <v>0</v>
      </c>
      <c r="GU74" s="219"/>
      <c r="GV74" s="220">
        <f>SUM(GV8:GV73)</f>
        <v>0</v>
      </c>
      <c r="GW74" s="221"/>
      <c r="GX74" s="62"/>
      <c r="GY74" s="62"/>
      <c r="GZ74" s="425"/>
      <c r="HA74" s="223">
        <f>SUM(HA8:HA73)</f>
        <v>84680</v>
      </c>
    </row>
    <row r="75" spans="1:209" x14ac:dyDescent="0.25">
      <c r="D75" s="35"/>
      <c r="E75" s="36"/>
      <c r="F75" s="37"/>
      <c r="G75" s="38"/>
      <c r="H75" s="39"/>
      <c r="I75" s="40"/>
      <c r="J75" s="177"/>
      <c r="N75" s="212"/>
      <c r="O75" s="213"/>
      <c r="P75" s="224"/>
      <c r="Q75" s="225"/>
      <c r="R75" s="226"/>
      <c r="S75" s="226"/>
      <c r="T75" s="226"/>
      <c r="U75" s="39"/>
      <c r="V75" s="217"/>
      <c r="Y75" s="227"/>
      <c r="Z75" s="228"/>
      <c r="AA75" s="229"/>
      <c r="AB75" s="36"/>
      <c r="AC75" s="229"/>
      <c r="AD75" s="230"/>
      <c r="AE75" s="87"/>
      <c r="AH75" s="227"/>
      <c r="AI75" s="228"/>
      <c r="AJ75" s="229"/>
      <c r="AK75" s="36"/>
      <c r="AL75" s="231"/>
      <c r="AM75" s="230"/>
      <c r="AN75" s="87"/>
      <c r="AQ75" s="227"/>
      <c r="AR75" s="228"/>
      <c r="AS75" s="229"/>
      <c r="AT75" s="36"/>
      <c r="AU75" s="229"/>
      <c r="AV75" s="230"/>
      <c r="AW75" s="87"/>
      <c r="AZ75" s="227"/>
      <c r="BA75" s="228"/>
      <c r="BB75" s="229"/>
      <c r="BC75" s="36"/>
      <c r="BD75" s="231"/>
      <c r="BE75" s="230"/>
      <c r="BF75" s="87"/>
      <c r="BI75" s="227"/>
      <c r="BJ75" s="228"/>
      <c r="BK75" s="229"/>
      <c r="BL75" s="36"/>
      <c r="BM75" s="231"/>
      <c r="BN75" s="230"/>
      <c r="BO75" s="87"/>
      <c r="BR75" s="227"/>
      <c r="BS75" s="228"/>
      <c r="BT75" s="229"/>
      <c r="BU75" s="36"/>
      <c r="BV75" s="229"/>
      <c r="BW75" s="230"/>
      <c r="BX75" s="87"/>
      <c r="CA75" s="227"/>
      <c r="CB75" s="228"/>
      <c r="CC75" s="229"/>
      <c r="CD75" s="36"/>
      <c r="CE75" s="229"/>
      <c r="CF75" s="230"/>
      <c r="CG75" s="87"/>
      <c r="CJ75" s="227"/>
      <c r="CK75" s="228"/>
      <c r="CL75" s="229"/>
      <c r="CM75" s="36"/>
      <c r="CN75" s="229"/>
      <c r="CO75" s="230"/>
      <c r="CP75" s="87"/>
      <c r="CS75" s="227"/>
      <c r="CT75" s="228"/>
      <c r="CU75" s="229"/>
      <c r="CV75" s="232"/>
      <c r="CW75" s="231"/>
      <c r="CX75" s="233"/>
      <c r="CY75" s="87"/>
      <c r="DB75" s="227"/>
      <c r="DC75" s="228"/>
      <c r="DD75" s="229"/>
      <c r="DE75" s="36"/>
      <c r="DF75" s="229"/>
      <c r="DG75" s="230"/>
      <c r="DH75" s="87"/>
      <c r="DK75" s="227"/>
      <c r="DL75" s="228"/>
      <c r="DM75" s="229"/>
      <c r="DN75" s="232"/>
      <c r="DO75" s="231"/>
      <c r="DP75" s="233"/>
      <c r="DQ75" s="87"/>
      <c r="DT75" s="227"/>
      <c r="DU75" s="228"/>
      <c r="DV75" s="229"/>
      <c r="DW75" s="36"/>
      <c r="DX75" s="229"/>
      <c r="DY75" s="230"/>
      <c r="DZ75" s="87"/>
      <c r="EC75" s="227"/>
      <c r="ED75" s="228"/>
      <c r="EE75" s="229"/>
      <c r="EF75" s="232"/>
      <c r="EG75" s="231"/>
      <c r="EH75" s="233"/>
      <c r="EI75" s="87"/>
      <c r="EL75" s="227"/>
      <c r="EM75" s="228"/>
      <c r="EN75" s="229"/>
      <c r="EO75" s="232"/>
      <c r="EP75" s="231"/>
      <c r="EQ75" s="233"/>
      <c r="ER75" s="87"/>
      <c r="EU75" s="227"/>
      <c r="EV75" s="228"/>
      <c r="EW75" s="229"/>
      <c r="EX75" s="36"/>
      <c r="EY75" s="229"/>
      <c r="EZ75" s="230"/>
      <c r="FA75" s="87"/>
      <c r="FD75" s="227"/>
      <c r="FE75" s="228"/>
      <c r="FF75" s="229"/>
      <c r="FG75" s="36"/>
      <c r="FH75" s="229"/>
      <c r="FI75" s="230"/>
      <c r="FJ75" s="87"/>
      <c r="FM75" s="227"/>
      <c r="FN75" s="228"/>
      <c r="FO75" s="229"/>
      <c r="FP75" s="36"/>
      <c r="FQ75" s="229"/>
      <c r="FR75" s="230"/>
      <c r="FS75" s="87"/>
      <c r="FV75" s="227"/>
      <c r="FW75" s="228"/>
      <c r="FX75" s="229"/>
      <c r="FY75" s="36"/>
      <c r="FZ75" s="229"/>
      <c r="GA75" s="230"/>
      <c r="GB75" s="87"/>
      <c r="GE75" s="227"/>
      <c r="GF75" s="228"/>
      <c r="GG75" s="229"/>
      <c r="GH75" s="36"/>
      <c r="GI75" s="229"/>
      <c r="GJ75" s="230"/>
      <c r="GK75" s="87"/>
      <c r="GN75" s="227"/>
      <c r="GO75" s="228"/>
      <c r="GP75" s="229"/>
      <c r="GQ75" s="36"/>
      <c r="GR75" s="229"/>
      <c r="GS75" s="230"/>
      <c r="GT75" s="87"/>
      <c r="GU75" s="187"/>
      <c r="GV75"/>
      <c r="GX75" s="235"/>
      <c r="GY75" s="235"/>
      <c r="GZ75" s="426"/>
      <c r="HA75"/>
    </row>
    <row r="76" spans="1:209" ht="16.5" thickBot="1" x14ac:dyDescent="0.3">
      <c r="D76" s="35"/>
      <c r="E76" s="36"/>
      <c r="F76" s="37"/>
      <c r="G76" s="38"/>
      <c r="H76" s="39"/>
      <c r="I76" s="40"/>
      <c r="J76" s="177"/>
      <c r="N76" s="212"/>
      <c r="O76" s="213"/>
      <c r="P76" s="224"/>
      <c r="Q76" s="225"/>
      <c r="R76" s="226"/>
      <c r="S76" s="226"/>
      <c r="T76" s="226"/>
      <c r="U76" s="39"/>
      <c r="V76" s="217"/>
      <c r="Y76" s="227"/>
      <c r="Z76" s="228"/>
      <c r="AA76" s="229"/>
      <c r="AB76" s="36"/>
      <c r="AC76" s="229"/>
      <c r="AD76" s="230"/>
      <c r="AE76" s="87"/>
      <c r="AH76" s="227"/>
      <c r="AI76" s="228"/>
      <c r="AJ76" s="229"/>
      <c r="AK76" s="36"/>
      <c r="AL76" s="231"/>
      <c r="AM76" s="230"/>
      <c r="AN76" s="87"/>
      <c r="AQ76" s="227"/>
      <c r="AR76" s="228"/>
      <c r="AS76" s="229"/>
      <c r="AT76" s="36"/>
      <c r="AU76" s="229"/>
      <c r="AV76" s="230"/>
      <c r="AW76" s="87"/>
      <c r="AZ76" s="227"/>
      <c r="BA76" s="228"/>
      <c r="BB76" s="229"/>
      <c r="BC76" s="36"/>
      <c r="BD76" s="231"/>
      <c r="BE76" s="230"/>
      <c r="BF76" s="87"/>
      <c r="BI76" s="227"/>
      <c r="BJ76" s="228"/>
      <c r="BK76" s="229"/>
      <c r="BL76" s="36"/>
      <c r="BM76" s="231"/>
      <c r="BN76" s="230"/>
      <c r="BO76" s="87"/>
      <c r="BR76" s="227"/>
      <c r="BS76" s="228"/>
      <c r="BT76" s="229"/>
      <c r="BU76" s="36"/>
      <c r="BV76" s="229"/>
      <c r="BW76" s="230"/>
      <c r="BX76" s="87"/>
      <c r="CA76" s="227"/>
      <c r="CB76" s="228"/>
      <c r="CC76" s="229"/>
      <c r="CD76" s="36"/>
      <c r="CE76" s="229"/>
      <c r="CF76" s="230"/>
      <c r="CG76" s="87"/>
      <c r="CJ76" s="227"/>
      <c r="CK76" s="228"/>
      <c r="CL76" s="229"/>
      <c r="CM76" s="36"/>
      <c r="CN76" s="229"/>
      <c r="CO76" s="230"/>
      <c r="CP76" s="87"/>
      <c r="CS76" s="227"/>
      <c r="CT76" s="228"/>
      <c r="CU76" s="229"/>
      <c r="CV76" s="232"/>
      <c r="CW76" s="231"/>
      <c r="CX76" s="233"/>
      <c r="CY76" s="87"/>
      <c r="DB76" s="227"/>
      <c r="DC76" s="228"/>
      <c r="DD76" s="229"/>
      <c r="DE76" s="36"/>
      <c r="DF76" s="229"/>
      <c r="DG76" s="230"/>
      <c r="DH76" s="87"/>
      <c r="DK76" s="227"/>
      <c r="DL76" s="228"/>
      <c r="DM76" s="229"/>
      <c r="DN76" s="232"/>
      <c r="DO76" s="231"/>
      <c r="DP76" s="233"/>
      <c r="DQ76" s="87"/>
      <c r="DT76" s="227"/>
      <c r="DU76" s="228"/>
      <c r="DV76" s="229"/>
      <c r="DW76" s="36"/>
      <c r="DX76" s="229"/>
      <c r="DY76" s="230"/>
      <c r="DZ76" s="87"/>
      <c r="EC76" s="227"/>
      <c r="ED76" s="228"/>
      <c r="EE76" s="229"/>
      <c r="EF76" s="232"/>
      <c r="EG76" s="231"/>
      <c r="EH76" s="233"/>
      <c r="EI76" s="87"/>
      <c r="EL76" s="227"/>
      <c r="EM76" s="228"/>
      <c r="EN76" s="229"/>
      <c r="EO76" s="232"/>
      <c r="EP76" s="231"/>
      <c r="EQ76" s="233"/>
      <c r="ER76" s="87"/>
      <c r="EU76" s="227"/>
      <c r="EV76" s="228"/>
      <c r="EW76" s="229"/>
      <c r="EX76" s="36"/>
      <c r="EY76" s="229"/>
      <c r="EZ76" s="230"/>
      <c r="FA76" s="87"/>
      <c r="FD76" s="227"/>
      <c r="FE76" s="228"/>
      <c r="FF76" s="229"/>
      <c r="FG76" s="36"/>
      <c r="FH76" s="229"/>
      <c r="FI76" s="230"/>
      <c r="FJ76" s="87"/>
      <c r="FM76" s="227"/>
      <c r="FN76" s="228"/>
      <c r="FO76" s="229"/>
      <c r="FP76" s="36"/>
      <c r="FQ76" s="229"/>
      <c r="FR76" s="230"/>
      <c r="FS76" s="87"/>
      <c r="FV76" s="227"/>
      <c r="FW76" s="228"/>
      <c r="FX76" s="229"/>
      <c r="FY76" s="36"/>
      <c r="FZ76" s="229"/>
      <c r="GA76" s="230"/>
      <c r="GB76" s="87"/>
      <c r="GE76" s="227"/>
      <c r="GF76" s="228"/>
      <c r="GG76" s="229"/>
      <c r="GH76" s="36"/>
      <c r="GI76" s="229"/>
      <c r="GJ76" s="230"/>
      <c r="GK76" s="87"/>
      <c r="GN76" s="227"/>
      <c r="GO76" s="228"/>
      <c r="GP76" s="229"/>
      <c r="GQ76" s="36"/>
      <c r="GR76" s="229"/>
      <c r="GS76" s="230"/>
      <c r="GT76" s="87"/>
      <c r="GU76" s="187"/>
      <c r="GV76"/>
      <c r="GX76" s="235"/>
      <c r="GY76" s="235"/>
      <c r="GZ76" s="426"/>
      <c r="HA76"/>
    </row>
    <row r="77" spans="1:209" ht="16.5" thickTop="1" x14ac:dyDescent="0.25">
      <c r="D77" s="35"/>
      <c r="E77" s="36"/>
      <c r="F77" s="37"/>
      <c r="G77" s="38"/>
      <c r="H77" s="39"/>
      <c r="I77" s="40"/>
      <c r="J77" s="177"/>
      <c r="N77" s="212"/>
      <c r="P77" s="876" t="s">
        <v>30</v>
      </c>
      <c r="Q77" s="877"/>
      <c r="R77" s="877"/>
      <c r="S77" s="237"/>
      <c r="T77" s="237"/>
      <c r="U77" s="880">
        <f>HA74+GV74+X74+U74+S74</f>
        <v>17163767.344999999</v>
      </c>
      <c r="V77" s="881"/>
      <c r="Y77" s="227"/>
      <c r="Z77" s="228"/>
      <c r="AA77" s="229"/>
      <c r="AB77" s="36"/>
      <c r="AC77" s="229"/>
      <c r="AD77" s="230"/>
      <c r="AE77" s="87"/>
      <c r="AH77" s="227"/>
      <c r="AI77" s="228"/>
      <c r="AJ77" s="229"/>
      <c r="AK77" s="36"/>
      <c r="AL77" s="231"/>
      <c r="AM77" s="230"/>
      <c r="AN77" s="87"/>
      <c r="AQ77" s="227"/>
      <c r="AR77" s="228"/>
      <c r="AS77" s="229"/>
      <c r="AT77" s="36"/>
      <c r="AU77" s="229"/>
      <c r="AV77" s="230"/>
      <c r="AW77" s="87"/>
      <c r="AZ77" s="227"/>
      <c r="BA77" s="228"/>
      <c r="BB77" s="229"/>
      <c r="BC77" s="36"/>
      <c r="BD77" s="231"/>
      <c r="BE77" s="230"/>
      <c r="BF77" s="87"/>
      <c r="BI77" s="227"/>
      <c r="BJ77" s="228"/>
      <c r="BK77" s="229"/>
      <c r="BL77" s="36"/>
      <c r="BM77" s="231"/>
      <c r="BN77" s="230"/>
      <c r="BO77" s="87"/>
      <c r="BR77" s="227"/>
      <c r="BS77" s="228"/>
      <c r="BT77" s="229"/>
      <c r="BU77" s="36"/>
      <c r="BV77" s="229"/>
      <c r="BW77" s="230"/>
      <c r="BX77" s="87"/>
      <c r="CA77" s="227"/>
      <c r="CB77" s="228"/>
      <c r="CC77" s="229"/>
      <c r="CD77" s="36"/>
      <c r="CE77" s="229"/>
      <c r="CF77" s="230"/>
      <c r="CG77" s="87"/>
      <c r="CJ77" s="227"/>
      <c r="CK77" s="228"/>
      <c r="CL77" s="229"/>
      <c r="CM77" s="36"/>
      <c r="CN77" s="229"/>
      <c r="CO77" s="230"/>
      <c r="CP77" s="87"/>
      <c r="CS77" s="227"/>
      <c r="CT77" s="228"/>
      <c r="CU77" s="229"/>
      <c r="CV77" s="232"/>
      <c r="CW77" s="231"/>
      <c r="CX77" s="233"/>
      <c r="CY77" s="87"/>
      <c r="DB77" s="227"/>
      <c r="DC77" s="228"/>
      <c r="DD77" s="229"/>
      <c r="DE77" s="36"/>
      <c r="DF77" s="229"/>
      <c r="DG77" s="230"/>
      <c r="DH77" s="87"/>
      <c r="DK77" s="227"/>
      <c r="DL77" s="228"/>
      <c r="DM77" s="229"/>
      <c r="DN77" s="232"/>
      <c r="DO77" s="231"/>
      <c r="DP77" s="233"/>
      <c r="DQ77" s="87"/>
      <c r="DT77" s="227"/>
      <c r="DU77" s="228"/>
      <c r="DV77" s="229"/>
      <c r="DW77" s="36"/>
      <c r="DX77" s="229"/>
      <c r="DY77" s="230"/>
      <c r="DZ77" s="87"/>
      <c r="EC77" s="227"/>
      <c r="ED77" s="228"/>
      <c r="EE77" s="229"/>
      <c r="EF77" s="232"/>
      <c r="EG77" s="231"/>
      <c r="EH77" s="233"/>
      <c r="EI77" s="87"/>
      <c r="EL77" s="227"/>
      <c r="EM77" s="228"/>
      <c r="EN77" s="229"/>
      <c r="EO77" s="232"/>
      <c r="EP77" s="231"/>
      <c r="EQ77" s="233"/>
      <c r="ER77" s="87"/>
      <c r="EU77" s="227"/>
      <c r="EV77" s="228"/>
      <c r="EW77" s="229"/>
      <c r="EX77" s="36"/>
      <c r="EY77" s="229"/>
      <c r="EZ77" s="230"/>
      <c r="FA77" s="87"/>
      <c r="FD77" s="227"/>
      <c r="FE77" s="228"/>
      <c r="FF77" s="229"/>
      <c r="FG77" s="36"/>
      <c r="FH77" s="229"/>
      <c r="FI77" s="230"/>
      <c r="FJ77" s="87"/>
      <c r="FM77" s="227"/>
      <c r="FN77" s="228"/>
      <c r="FO77" s="229"/>
      <c r="FP77" s="36"/>
      <c r="FQ77" s="229"/>
      <c r="FR77" s="230"/>
      <c r="FS77" s="87"/>
      <c r="FV77" s="227"/>
      <c r="FW77" s="228"/>
      <c r="FX77" s="229"/>
      <c r="FY77" s="36"/>
      <c r="FZ77" s="229"/>
      <c r="GA77" s="230"/>
      <c r="GB77" s="87"/>
      <c r="GE77" s="227"/>
      <c r="GF77" s="228"/>
      <c r="GG77" s="229"/>
      <c r="GH77" s="36"/>
      <c r="GI77" s="229"/>
      <c r="GJ77" s="230"/>
      <c r="GK77" s="87"/>
      <c r="GN77" s="227"/>
      <c r="GO77" s="228"/>
      <c r="GP77" s="229"/>
      <c r="GQ77" s="36"/>
      <c r="GR77" s="229"/>
      <c r="GS77" s="230"/>
      <c r="GT77" s="87"/>
      <c r="GU77" s="187"/>
      <c r="GV77"/>
      <c r="GX77" s="235"/>
      <c r="GY77" s="235"/>
      <c r="GZ77" s="426"/>
      <c r="HA77"/>
    </row>
    <row r="78" spans="1:209" ht="16.5" thickBot="1" x14ac:dyDescent="0.3">
      <c r="D78" s="35"/>
      <c r="E78" s="36"/>
      <c r="F78" s="37"/>
      <c r="G78" s="38"/>
      <c r="H78" s="39"/>
      <c r="I78" s="40"/>
      <c r="J78" s="238"/>
      <c r="N78" s="212"/>
      <c r="P78" s="878"/>
      <c r="Q78" s="879"/>
      <c r="R78" s="879"/>
      <c r="S78" s="239"/>
      <c r="T78" s="239"/>
      <c r="U78" s="882"/>
      <c r="V78" s="883"/>
      <c r="Y78" s="227"/>
      <c r="Z78" s="228"/>
      <c r="AA78" s="229"/>
      <c r="AB78" s="36"/>
      <c r="AC78" s="229"/>
      <c r="AD78" s="230"/>
      <c r="AE78" s="87"/>
      <c r="AH78" s="227"/>
      <c r="AI78" s="228"/>
      <c r="AJ78" s="229"/>
      <c r="AK78" s="36"/>
      <c r="AL78" s="231"/>
      <c r="AM78" s="230"/>
      <c r="AN78" s="87"/>
      <c r="AQ78" s="227"/>
      <c r="AR78" s="228"/>
      <c r="AS78" s="229"/>
      <c r="AT78" s="36"/>
      <c r="AU78" s="229"/>
      <c r="AV78" s="230"/>
      <c r="AW78" s="87"/>
      <c r="AZ78" s="227"/>
      <c r="BA78" s="228"/>
      <c r="BB78" s="229"/>
      <c r="BC78" s="36"/>
      <c r="BD78" s="231"/>
      <c r="BE78" s="230"/>
      <c r="BF78" s="87"/>
      <c r="BI78" s="227"/>
      <c r="BJ78" s="228"/>
      <c r="BK78" s="229"/>
      <c r="BL78" s="36"/>
      <c r="BM78" s="231"/>
      <c r="BN78" s="230"/>
      <c r="BO78" s="87"/>
      <c r="BR78" s="227"/>
      <c r="BS78" s="228"/>
      <c r="BT78" s="229"/>
      <c r="BU78" s="36"/>
      <c r="BV78" s="229"/>
      <c r="BW78" s="230"/>
      <c r="BX78" s="87"/>
      <c r="CA78" s="227"/>
      <c r="CB78" s="228"/>
      <c r="CC78" s="229"/>
      <c r="CD78" s="36"/>
      <c r="CE78" s="229"/>
      <c r="CF78" s="230"/>
      <c r="CG78" s="87"/>
      <c r="CJ78" s="227"/>
      <c r="CK78" s="228"/>
      <c r="CL78" s="229"/>
      <c r="CM78" s="36"/>
      <c r="CN78" s="229"/>
      <c r="CO78" s="230"/>
      <c r="CP78" s="87"/>
      <c r="CS78" s="227"/>
      <c r="CT78" s="228"/>
      <c r="CU78" s="229"/>
      <c r="CV78" s="232"/>
      <c r="CW78" s="231"/>
      <c r="CX78" s="233"/>
      <c r="CY78" s="87"/>
      <c r="DB78" s="227"/>
      <c r="DC78" s="228"/>
      <c r="DD78" s="229"/>
      <c r="DE78" s="36"/>
      <c r="DF78" s="229"/>
      <c r="DG78" s="230"/>
      <c r="DH78" s="87"/>
      <c r="DK78" s="227"/>
      <c r="DL78" s="228"/>
      <c r="DM78" s="229"/>
      <c r="DN78" s="232"/>
      <c r="DO78" s="231"/>
      <c r="DP78" s="233"/>
      <c r="DQ78" s="87"/>
      <c r="DT78" s="227"/>
      <c r="DU78" s="228"/>
      <c r="DV78" s="229"/>
      <c r="DW78" s="36"/>
      <c r="DX78" s="229"/>
      <c r="DY78" s="230"/>
      <c r="DZ78" s="87"/>
      <c r="EC78" s="227"/>
      <c r="ED78" s="228"/>
      <c r="EE78" s="229"/>
      <c r="EF78" s="232"/>
      <c r="EG78" s="231"/>
      <c r="EH78" s="233"/>
      <c r="EI78" s="87"/>
      <c r="EL78" s="227"/>
      <c r="EM78" s="228"/>
      <c r="EN78" s="229"/>
      <c r="EO78" s="232"/>
      <c r="EP78" s="231"/>
      <c r="EQ78" s="233"/>
      <c r="ER78" s="87"/>
      <c r="EU78" s="227"/>
      <c r="EV78" s="228"/>
      <c r="EW78" s="229"/>
      <c r="EX78" s="36"/>
      <c r="EY78" s="229"/>
      <c r="EZ78" s="230"/>
      <c r="FA78" s="87"/>
      <c r="FD78" s="227"/>
      <c r="FE78" s="228"/>
      <c r="FF78" s="229"/>
      <c r="FG78" s="36"/>
      <c r="FH78" s="229"/>
      <c r="FI78" s="230"/>
      <c r="FJ78" s="87"/>
      <c r="FM78" s="227"/>
      <c r="FN78" s="228"/>
      <c r="FO78" s="229"/>
      <c r="FP78" s="36"/>
      <c r="FQ78" s="229"/>
      <c r="FR78" s="230"/>
      <c r="FS78" s="87"/>
      <c r="FV78" s="227"/>
      <c r="FW78" s="228"/>
      <c r="FX78" s="229"/>
      <c r="FY78" s="36"/>
      <c r="FZ78" s="229"/>
      <c r="GA78" s="230"/>
      <c r="GB78" s="87"/>
      <c r="GE78" s="227"/>
      <c r="GF78" s="228"/>
      <c r="GG78" s="229"/>
      <c r="GH78" s="36"/>
      <c r="GI78" s="229"/>
      <c r="GJ78" s="230"/>
      <c r="GK78" s="87"/>
      <c r="GN78" s="227"/>
      <c r="GO78" s="228"/>
      <c r="GP78" s="229"/>
      <c r="GQ78" s="36"/>
      <c r="GR78" s="229"/>
      <c r="GS78" s="230"/>
      <c r="GT78" s="87"/>
      <c r="GU78" s="187"/>
      <c r="GV78"/>
      <c r="GX78" s="235"/>
      <c r="GY78" s="235"/>
      <c r="GZ78" s="426"/>
      <c r="HA78"/>
    </row>
    <row r="79" spans="1:209" ht="16.5" thickTop="1" x14ac:dyDescent="0.25">
      <c r="D79" s="35"/>
      <c r="E79" s="36"/>
      <c r="F79" s="37"/>
      <c r="G79" s="38"/>
      <c r="H79" s="39"/>
      <c r="I79" s="40"/>
      <c r="J79" s="238"/>
      <c r="N79" s="212"/>
      <c r="P79" s="224"/>
      <c r="Q79" s="225"/>
      <c r="R79" s="226"/>
      <c r="S79" s="226"/>
      <c r="T79" s="226"/>
      <c r="U79" s="39"/>
      <c r="V79" s="217"/>
      <c r="Y79" s="227"/>
      <c r="Z79" s="228"/>
      <c r="AA79" s="229"/>
      <c r="AB79" s="36"/>
      <c r="AC79" s="229"/>
      <c r="AD79" s="230"/>
      <c r="AE79" s="87"/>
      <c r="AH79" s="227"/>
      <c r="AI79" s="228"/>
      <c r="AJ79" s="229"/>
      <c r="AK79" s="36"/>
      <c r="AL79" s="231"/>
      <c r="AM79" s="230"/>
      <c r="AN79" s="87"/>
      <c r="AQ79" s="227"/>
      <c r="AR79" s="228"/>
      <c r="AS79" s="229"/>
      <c r="AT79" s="36"/>
      <c r="AU79" s="229"/>
      <c r="AV79" s="230"/>
      <c r="AW79" s="87"/>
      <c r="AZ79" s="227"/>
      <c r="BA79" s="228"/>
      <c r="BB79" s="229"/>
      <c r="BC79" s="36"/>
      <c r="BD79" s="231"/>
      <c r="BE79" s="230"/>
      <c r="BF79" s="87"/>
      <c r="BI79" s="227"/>
      <c r="BJ79" s="228"/>
      <c r="BK79" s="229"/>
      <c r="BL79" s="36"/>
      <c r="BM79" s="231"/>
      <c r="BN79" s="230"/>
      <c r="BO79" s="87"/>
      <c r="BR79" s="227"/>
      <c r="BS79" s="228"/>
      <c r="BT79" s="229"/>
      <c r="BU79" s="36"/>
      <c r="BV79" s="229"/>
      <c r="BW79" s="230"/>
      <c r="BX79" s="87"/>
      <c r="CA79" s="227"/>
      <c r="CB79" s="228"/>
      <c r="CC79" s="229"/>
      <c r="CD79" s="36"/>
      <c r="CE79" s="229"/>
      <c r="CF79" s="230"/>
      <c r="CG79" s="87"/>
      <c r="CJ79" s="227"/>
      <c r="CK79" s="228"/>
      <c r="CL79" s="229"/>
      <c r="CM79" s="36"/>
      <c r="CN79" s="229"/>
      <c r="CO79" s="230"/>
      <c r="CP79" s="87"/>
      <c r="CS79" s="227"/>
      <c r="CT79" s="228"/>
      <c r="CU79" s="229"/>
      <c r="CV79" s="232"/>
      <c r="CW79" s="231"/>
      <c r="CX79" s="233"/>
      <c r="CY79" s="87"/>
      <c r="DB79" s="227"/>
      <c r="DC79" s="228"/>
      <c r="DD79" s="229"/>
      <c r="DE79" s="36"/>
      <c r="DF79" s="229"/>
      <c r="DG79" s="230"/>
      <c r="DH79" s="87"/>
      <c r="DK79" s="227"/>
      <c r="DL79" s="228"/>
      <c r="DM79" s="229"/>
      <c r="DN79" s="232"/>
      <c r="DO79" s="231"/>
      <c r="DP79" s="233"/>
      <c r="DQ79" s="87"/>
      <c r="DT79" s="227"/>
      <c r="DU79" s="228"/>
      <c r="DV79" s="229"/>
      <c r="DW79" s="36"/>
      <c r="DX79" s="229"/>
      <c r="DY79" s="230"/>
      <c r="DZ79" s="87"/>
      <c r="EC79" s="227"/>
      <c r="ED79" s="228"/>
      <c r="EE79" s="229"/>
      <c r="EF79" s="232"/>
      <c r="EG79" s="231"/>
      <c r="EH79" s="233"/>
      <c r="EI79" s="87"/>
      <c r="EL79" s="227"/>
      <c r="EM79" s="228"/>
      <c r="EN79" s="229"/>
      <c r="EO79" s="232"/>
      <c r="EP79" s="231"/>
      <c r="EQ79" s="233"/>
      <c r="ER79" s="87"/>
      <c r="EU79" s="227"/>
      <c r="EV79" s="228"/>
      <c r="EW79" s="229"/>
      <c r="EX79" s="36"/>
      <c r="EY79" s="229"/>
      <c r="EZ79" s="230"/>
      <c r="FA79" s="87"/>
      <c r="FD79" s="227"/>
      <c r="FE79" s="228"/>
      <c r="FF79" s="229"/>
      <c r="FG79" s="36"/>
      <c r="FH79" s="229"/>
      <c r="FI79" s="230"/>
      <c r="FJ79" s="87"/>
      <c r="FM79" s="227"/>
      <c r="FN79" s="228"/>
      <c r="FO79" s="229"/>
      <c r="FP79" s="36"/>
      <c r="FQ79" s="229"/>
      <c r="FR79" s="230"/>
      <c r="FS79" s="87"/>
      <c r="FV79" s="227"/>
      <c r="FW79" s="228"/>
      <c r="FX79" s="229"/>
      <c r="FY79" s="36"/>
      <c r="FZ79" s="229"/>
      <c r="GA79" s="230"/>
      <c r="GB79" s="87"/>
      <c r="GE79" s="227"/>
      <c r="GF79" s="228"/>
      <c r="GG79" s="229"/>
      <c r="GH79" s="36"/>
      <c r="GI79" s="229"/>
      <c r="GJ79" s="230"/>
      <c r="GK79" s="87"/>
      <c r="GN79" s="227"/>
      <c r="GO79" s="228"/>
      <c r="GP79" s="229"/>
      <c r="GQ79" s="36"/>
      <c r="GR79" s="229"/>
      <c r="GS79" s="230"/>
      <c r="GT79" s="87"/>
      <c r="GU79" s="187"/>
      <c r="GV79"/>
      <c r="GX79" s="235"/>
      <c r="GY79" s="235"/>
      <c r="GZ79" s="426"/>
      <c r="HA79"/>
    </row>
    <row r="80" spans="1:209" x14ac:dyDescent="0.25">
      <c r="D80" s="35"/>
      <c r="E80" s="36"/>
      <c r="F80" s="37"/>
      <c r="G80" s="38"/>
      <c r="H80" s="39"/>
      <c r="I80" s="40"/>
      <c r="J80" s="177"/>
      <c r="N80" s="212"/>
      <c r="P80" s="224"/>
      <c r="Q80" s="225"/>
      <c r="R80" s="226"/>
      <c r="S80" s="226"/>
      <c r="T80" s="226"/>
      <c r="U80" s="39"/>
      <c r="V80" s="217"/>
      <c r="Y80" s="227"/>
      <c r="Z80" s="228"/>
      <c r="AA80" s="229"/>
      <c r="AB80" s="36"/>
      <c r="AC80" s="229"/>
      <c r="AD80" s="230"/>
      <c r="AE80" s="87"/>
      <c r="AH80" s="227"/>
      <c r="AI80" s="228"/>
      <c r="AJ80" s="229"/>
      <c r="AK80" s="36"/>
      <c r="AL80" s="231"/>
      <c r="AM80" s="230"/>
      <c r="AN80" s="87"/>
      <c r="AQ80" s="227"/>
      <c r="AR80" s="228"/>
      <c r="AS80" s="229"/>
      <c r="AT80" s="36"/>
      <c r="AU80" s="229"/>
      <c r="AV80" s="230"/>
      <c r="AW80" s="87"/>
      <c r="AZ80" s="227"/>
      <c r="BA80" s="228"/>
      <c r="BB80" s="229"/>
      <c r="BC80" s="36"/>
      <c r="BD80" s="231"/>
      <c r="BE80" s="230"/>
      <c r="BF80" s="87"/>
      <c r="BI80" s="227"/>
      <c r="BJ80" s="228"/>
      <c r="BK80" s="229"/>
      <c r="BL80" s="36"/>
      <c r="BM80" s="231"/>
      <c r="BN80" s="230"/>
      <c r="BO80" s="87"/>
      <c r="BR80" s="227"/>
      <c r="BS80" s="228"/>
      <c r="BT80" s="229"/>
      <c r="BU80" s="36"/>
      <c r="BV80" s="229"/>
      <c r="BW80" s="230"/>
      <c r="BX80" s="87"/>
      <c r="CA80" s="227"/>
      <c r="CB80" s="228"/>
      <c r="CC80" s="229"/>
      <c r="CD80" s="36"/>
      <c r="CE80" s="229"/>
      <c r="CF80" s="230"/>
      <c r="CG80" s="87"/>
      <c r="CJ80" s="227"/>
      <c r="CK80" s="228"/>
      <c r="CL80" s="229"/>
      <c r="CM80" s="36"/>
      <c r="CN80" s="229"/>
      <c r="CO80" s="230"/>
      <c r="CP80" s="87"/>
      <c r="CS80" s="227"/>
      <c r="CT80" s="228"/>
      <c r="CU80" s="229"/>
      <c r="CV80" s="232"/>
      <c r="CW80" s="231"/>
      <c r="CX80" s="233"/>
      <c r="CY80" s="87"/>
      <c r="DB80" s="227"/>
      <c r="DC80" s="228"/>
      <c r="DD80" s="229"/>
      <c r="DE80" s="36"/>
      <c r="DF80" s="229"/>
      <c r="DG80" s="230"/>
      <c r="DH80" s="87"/>
      <c r="DK80" s="227"/>
      <c r="DL80" s="228"/>
      <c r="DM80" s="229"/>
      <c r="DN80" s="232"/>
      <c r="DO80" s="231"/>
      <c r="DP80" s="233"/>
      <c r="DQ80" s="87"/>
      <c r="DT80" s="227"/>
      <c r="DU80" s="228"/>
      <c r="DV80" s="229"/>
      <c r="DW80" s="36"/>
      <c r="DX80" s="229"/>
      <c r="DY80" s="230"/>
      <c r="DZ80" s="87"/>
      <c r="EC80" s="227"/>
      <c r="ED80" s="228"/>
      <c r="EE80" s="229"/>
      <c r="EF80" s="232"/>
      <c r="EG80" s="231"/>
      <c r="EH80" s="233"/>
      <c r="EI80" s="87"/>
      <c r="EL80" s="227"/>
      <c r="EM80" s="228"/>
      <c r="EN80" s="229"/>
      <c r="EO80" s="232"/>
      <c r="EP80" s="231"/>
      <c r="EQ80" s="233"/>
      <c r="ER80" s="87"/>
      <c r="EU80" s="227"/>
      <c r="EV80" s="228"/>
      <c r="EW80" s="229"/>
      <c r="EX80" s="36"/>
      <c r="EY80" s="229"/>
      <c r="EZ80" s="230"/>
      <c r="FA80" s="87"/>
      <c r="FD80" s="227"/>
      <c r="FE80" s="228"/>
      <c r="FF80" s="229"/>
      <c r="FG80" s="36"/>
      <c r="FH80" s="229"/>
      <c r="FI80" s="230"/>
      <c r="FJ80" s="87"/>
      <c r="FM80" s="227"/>
      <c r="FN80" s="228"/>
      <c r="FO80" s="229"/>
      <c r="FP80" s="36"/>
      <c r="FQ80" s="229"/>
      <c r="FR80" s="230"/>
      <c r="FS80" s="87"/>
      <c r="FV80" s="227"/>
      <c r="FW80" s="228"/>
      <c r="FX80" s="229"/>
      <c r="FY80" s="36"/>
      <c r="FZ80" s="229"/>
      <c r="GA80" s="230"/>
      <c r="GB80" s="87"/>
      <c r="GE80" s="227"/>
      <c r="GF80" s="228"/>
      <c r="GG80" s="229"/>
      <c r="GH80" s="36"/>
      <c r="GI80" s="229"/>
      <c r="GJ80" s="230"/>
      <c r="GK80" s="87"/>
      <c r="GN80" s="227"/>
      <c r="GO80" s="228"/>
      <c r="GP80" s="229"/>
      <c r="GQ80" s="36"/>
      <c r="GR80" s="229"/>
      <c r="GS80" s="230"/>
      <c r="GT80" s="87"/>
      <c r="GU80" s="187"/>
      <c r="GV80"/>
      <c r="GX80" s="235"/>
      <c r="GY80" s="235"/>
      <c r="GZ80" s="426"/>
      <c r="HA80"/>
    </row>
    <row r="81" spans="1:209" x14ac:dyDescent="0.25">
      <c r="A81" s="1">
        <v>25</v>
      </c>
      <c r="B81" t="e">
        <f>#REF!</f>
        <v>#REF!</v>
      </c>
      <c r="C81" t="e">
        <f>#REF!</f>
        <v>#REF!</v>
      </c>
      <c r="D81" s="35" t="e">
        <f>#REF!</f>
        <v>#REF!</v>
      </c>
      <c r="E81" s="36" t="e">
        <f>#REF!</f>
        <v>#REF!</v>
      </c>
      <c r="F81" s="37" t="e">
        <f>#REF!</f>
        <v>#REF!</v>
      </c>
      <c r="G81" s="38" t="e">
        <f>#REF!</f>
        <v>#REF!</v>
      </c>
      <c r="H81" s="39" t="e">
        <f>#REF!</f>
        <v>#REF!</v>
      </c>
      <c r="I81" s="40" t="e">
        <f>#REF!</f>
        <v>#REF!</v>
      </c>
      <c r="J81" s="177"/>
      <c r="N81" s="212"/>
      <c r="P81" s="224"/>
      <c r="Q81" s="240"/>
      <c r="R81" s="226"/>
      <c r="S81" s="226"/>
      <c r="T81" s="226"/>
      <c r="U81" s="39"/>
      <c r="V81" s="241"/>
      <c r="Y81" s="227"/>
      <c r="Z81" s="228"/>
      <c r="AA81" s="229"/>
      <c r="AB81" s="198"/>
      <c r="AC81" s="197"/>
      <c r="AD81" s="199"/>
      <c r="AE81" s="200"/>
      <c r="AH81" s="227"/>
      <c r="AI81" s="228"/>
      <c r="AJ81" s="229"/>
      <c r="AK81" s="232"/>
      <c r="AL81" s="231"/>
      <c r="AM81" s="233"/>
      <c r="AN81" s="87"/>
      <c r="AQ81" s="227"/>
      <c r="AR81" s="228">
        <v>21</v>
      </c>
      <c r="AS81" s="229"/>
      <c r="AT81" s="232"/>
      <c r="AU81" s="229"/>
      <c r="AV81" s="233"/>
      <c r="AW81" s="87"/>
      <c r="AZ81" s="227"/>
      <c r="BA81" s="228">
        <v>21</v>
      </c>
      <c r="BB81" s="229"/>
      <c r="BC81" s="232"/>
      <c r="BD81" s="231"/>
      <c r="BE81" s="233"/>
      <c r="BF81" s="87"/>
      <c r="BI81" s="227"/>
      <c r="BJ81" s="228"/>
      <c r="BK81" s="229"/>
      <c r="BL81" s="232"/>
      <c r="BM81" s="231"/>
      <c r="BN81" s="233"/>
      <c r="BO81" s="87"/>
      <c r="BR81" s="227"/>
      <c r="BS81" s="228"/>
      <c r="BT81" s="229"/>
      <c r="BU81" s="36"/>
      <c r="BV81" s="229"/>
      <c r="BW81" s="230"/>
      <c r="BX81" s="87"/>
      <c r="CA81" s="227"/>
      <c r="CB81" s="228"/>
      <c r="CC81" s="229"/>
      <c r="CD81" s="36"/>
      <c r="CE81" s="229"/>
      <c r="CF81" s="230"/>
      <c r="CG81" s="87"/>
      <c r="CJ81" s="227"/>
      <c r="CK81" s="228">
        <v>21</v>
      </c>
      <c r="CL81" s="229"/>
      <c r="CM81" s="36"/>
      <c r="CN81" s="229"/>
      <c r="CO81" s="230"/>
      <c r="CP81" s="87"/>
      <c r="CS81" s="227"/>
      <c r="CT81" s="228"/>
      <c r="CU81" s="229"/>
      <c r="CV81" s="232"/>
      <c r="CW81" s="231"/>
      <c r="CX81" s="233"/>
      <c r="CY81" s="87"/>
      <c r="DB81" s="227"/>
      <c r="DC81" s="228">
        <v>21</v>
      </c>
      <c r="DD81" s="229"/>
      <c r="DE81" s="36"/>
      <c r="DF81" s="229"/>
      <c r="DG81" s="230"/>
      <c r="DH81" s="87"/>
      <c r="DK81" s="227"/>
      <c r="DL81" s="228"/>
      <c r="DM81" s="229"/>
      <c r="DN81" s="232"/>
      <c r="DO81" s="231"/>
      <c r="DP81" s="233"/>
      <c r="DQ81" s="87"/>
      <c r="DT81" s="227"/>
      <c r="DU81" s="228"/>
      <c r="DV81" s="229"/>
      <c r="DW81" s="36"/>
      <c r="DX81" s="229"/>
      <c r="DY81" s="230"/>
      <c r="DZ81" s="87"/>
      <c r="EC81" s="227"/>
      <c r="ED81" s="228">
        <v>21</v>
      </c>
      <c r="EE81" s="229"/>
      <c r="EF81" s="232"/>
      <c r="EG81" s="231"/>
      <c r="EH81" s="233"/>
      <c r="EI81" s="87"/>
      <c r="EL81" s="227"/>
      <c r="EM81" s="228">
        <v>21</v>
      </c>
      <c r="EN81" s="229"/>
      <c r="EO81" s="232"/>
      <c r="EP81" s="231"/>
      <c r="EQ81" s="233"/>
      <c r="ER81" s="87"/>
      <c r="EU81" s="227"/>
      <c r="EV81" s="228">
        <v>21</v>
      </c>
      <c r="EW81" s="229"/>
      <c r="EX81" s="36"/>
      <c r="EY81" s="229"/>
      <c r="EZ81" s="230"/>
      <c r="FA81" s="87"/>
      <c r="FD81" s="227"/>
      <c r="FE81" s="228">
        <v>21</v>
      </c>
      <c r="FF81" s="229"/>
      <c r="FG81" s="36"/>
      <c r="FH81" s="229"/>
      <c r="FI81" s="230"/>
      <c r="FJ81" s="87"/>
      <c r="FM81" s="227"/>
      <c r="FN81" s="228">
        <v>21</v>
      </c>
      <c r="FO81" s="229"/>
      <c r="FP81" s="36"/>
      <c r="FQ81" s="229"/>
      <c r="FR81" s="230"/>
      <c r="FS81" s="87"/>
      <c r="FV81" s="227"/>
      <c r="FW81" s="228">
        <v>21</v>
      </c>
      <c r="FX81" s="229"/>
      <c r="FY81" s="36"/>
      <c r="FZ81" s="229"/>
      <c r="GA81" s="230"/>
      <c r="GB81" s="87"/>
      <c r="GE81" s="227"/>
      <c r="GF81" s="228">
        <v>21</v>
      </c>
      <c r="GG81" s="229"/>
      <c r="GH81" s="36"/>
      <c r="GI81" s="229"/>
      <c r="GJ81" s="230"/>
      <c r="GK81" s="87"/>
      <c r="GN81" s="227"/>
      <c r="GO81" s="228">
        <v>21</v>
      </c>
      <c r="GP81" s="229"/>
      <c r="GQ81" s="36"/>
      <c r="GR81" s="229"/>
      <c r="GS81" s="230"/>
      <c r="GT81" s="87"/>
      <c r="GU81" s="187"/>
      <c r="GV81"/>
      <c r="GX81" s="235"/>
      <c r="GY81" s="235"/>
      <c r="GZ81" s="426"/>
      <c r="HA81"/>
    </row>
    <row r="82" spans="1:209" x14ac:dyDescent="0.25">
      <c r="A82" s="1">
        <v>26</v>
      </c>
      <c r="B82" t="e">
        <f>#REF!</f>
        <v>#REF!</v>
      </c>
      <c r="C82" t="e">
        <f>#REF!</f>
        <v>#REF!</v>
      </c>
      <c r="D82" s="35" t="e">
        <f>#REF!</f>
        <v>#REF!</v>
      </c>
      <c r="E82" s="36" t="e">
        <f>#REF!</f>
        <v>#REF!</v>
      </c>
      <c r="F82" s="37" t="e">
        <f>#REF!</f>
        <v>#REF!</v>
      </c>
      <c r="G82" s="38" t="e">
        <f>#REF!</f>
        <v>#REF!</v>
      </c>
      <c r="H82" s="39" t="e">
        <f>#REF!</f>
        <v>#REF!</v>
      </c>
      <c r="I82" s="40" t="e">
        <f>#REF!</f>
        <v>#REF!</v>
      </c>
      <c r="J82" s="238"/>
      <c r="N82" s="212"/>
      <c r="U82" s="39"/>
      <c r="V82" s="242"/>
      <c r="Y82" s="227"/>
      <c r="Z82" s="228"/>
      <c r="AA82" s="229"/>
      <c r="AB82" s="36"/>
      <c r="AC82" s="229"/>
      <c r="AD82" s="230"/>
      <c r="AE82" s="87"/>
      <c r="AH82" s="227"/>
      <c r="AI82" s="228"/>
      <c r="AJ82" s="229"/>
      <c r="AK82" s="232"/>
      <c r="AL82" s="231"/>
      <c r="AM82" s="233"/>
      <c r="AN82" s="87"/>
      <c r="AQ82" s="227"/>
      <c r="AR82" s="228">
        <v>22</v>
      </c>
      <c r="AS82" s="231"/>
      <c r="AT82" s="232"/>
      <c r="AU82" s="229"/>
      <c r="AV82" s="233"/>
      <c r="AW82" s="87"/>
      <c r="AZ82" s="227"/>
      <c r="BA82" s="228">
        <v>22</v>
      </c>
      <c r="BB82" s="229"/>
      <c r="BC82" s="232"/>
      <c r="BD82" s="231"/>
      <c r="BE82" s="233"/>
      <c r="BF82" s="87"/>
      <c r="BI82" s="227"/>
      <c r="BJ82" s="228"/>
      <c r="BK82" s="229"/>
      <c r="BL82" s="232"/>
      <c r="BM82" s="231"/>
      <c r="BN82" s="233"/>
      <c r="BO82" s="87"/>
      <c r="BR82" s="227"/>
      <c r="BS82" s="228"/>
      <c r="BT82" s="229"/>
      <c r="BU82" s="36"/>
      <c r="BV82" s="229"/>
      <c r="BW82" s="230"/>
      <c r="BX82" s="87"/>
      <c r="CA82" s="227"/>
      <c r="CB82" s="228"/>
      <c r="CC82" s="229"/>
      <c r="CD82" s="36"/>
      <c r="CE82" s="229"/>
      <c r="CF82" s="230"/>
      <c r="CG82" s="87"/>
      <c r="CJ82" s="227"/>
      <c r="CK82" s="228">
        <v>22</v>
      </c>
      <c r="CL82" s="229"/>
      <c r="CM82" s="36"/>
      <c r="CN82" s="229"/>
      <c r="CO82" s="230"/>
      <c r="CP82" s="87"/>
      <c r="CS82" s="227"/>
      <c r="CT82" s="228"/>
      <c r="CU82" s="229"/>
      <c r="CV82" s="232"/>
      <c r="CW82" s="231"/>
      <c r="CX82" s="233"/>
      <c r="CY82" s="87"/>
      <c r="DB82" s="227"/>
      <c r="DC82" s="228">
        <v>22</v>
      </c>
      <c r="DD82" s="229"/>
      <c r="DE82" s="232"/>
      <c r="DF82" s="231"/>
      <c r="DG82" s="233"/>
      <c r="DH82" s="87"/>
      <c r="DK82" s="227"/>
      <c r="DL82" s="228"/>
      <c r="DM82" s="229">
        <v>0</v>
      </c>
      <c r="DN82" s="232"/>
      <c r="DO82" s="231"/>
      <c r="DP82" s="233"/>
      <c r="DQ82" s="87"/>
      <c r="DT82" s="227"/>
      <c r="DU82" s="228"/>
      <c r="DV82" s="229"/>
      <c r="DW82" s="36"/>
      <c r="DX82" s="229"/>
      <c r="DY82" s="230"/>
      <c r="DZ82" s="87"/>
      <c r="EC82" s="227"/>
      <c r="ED82" s="228">
        <v>22</v>
      </c>
      <c r="EE82" s="229"/>
      <c r="EF82" s="232"/>
      <c r="EG82" s="231"/>
      <c r="EH82" s="233"/>
      <c r="EI82" s="87"/>
      <c r="EL82" s="227"/>
      <c r="EM82" s="228">
        <v>22</v>
      </c>
      <c r="EN82" s="229"/>
      <c r="EO82" s="232"/>
      <c r="EP82" s="231"/>
      <c r="EQ82" s="233"/>
      <c r="ER82" s="87"/>
      <c r="EU82" s="227"/>
      <c r="EV82" s="228">
        <v>22</v>
      </c>
      <c r="EW82" s="229"/>
      <c r="EX82" s="36"/>
      <c r="EY82" s="229"/>
      <c r="EZ82" s="230"/>
      <c r="FA82" s="87"/>
      <c r="FD82" s="227"/>
      <c r="FE82" s="228">
        <v>22</v>
      </c>
      <c r="FF82" s="229"/>
      <c r="FG82" s="36"/>
      <c r="FH82" s="229"/>
      <c r="FI82" s="230"/>
      <c r="FJ82" s="87"/>
      <c r="FM82" s="227"/>
      <c r="FN82" s="228">
        <v>22</v>
      </c>
      <c r="FO82" s="229"/>
      <c r="FP82" s="36"/>
      <c r="FQ82" s="229"/>
      <c r="FR82" s="230"/>
      <c r="FS82" s="87"/>
      <c r="FV82" s="227"/>
      <c r="FW82" s="228">
        <v>22</v>
      </c>
      <c r="FX82" s="229"/>
      <c r="FY82" s="36"/>
      <c r="FZ82" s="229"/>
      <c r="GA82" s="230"/>
      <c r="GB82" s="87"/>
      <c r="GE82" s="227"/>
      <c r="GF82" s="228">
        <v>22</v>
      </c>
      <c r="GG82" s="229"/>
      <c r="GH82" s="36"/>
      <c r="GI82" s="229"/>
      <c r="GJ82" s="230"/>
      <c r="GK82" s="87"/>
      <c r="GN82" s="227"/>
      <c r="GO82" s="228">
        <v>22</v>
      </c>
      <c r="GP82" s="229"/>
      <c r="GQ82" s="36"/>
      <c r="GR82" s="229"/>
      <c r="GS82" s="230"/>
      <c r="GT82" s="87"/>
      <c r="GU82" s="187"/>
      <c r="GV82"/>
      <c r="GX82" s="235"/>
      <c r="GY82" s="235"/>
      <c r="GZ82" s="426"/>
      <c r="HA82"/>
    </row>
    <row r="83" spans="1:209" ht="16.5" thickBot="1" x14ac:dyDescent="0.3">
      <c r="A83" s="1">
        <v>27</v>
      </c>
      <c r="B83" t="e">
        <f>#REF!</f>
        <v>#REF!</v>
      </c>
      <c r="C83" t="e">
        <f>#REF!</f>
        <v>#REF!</v>
      </c>
      <c r="D83" s="35" t="e">
        <f>#REF!</f>
        <v>#REF!</v>
      </c>
      <c r="E83" s="36" t="e">
        <f>#REF!</f>
        <v>#REF!</v>
      </c>
      <c r="F83" s="37" t="e">
        <f>#REF!</f>
        <v>#REF!</v>
      </c>
      <c r="G83" s="38" t="e">
        <f>#REF!</f>
        <v>#REF!</v>
      </c>
      <c r="H83" s="39" t="e">
        <f>#REF!</f>
        <v>#REF!</v>
      </c>
      <c r="I83" s="40" t="e">
        <f>#REF!</f>
        <v>#REF!</v>
      </c>
      <c r="J83" s="238"/>
      <c r="V83" s="242"/>
      <c r="Y83" s="227"/>
      <c r="Z83" s="228"/>
      <c r="AA83" s="231"/>
      <c r="AB83" s="36"/>
      <c r="AC83" s="229"/>
      <c r="AD83" s="230"/>
      <c r="AE83" s="87"/>
      <c r="AH83" s="243"/>
      <c r="AI83" s="244"/>
      <c r="AJ83" s="245"/>
      <c r="AK83" s="246"/>
      <c r="AL83" s="247"/>
      <c r="AM83" s="248"/>
      <c r="AQ83" s="227"/>
      <c r="AR83" s="228">
        <v>23</v>
      </c>
      <c r="AS83" s="231"/>
      <c r="AT83" s="232"/>
      <c r="AU83" s="229"/>
      <c r="AV83" s="230"/>
      <c r="AW83" s="87"/>
      <c r="AZ83" s="227"/>
      <c r="BA83" s="228"/>
      <c r="BB83" s="231"/>
      <c r="BC83" s="232"/>
      <c r="BD83" s="249"/>
      <c r="BE83" s="230"/>
      <c r="BF83" s="87"/>
      <c r="BI83" s="243"/>
      <c r="BJ83" s="250"/>
      <c r="BK83" s="245"/>
      <c r="BL83" s="251"/>
      <c r="BM83" s="247"/>
      <c r="BN83" s="252"/>
      <c r="BO83" s="87"/>
      <c r="BS83" s="228"/>
      <c r="BT83" s="231"/>
      <c r="BU83" s="36"/>
      <c r="BV83" s="231"/>
      <c r="BW83" s="230"/>
      <c r="BX83" s="87"/>
      <c r="CA83" s="243"/>
      <c r="CB83" s="253"/>
      <c r="CC83" s="245"/>
      <c r="CD83" s="246"/>
      <c r="CE83" s="247"/>
      <c r="CF83" s="248"/>
      <c r="CJ83" s="227"/>
      <c r="CK83" s="228">
        <v>23</v>
      </c>
      <c r="CL83" s="231"/>
      <c r="CN83" s="231"/>
      <c r="CS83" s="243"/>
      <c r="CT83" s="253"/>
      <c r="CU83" s="245">
        <v>0</v>
      </c>
      <c r="CV83" s="246"/>
      <c r="CW83" s="247">
        <v>0</v>
      </c>
      <c r="CX83" s="248"/>
      <c r="DB83" s="243"/>
      <c r="DC83" s="253"/>
      <c r="DD83" s="245">
        <v>0</v>
      </c>
      <c r="DE83" s="246"/>
      <c r="DF83" s="247">
        <v>0</v>
      </c>
      <c r="DG83" s="248"/>
      <c r="DK83" s="243"/>
      <c r="DL83" s="253"/>
      <c r="DM83" s="245">
        <v>0</v>
      </c>
      <c r="DN83" s="246"/>
      <c r="DO83" s="247">
        <v>0</v>
      </c>
      <c r="DP83" s="248"/>
      <c r="DT83" s="243"/>
      <c r="DU83" s="253"/>
      <c r="DV83" s="245">
        <v>0</v>
      </c>
      <c r="DW83" s="246"/>
      <c r="DX83" s="247">
        <v>0</v>
      </c>
      <c r="DY83" s="248"/>
      <c r="EC83" s="243"/>
      <c r="ED83" s="253"/>
      <c r="EE83" s="245">
        <v>0</v>
      </c>
      <c r="EF83" s="246"/>
      <c r="EG83" s="247">
        <v>0</v>
      </c>
      <c r="EH83" s="248"/>
      <c r="EL83" s="243"/>
      <c r="EM83" s="253"/>
      <c r="EN83" s="245">
        <v>0</v>
      </c>
      <c r="EO83" s="246"/>
      <c r="EP83" s="247">
        <v>0</v>
      </c>
      <c r="EQ83" s="248"/>
      <c r="EU83" s="243"/>
      <c r="EV83" s="253"/>
      <c r="EW83" s="245">
        <v>0</v>
      </c>
      <c r="EX83" s="246"/>
      <c r="EY83" s="247">
        <v>0</v>
      </c>
      <c r="EZ83" s="248"/>
      <c r="FD83" s="243"/>
      <c r="FE83" s="253"/>
      <c r="FF83" s="245">
        <v>0</v>
      </c>
      <c r="FG83" s="246"/>
      <c r="FH83" s="247">
        <v>0</v>
      </c>
      <c r="FI83" s="248"/>
      <c r="FM83" s="243"/>
      <c r="FN83" s="253"/>
      <c r="FO83" s="245">
        <v>0</v>
      </c>
      <c r="FP83" s="246"/>
      <c r="FQ83" s="247">
        <v>0</v>
      </c>
      <c r="FR83" s="248"/>
      <c r="FV83" s="243"/>
      <c r="FW83" s="253"/>
      <c r="FX83" s="245">
        <v>0</v>
      </c>
      <c r="FY83" s="246"/>
      <c r="FZ83" s="247">
        <v>0</v>
      </c>
      <c r="GA83" s="248"/>
      <c r="GE83" s="243"/>
      <c r="GF83" s="253"/>
      <c r="GG83" s="245">
        <v>0</v>
      </c>
      <c r="GH83" s="246"/>
      <c r="GI83" s="247">
        <v>0</v>
      </c>
      <c r="GJ83" s="248"/>
      <c r="GN83" s="243"/>
      <c r="GO83" s="253"/>
      <c r="GP83" s="245">
        <v>0</v>
      </c>
      <c r="GQ83" s="246"/>
      <c r="GR83" s="247">
        <v>0</v>
      </c>
      <c r="GS83" s="248"/>
      <c r="GV83"/>
      <c r="GX83" s="235"/>
      <c r="GY83" s="235"/>
      <c r="GZ83" s="426"/>
      <c r="HA83"/>
    </row>
    <row r="84" spans="1:209" x14ac:dyDescent="0.25">
      <c r="J84" s="177"/>
      <c r="K84" s="178"/>
      <c r="U84" s="39"/>
      <c r="V84" s="217"/>
      <c r="GV84"/>
      <c r="GX84" s="235"/>
      <c r="GY84" s="235"/>
      <c r="GZ84" s="426"/>
      <c r="HA84"/>
    </row>
    <row r="85" spans="1:209" x14ac:dyDescent="0.25">
      <c r="J85" s="238"/>
      <c r="K85" s="178"/>
      <c r="U85" s="39"/>
      <c r="V85" s="217"/>
      <c r="GV85"/>
      <c r="GX85" s="235"/>
      <c r="GY85" s="235"/>
      <c r="GZ85" s="426"/>
      <c r="HA85"/>
    </row>
    <row r="86" spans="1:209" x14ac:dyDescent="0.25">
      <c r="J86" s="177"/>
      <c r="K86" s="178"/>
      <c r="P86" s="224"/>
      <c r="Q86" s="225"/>
      <c r="R86" s="226"/>
      <c r="S86" s="226"/>
      <c r="T86" s="226"/>
      <c r="U86" s="39"/>
      <c r="V86" s="217"/>
      <c r="GV86"/>
      <c r="GX86" s="235"/>
      <c r="GY86" s="235"/>
      <c r="GZ86" s="426"/>
      <c r="HA86"/>
    </row>
    <row r="87" spans="1:209" x14ac:dyDescent="0.25">
      <c r="J87" s="238"/>
      <c r="K87" s="178"/>
      <c r="N87" s="212"/>
      <c r="P87" s="224"/>
      <c r="Q87" s="225"/>
      <c r="R87" s="226"/>
      <c r="S87" s="226"/>
      <c r="T87" s="226"/>
      <c r="U87" s="39"/>
      <c r="V87" s="217"/>
      <c r="GV87"/>
      <c r="GX87" s="235"/>
      <c r="GY87" s="235"/>
      <c r="GZ87" s="426"/>
      <c r="HA87"/>
    </row>
    <row r="88" spans="1:209" x14ac:dyDescent="0.25">
      <c r="J88" s="177"/>
      <c r="K88" s="178"/>
      <c r="N88" s="212"/>
      <c r="P88" s="884"/>
      <c r="Q88" s="884"/>
      <c r="R88" s="884"/>
      <c r="U88" s="39"/>
      <c r="V88" s="217"/>
      <c r="GV88"/>
      <c r="GX88" s="235"/>
      <c r="GY88" s="235"/>
      <c r="GZ88" s="426"/>
      <c r="HA88"/>
    </row>
    <row r="89" spans="1:209" x14ac:dyDescent="0.25">
      <c r="J89" s="238"/>
      <c r="GV89"/>
      <c r="GX89" s="235"/>
      <c r="GY89" s="235"/>
      <c r="GZ89" s="426"/>
      <c r="HA89"/>
    </row>
    <row r="90" spans="1:209" x14ac:dyDescent="0.25">
      <c r="J90" s="177"/>
      <c r="GV90"/>
      <c r="GX90" s="235"/>
      <c r="GY90" s="235"/>
      <c r="GZ90" s="426"/>
      <c r="HA90"/>
    </row>
    <row r="91" spans="1:209" ht="15" x14ac:dyDescent="0.25">
      <c r="A91"/>
      <c r="F91"/>
      <c r="J91" s="177"/>
      <c r="K91" s="254"/>
      <c r="L91" s="254"/>
      <c r="M91"/>
      <c r="N91"/>
      <c r="O91"/>
      <c r="P91" s="37"/>
      <c r="Q91"/>
      <c r="R91"/>
      <c r="S91"/>
      <c r="T91"/>
      <c r="W91"/>
      <c r="X91"/>
      <c r="GV91"/>
      <c r="GX91" s="235"/>
      <c r="GY91" s="235"/>
      <c r="GZ91" s="426"/>
      <c r="HA91"/>
    </row>
    <row r="92" spans="1:209" ht="15" x14ac:dyDescent="0.25">
      <c r="A92"/>
      <c r="F92"/>
      <c r="J92" s="238"/>
      <c r="K92" s="254"/>
      <c r="L92" s="254"/>
      <c r="M92"/>
      <c r="N92"/>
      <c r="O92"/>
      <c r="P92" s="37"/>
      <c r="Q92"/>
      <c r="R92"/>
      <c r="S92"/>
      <c r="T92"/>
      <c r="W92"/>
      <c r="X92"/>
      <c r="GV92"/>
      <c r="GX92" s="235"/>
      <c r="GY92" s="235"/>
      <c r="GZ92" s="426"/>
      <c r="HA92"/>
    </row>
    <row r="93" spans="1:209" ht="15" x14ac:dyDescent="0.25">
      <c r="A93"/>
      <c r="F93"/>
      <c r="J93" s="238"/>
      <c r="K93" s="254"/>
      <c r="L93" s="254"/>
      <c r="M93"/>
      <c r="N93"/>
      <c r="O93"/>
      <c r="P93" s="37"/>
      <c r="Q93"/>
      <c r="R93"/>
      <c r="S93"/>
      <c r="T93"/>
      <c r="W93"/>
      <c r="X93"/>
      <c r="GV93"/>
      <c r="GX93" s="235"/>
      <c r="GY93" s="235"/>
      <c r="GZ93" s="426"/>
      <c r="HA93"/>
    </row>
    <row r="94" spans="1:209" ht="15" x14ac:dyDescent="0.25">
      <c r="A94"/>
      <c r="F94"/>
      <c r="J94" s="238"/>
      <c r="K94" s="254"/>
      <c r="L94" s="254"/>
      <c r="M94"/>
      <c r="N94"/>
      <c r="O94"/>
      <c r="P94" s="37"/>
      <c r="Q94"/>
      <c r="R94"/>
      <c r="S94"/>
      <c r="T94"/>
      <c r="W94"/>
      <c r="X94"/>
      <c r="GV94"/>
      <c r="GX94" s="235"/>
      <c r="GY94" s="235"/>
      <c r="GZ94" s="426"/>
      <c r="HA94"/>
    </row>
    <row r="95" spans="1:209" ht="15" x14ac:dyDescent="0.25">
      <c r="A95"/>
      <c r="F95"/>
      <c r="J95" s="255"/>
      <c r="K95" s="254"/>
      <c r="L95" s="254"/>
      <c r="M95"/>
      <c r="N95"/>
      <c r="O95"/>
      <c r="P95" s="37"/>
      <c r="Q95"/>
      <c r="R95"/>
      <c r="S95"/>
      <c r="T95"/>
      <c r="W95"/>
      <c r="X95"/>
      <c r="GV95"/>
      <c r="GX95" s="235"/>
      <c r="GY95" s="235"/>
      <c r="GZ95" s="426"/>
      <c r="HA95"/>
    </row>
    <row r="96" spans="1:209" ht="15" x14ac:dyDescent="0.25">
      <c r="A96"/>
      <c r="F96"/>
      <c r="J96" s="208"/>
      <c r="K96" s="254"/>
      <c r="L96" s="254"/>
      <c r="M96"/>
      <c r="N96"/>
      <c r="O96"/>
      <c r="P96" s="37"/>
      <c r="Q96"/>
      <c r="R96"/>
      <c r="S96"/>
      <c r="T96"/>
      <c r="W96"/>
      <c r="X96"/>
      <c r="GV96"/>
      <c r="GX96" s="235"/>
      <c r="GY96" s="235"/>
      <c r="GZ96" s="426"/>
      <c r="HA96"/>
    </row>
    <row r="97" spans="1:209" ht="15" x14ac:dyDescent="0.25">
      <c r="A97"/>
      <c r="F97"/>
      <c r="J97" s="177"/>
      <c r="K97" s="254"/>
      <c r="L97" s="254"/>
      <c r="M97"/>
      <c r="N97"/>
      <c r="O97"/>
      <c r="P97" s="37"/>
      <c r="Q97"/>
      <c r="R97"/>
      <c r="S97"/>
      <c r="T97"/>
      <c r="W97"/>
      <c r="X97"/>
      <c r="GV97"/>
      <c r="GX97" s="235"/>
      <c r="GY97" s="235"/>
      <c r="GZ97" s="426"/>
      <c r="HA97"/>
    </row>
    <row r="98" spans="1:209" ht="15" x14ac:dyDescent="0.25">
      <c r="A98"/>
      <c r="F98"/>
      <c r="J98" s="177"/>
      <c r="K98" s="254"/>
      <c r="L98" s="254"/>
      <c r="M98"/>
      <c r="N98"/>
      <c r="O98"/>
      <c r="P98" s="37"/>
      <c r="Q98"/>
      <c r="R98"/>
      <c r="S98"/>
      <c r="T98"/>
      <c r="W98"/>
      <c r="X98"/>
      <c r="GV98"/>
      <c r="GX98" s="235"/>
      <c r="GY98" s="235"/>
      <c r="GZ98" s="426"/>
      <c r="HA98"/>
    </row>
    <row r="99" spans="1:209" ht="15" x14ac:dyDescent="0.25">
      <c r="A99"/>
      <c r="F99"/>
      <c r="J99" s="177"/>
      <c r="K99" s="254"/>
      <c r="L99" s="254"/>
      <c r="M99"/>
      <c r="N99"/>
      <c r="O99"/>
      <c r="P99" s="37"/>
      <c r="Q99"/>
      <c r="R99"/>
      <c r="S99"/>
      <c r="T99"/>
      <c r="W99"/>
      <c r="X99"/>
      <c r="GV99"/>
      <c r="GX99" s="235"/>
      <c r="GY99" s="235"/>
      <c r="GZ99" s="426"/>
      <c r="HA99"/>
    </row>
    <row r="100" spans="1:209" ht="15" x14ac:dyDescent="0.25">
      <c r="A100"/>
      <c r="F100"/>
      <c r="J100" s="177"/>
      <c r="K100" s="254"/>
      <c r="L100" s="254"/>
      <c r="M100"/>
      <c r="N100"/>
      <c r="O100"/>
      <c r="P100" s="37"/>
      <c r="Q100"/>
      <c r="R100"/>
      <c r="S100"/>
      <c r="T100"/>
      <c r="W100"/>
      <c r="X100"/>
      <c r="GV100"/>
      <c r="GX100" s="235"/>
      <c r="GY100" s="235"/>
      <c r="GZ100" s="426"/>
      <c r="HA100"/>
    </row>
    <row r="101" spans="1:209" ht="15" x14ac:dyDescent="0.25">
      <c r="A101"/>
      <c r="F101"/>
      <c r="J101" s="177"/>
      <c r="K101" s="254"/>
      <c r="L101" s="254"/>
      <c r="M101"/>
      <c r="N101"/>
      <c r="O101"/>
      <c r="P101" s="37"/>
      <c r="Q101"/>
      <c r="R101"/>
      <c r="S101"/>
      <c r="T101"/>
      <c r="W101"/>
      <c r="X101"/>
      <c r="GV101"/>
      <c r="GX101" s="235"/>
      <c r="GY101" s="235"/>
      <c r="GZ101" s="426"/>
      <c r="HA101"/>
    </row>
    <row r="102" spans="1:209" ht="15" x14ac:dyDescent="0.25">
      <c r="A102"/>
      <c r="F102"/>
      <c r="J102" s="177"/>
      <c r="K102" s="254"/>
      <c r="L102" s="254"/>
      <c r="M102"/>
      <c r="N102"/>
      <c r="O102"/>
      <c r="P102" s="37"/>
      <c r="Q102"/>
      <c r="R102"/>
      <c r="S102"/>
      <c r="T102"/>
      <c r="W102"/>
      <c r="X102"/>
      <c r="GV102"/>
      <c r="GX102" s="235"/>
      <c r="GY102" s="235"/>
      <c r="GZ102" s="426"/>
      <c r="HA102"/>
    </row>
    <row r="103" spans="1:209" ht="15" x14ac:dyDescent="0.25">
      <c r="A103"/>
      <c r="F103"/>
      <c r="J103" s="177"/>
      <c r="K103" s="254"/>
      <c r="L103" s="254"/>
      <c r="M103"/>
      <c r="N103"/>
      <c r="O103"/>
      <c r="P103" s="37"/>
      <c r="Q103"/>
      <c r="R103"/>
      <c r="S103"/>
      <c r="T103"/>
      <c r="W103"/>
      <c r="X103"/>
      <c r="GV103"/>
      <c r="GX103" s="235"/>
      <c r="GY103" s="235"/>
      <c r="GZ103" s="426"/>
      <c r="HA103"/>
    </row>
  </sheetData>
  <mergeCells count="28">
    <mergeCell ref="GD1:GJ1"/>
    <mergeCell ref="GM1:GS1"/>
    <mergeCell ref="S39:T39"/>
    <mergeCell ref="N70:O70"/>
    <mergeCell ref="P70:P71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P74:R74"/>
    <mergeCell ref="P77:R78"/>
    <mergeCell ref="U77:V78"/>
    <mergeCell ref="P88:R88"/>
    <mergeCell ref="FU1:GA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N176"/>
  <sheetViews>
    <sheetView topLeftCell="A118" workbookViewId="0">
      <selection activeCell="A111" sqref="A111"/>
    </sheetView>
  </sheetViews>
  <sheetFormatPr baseColWidth="10" defaultRowHeight="15" x14ac:dyDescent="0.25"/>
  <cols>
    <col min="1" max="1" width="25.5703125" style="8" customWidth="1"/>
    <col min="2" max="2" width="15" style="8" customWidth="1"/>
    <col min="3" max="3" width="11.42578125" style="62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2.42578125" style="697" customWidth="1"/>
    <col min="9" max="9" width="11.85546875" style="8" customWidth="1"/>
    <col min="10" max="11" width="11.42578125" style="195"/>
  </cols>
  <sheetData>
    <row r="1" spans="1:14" ht="21" x14ac:dyDescent="0.35">
      <c r="A1" s="885" t="s">
        <v>1209</v>
      </c>
      <c r="B1" s="885"/>
      <c r="C1" s="885"/>
      <c r="D1" s="885"/>
      <c r="E1" s="885"/>
      <c r="F1" s="885"/>
      <c r="G1" s="885"/>
    </row>
    <row r="2" spans="1:14" ht="15.75" thickBot="1" x14ac:dyDescent="0.3">
      <c r="D2" s="260"/>
    </row>
    <row r="3" spans="1:14" ht="16.5" thickTop="1" thickBot="1" x14ac:dyDescent="0.3">
      <c r="A3" s="262" t="s">
        <v>8</v>
      </c>
      <c r="B3" s="262" t="s">
        <v>16</v>
      </c>
      <c r="C3" s="263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698"/>
    </row>
    <row r="4" spans="1:14" ht="15.75" thickTop="1" x14ac:dyDescent="0.25">
      <c r="A4" s="268" t="s">
        <v>1173</v>
      </c>
      <c r="B4" s="268" t="s">
        <v>1210</v>
      </c>
      <c r="C4" s="31">
        <v>42767</v>
      </c>
      <c r="D4" s="696">
        <v>3979</v>
      </c>
      <c r="E4" s="261">
        <v>452</v>
      </c>
      <c r="F4" s="29">
        <v>48</v>
      </c>
      <c r="G4" s="39">
        <f>F4*E4+110.2*60+144.4*27</f>
        <v>32206.799999999999</v>
      </c>
      <c r="H4" s="697">
        <v>42767</v>
      </c>
      <c r="I4" s="8" t="s">
        <v>1172</v>
      </c>
    </row>
    <row r="5" spans="1:14" x14ac:dyDescent="0.25">
      <c r="A5" s="268" t="s">
        <v>1171</v>
      </c>
      <c r="B5" s="268" t="s">
        <v>206</v>
      </c>
      <c r="C5" s="31">
        <v>42767</v>
      </c>
      <c r="D5" s="270">
        <f>D4+1</f>
        <v>3980</v>
      </c>
      <c r="E5" s="261">
        <v>1089.4000000000001</v>
      </c>
      <c r="F5" s="29">
        <v>65</v>
      </c>
      <c r="G5" s="39">
        <f t="shared" ref="G5:G15" si="0">F5*E5</f>
        <v>70811</v>
      </c>
      <c r="H5" s="697">
        <v>42767</v>
      </c>
      <c r="I5" s="8" t="s">
        <v>1172</v>
      </c>
    </row>
    <row r="6" spans="1:14" x14ac:dyDescent="0.25">
      <c r="A6" s="268" t="s">
        <v>1179</v>
      </c>
      <c r="B6" s="268" t="s">
        <v>206</v>
      </c>
      <c r="C6" s="31">
        <v>42767</v>
      </c>
      <c r="D6" s="270">
        <f t="shared" ref="D6:D69" si="1">D5+1</f>
        <v>3981</v>
      </c>
      <c r="E6" s="261">
        <v>802.4</v>
      </c>
      <c r="F6" s="29">
        <v>64</v>
      </c>
      <c r="G6" s="39">
        <f t="shared" si="0"/>
        <v>51353.599999999999</v>
      </c>
      <c r="H6" s="697">
        <v>42769</v>
      </c>
      <c r="I6" s="8" t="s">
        <v>1172</v>
      </c>
    </row>
    <row r="7" spans="1:14" x14ac:dyDescent="0.25">
      <c r="A7" s="268" t="s">
        <v>1220</v>
      </c>
      <c r="B7" s="268" t="s">
        <v>1212</v>
      </c>
      <c r="C7" s="31">
        <v>42767</v>
      </c>
      <c r="D7" s="270">
        <f t="shared" si="1"/>
        <v>3982</v>
      </c>
      <c r="E7" s="261">
        <v>233.48</v>
      </c>
      <c r="F7" s="29">
        <v>56</v>
      </c>
      <c r="G7" s="39">
        <f t="shared" si="0"/>
        <v>13074.88</v>
      </c>
      <c r="H7" s="697">
        <v>42786</v>
      </c>
      <c r="I7" s="8" t="s">
        <v>1172</v>
      </c>
      <c r="J7" s="195" t="s">
        <v>1338</v>
      </c>
    </row>
    <row r="8" spans="1:14" x14ac:dyDescent="0.25">
      <c r="A8" s="268" t="s">
        <v>1220</v>
      </c>
      <c r="B8" s="268" t="s">
        <v>1212</v>
      </c>
      <c r="C8" s="31">
        <v>42768</v>
      </c>
      <c r="D8" s="270">
        <f t="shared" si="1"/>
        <v>3983</v>
      </c>
      <c r="E8" s="261">
        <v>72</v>
      </c>
      <c r="F8" s="29">
        <v>60</v>
      </c>
      <c r="G8" s="39">
        <f t="shared" si="0"/>
        <v>4320</v>
      </c>
      <c r="H8" s="697">
        <v>42786</v>
      </c>
      <c r="I8" s="8" t="s">
        <v>1172</v>
      </c>
      <c r="J8" s="195" t="s">
        <v>1339</v>
      </c>
    </row>
    <row r="9" spans="1:14" x14ac:dyDescent="0.25">
      <c r="A9" s="268" t="s">
        <v>1171</v>
      </c>
      <c r="B9" s="268" t="s">
        <v>206</v>
      </c>
      <c r="C9" s="31">
        <v>42768</v>
      </c>
      <c r="D9" s="270">
        <f t="shared" si="1"/>
        <v>3984</v>
      </c>
      <c r="E9" s="261">
        <v>1464</v>
      </c>
      <c r="F9" s="29">
        <v>65</v>
      </c>
      <c r="G9" s="39">
        <f t="shared" si="0"/>
        <v>95160</v>
      </c>
      <c r="H9" s="697">
        <v>42768</v>
      </c>
      <c r="I9" s="8" t="s">
        <v>1172</v>
      </c>
    </row>
    <row r="10" spans="1:14" x14ac:dyDescent="0.25">
      <c r="A10" s="268" t="s">
        <v>1211</v>
      </c>
      <c r="B10" s="268" t="s">
        <v>1212</v>
      </c>
      <c r="C10" s="31">
        <v>42768</v>
      </c>
      <c r="D10" s="270">
        <f t="shared" si="1"/>
        <v>3985</v>
      </c>
      <c r="E10" s="261">
        <v>11.8</v>
      </c>
      <c r="F10" s="29">
        <v>60</v>
      </c>
      <c r="G10" s="39">
        <f t="shared" si="0"/>
        <v>708</v>
      </c>
      <c r="H10" s="697">
        <v>42768</v>
      </c>
      <c r="I10" s="8" t="s">
        <v>1172</v>
      </c>
    </row>
    <row r="11" spans="1:14" x14ac:dyDescent="0.25">
      <c r="A11" s="268" t="s">
        <v>1257</v>
      </c>
      <c r="B11" s="268" t="s">
        <v>1258</v>
      </c>
      <c r="C11" s="31">
        <v>42769</v>
      </c>
      <c r="D11" s="270">
        <f t="shared" si="1"/>
        <v>3986</v>
      </c>
      <c r="E11" s="261">
        <v>699</v>
      </c>
      <c r="F11" s="29">
        <v>15</v>
      </c>
      <c r="G11" s="39">
        <f t="shared" si="0"/>
        <v>10485</v>
      </c>
      <c r="H11" s="697">
        <v>42802</v>
      </c>
      <c r="I11" s="8" t="s">
        <v>1172</v>
      </c>
    </row>
    <row r="12" spans="1:14" x14ac:dyDescent="0.25">
      <c r="A12" s="268" t="s">
        <v>237</v>
      </c>
      <c r="B12" s="268" t="s">
        <v>206</v>
      </c>
      <c r="C12" s="31">
        <v>42769</v>
      </c>
      <c r="D12" s="270">
        <f t="shared" si="1"/>
        <v>3987</v>
      </c>
      <c r="E12" s="261">
        <v>736</v>
      </c>
      <c r="F12" s="29">
        <v>65</v>
      </c>
      <c r="G12" s="39">
        <f t="shared" si="0"/>
        <v>47840</v>
      </c>
      <c r="H12" s="697">
        <v>42769</v>
      </c>
      <c r="I12" s="8" t="s">
        <v>1172</v>
      </c>
    </row>
    <row r="13" spans="1:14" x14ac:dyDescent="0.25">
      <c r="A13" s="268" t="s">
        <v>1213</v>
      </c>
      <c r="B13" s="268" t="s">
        <v>206</v>
      </c>
      <c r="C13" s="31">
        <v>42769</v>
      </c>
      <c r="D13" s="270">
        <f t="shared" si="1"/>
        <v>3988</v>
      </c>
      <c r="E13" s="261">
        <v>330.9</v>
      </c>
      <c r="F13" s="29">
        <v>66</v>
      </c>
      <c r="G13" s="39">
        <f t="shared" si="0"/>
        <v>21839.399999999998</v>
      </c>
      <c r="H13" s="697">
        <v>42769</v>
      </c>
      <c r="I13" s="8" t="s">
        <v>1172</v>
      </c>
    </row>
    <row r="14" spans="1:14" x14ac:dyDescent="0.25">
      <c r="A14" s="268" t="s">
        <v>1197</v>
      </c>
      <c r="B14" s="268" t="s">
        <v>206</v>
      </c>
      <c r="C14" s="31">
        <v>42769</v>
      </c>
      <c r="D14" s="270">
        <f t="shared" si="1"/>
        <v>3989</v>
      </c>
      <c r="E14" s="261">
        <v>2.9</v>
      </c>
      <c r="F14" s="29">
        <v>67</v>
      </c>
      <c r="G14" s="39">
        <f t="shared" si="0"/>
        <v>194.29999999999998</v>
      </c>
      <c r="H14" s="697">
        <v>42769</v>
      </c>
      <c r="I14" s="8" t="s">
        <v>1172</v>
      </c>
    </row>
    <row r="15" spans="1:14" x14ac:dyDescent="0.25">
      <c r="A15" s="268" t="s">
        <v>1220</v>
      </c>
      <c r="B15" s="268" t="s">
        <v>1183</v>
      </c>
      <c r="C15" s="31">
        <v>42769</v>
      </c>
      <c r="D15" s="270">
        <f t="shared" si="1"/>
        <v>3990</v>
      </c>
      <c r="E15" s="261">
        <v>71190</v>
      </c>
      <c r="F15" s="29">
        <v>1</v>
      </c>
      <c r="G15" s="39">
        <f t="shared" si="0"/>
        <v>71190</v>
      </c>
      <c r="H15" s="697">
        <v>42775</v>
      </c>
      <c r="I15" s="8" t="s">
        <v>1172</v>
      </c>
    </row>
    <row r="16" spans="1:14" x14ac:dyDescent="0.25">
      <c r="A16" s="268" t="s">
        <v>1171</v>
      </c>
      <c r="B16" s="268" t="s">
        <v>206</v>
      </c>
      <c r="C16" s="269">
        <v>42769</v>
      </c>
      <c r="D16" s="270">
        <f t="shared" si="1"/>
        <v>3991</v>
      </c>
      <c r="E16" s="261">
        <v>926.2</v>
      </c>
      <c r="F16" s="29">
        <v>65</v>
      </c>
      <c r="G16" s="39">
        <f>F16*E16+170*71</f>
        <v>72273</v>
      </c>
      <c r="H16" s="697">
        <v>42769</v>
      </c>
      <c r="I16" s="8" t="s">
        <v>1172</v>
      </c>
      <c r="L16" s="195"/>
      <c r="M16" s="195"/>
      <c r="N16" s="195"/>
    </row>
    <row r="17" spans="1:14" x14ac:dyDescent="0.25">
      <c r="A17" s="268" t="s">
        <v>1197</v>
      </c>
      <c r="B17" s="268" t="s">
        <v>1195</v>
      </c>
      <c r="C17" s="269">
        <v>42770</v>
      </c>
      <c r="D17" s="270">
        <f t="shared" si="1"/>
        <v>3992</v>
      </c>
      <c r="E17" s="261">
        <v>132.6</v>
      </c>
      <c r="F17" s="29">
        <v>49</v>
      </c>
      <c r="G17" s="39">
        <f t="shared" ref="G17:G136" si="2">F17*E17</f>
        <v>6497.4</v>
      </c>
      <c r="H17" s="697">
        <v>42774</v>
      </c>
      <c r="I17" s="8" t="s">
        <v>1172</v>
      </c>
      <c r="L17" s="195"/>
      <c r="M17" s="195"/>
      <c r="N17" s="195"/>
    </row>
    <row r="18" spans="1:14" x14ac:dyDescent="0.25">
      <c r="A18" s="268" t="s">
        <v>1213</v>
      </c>
      <c r="B18" s="268" t="s">
        <v>206</v>
      </c>
      <c r="C18" s="269">
        <v>42770</v>
      </c>
      <c r="D18" s="270">
        <f t="shared" si="1"/>
        <v>3993</v>
      </c>
      <c r="E18" s="261">
        <v>401</v>
      </c>
      <c r="F18" s="29">
        <v>66</v>
      </c>
      <c r="G18" s="39">
        <f t="shared" si="2"/>
        <v>26466</v>
      </c>
      <c r="H18" s="697">
        <v>42770</v>
      </c>
      <c r="I18" s="8" t="s">
        <v>1172</v>
      </c>
      <c r="L18" s="195"/>
      <c r="M18" s="195"/>
      <c r="N18" s="195"/>
    </row>
    <row r="19" spans="1:14" x14ac:dyDescent="0.25">
      <c r="A19" s="268" t="s">
        <v>1171</v>
      </c>
      <c r="B19" s="268" t="s">
        <v>206</v>
      </c>
      <c r="C19" s="269">
        <v>42770</v>
      </c>
      <c r="D19" s="270">
        <f t="shared" si="1"/>
        <v>3994</v>
      </c>
      <c r="E19" s="261">
        <v>1775.3</v>
      </c>
      <c r="F19" s="29">
        <v>65</v>
      </c>
      <c r="G19" s="39">
        <f t="shared" si="2"/>
        <v>115394.5</v>
      </c>
      <c r="H19" s="697">
        <v>42770</v>
      </c>
      <c r="I19" s="8" t="s">
        <v>1172</v>
      </c>
      <c r="L19" s="195"/>
      <c r="M19" s="195"/>
      <c r="N19" s="195"/>
    </row>
    <row r="20" spans="1:14" x14ac:dyDescent="0.25">
      <c r="A20" s="268" t="s">
        <v>1197</v>
      </c>
      <c r="B20" s="268" t="s">
        <v>1195</v>
      </c>
      <c r="C20" s="269">
        <v>42770</v>
      </c>
      <c r="D20" s="270">
        <f t="shared" si="1"/>
        <v>3995</v>
      </c>
      <c r="E20" s="261">
        <v>133.69999999999999</v>
      </c>
      <c r="F20" s="29">
        <v>49</v>
      </c>
      <c r="G20" s="39">
        <f t="shared" si="2"/>
        <v>6551.2999999999993</v>
      </c>
      <c r="H20" s="697">
        <v>42774</v>
      </c>
      <c r="I20" s="8" t="s">
        <v>1172</v>
      </c>
      <c r="L20" s="195"/>
      <c r="M20" s="195"/>
      <c r="N20" s="195"/>
    </row>
    <row r="21" spans="1:14" x14ac:dyDescent="0.25">
      <c r="A21" s="268" t="s">
        <v>1197</v>
      </c>
      <c r="B21" s="268" t="s">
        <v>1195</v>
      </c>
      <c r="C21" s="269">
        <v>42771</v>
      </c>
      <c r="D21" s="270">
        <f t="shared" si="1"/>
        <v>3996</v>
      </c>
      <c r="E21" s="261">
        <v>129.24</v>
      </c>
      <c r="F21" s="29">
        <v>50</v>
      </c>
      <c r="G21" s="39">
        <f t="shared" si="2"/>
        <v>6462</v>
      </c>
      <c r="H21" s="697">
        <v>42774</v>
      </c>
      <c r="I21" s="8" t="s">
        <v>1172</v>
      </c>
      <c r="L21" s="195"/>
      <c r="M21" s="195"/>
      <c r="N21" s="195"/>
    </row>
    <row r="22" spans="1:14" x14ac:dyDescent="0.25">
      <c r="A22" s="268" t="s">
        <v>1197</v>
      </c>
      <c r="B22" s="268" t="s">
        <v>1203</v>
      </c>
      <c r="C22" s="269">
        <v>42771</v>
      </c>
      <c r="D22" s="270">
        <f t="shared" si="1"/>
        <v>3997</v>
      </c>
      <c r="E22" s="261">
        <v>87.6</v>
      </c>
      <c r="F22" s="29">
        <v>40</v>
      </c>
      <c r="G22" s="39">
        <f t="shared" si="2"/>
        <v>3504</v>
      </c>
      <c r="H22" s="697">
        <v>42774</v>
      </c>
      <c r="I22" s="8" t="s">
        <v>1172</v>
      </c>
      <c r="L22" s="195"/>
      <c r="M22" s="195"/>
      <c r="N22" s="195"/>
    </row>
    <row r="23" spans="1:14" x14ac:dyDescent="0.25">
      <c r="A23" s="268" t="s">
        <v>1180</v>
      </c>
      <c r="B23" s="268" t="s">
        <v>1214</v>
      </c>
      <c r="C23" s="269">
        <v>42771</v>
      </c>
      <c r="D23" s="270">
        <f t="shared" si="1"/>
        <v>3998</v>
      </c>
      <c r="E23" s="261">
        <v>446.2</v>
      </c>
      <c r="F23" s="29">
        <v>35</v>
      </c>
      <c r="G23" s="39">
        <f t="shared" si="2"/>
        <v>15617</v>
      </c>
      <c r="H23" s="697">
        <v>42771</v>
      </c>
      <c r="I23" s="8" t="s">
        <v>1172</v>
      </c>
      <c r="L23" s="195"/>
      <c r="M23" s="195"/>
      <c r="N23" s="195"/>
    </row>
    <row r="24" spans="1:14" x14ac:dyDescent="0.25">
      <c r="A24" s="268" t="s">
        <v>1197</v>
      </c>
      <c r="B24" s="268" t="s">
        <v>1195</v>
      </c>
      <c r="C24" s="269">
        <v>42772</v>
      </c>
      <c r="D24" s="270">
        <f t="shared" si="1"/>
        <v>3999</v>
      </c>
      <c r="E24" s="261">
        <v>280.52</v>
      </c>
      <c r="F24" s="29">
        <v>51</v>
      </c>
      <c r="G24" s="39">
        <f t="shared" si="2"/>
        <v>14306.519999999999</v>
      </c>
      <c r="H24" s="697">
        <v>42774</v>
      </c>
      <c r="I24" s="8" t="s">
        <v>1172</v>
      </c>
      <c r="L24" s="195"/>
      <c r="M24" s="195"/>
      <c r="N24" s="195"/>
    </row>
    <row r="25" spans="1:14" x14ac:dyDescent="0.25">
      <c r="A25" s="268" t="s">
        <v>1213</v>
      </c>
      <c r="B25" s="268" t="s">
        <v>206</v>
      </c>
      <c r="C25" s="269">
        <v>42772</v>
      </c>
      <c r="D25" s="270">
        <f t="shared" si="1"/>
        <v>4000</v>
      </c>
      <c r="E25" s="261">
        <v>335.9</v>
      </c>
      <c r="F25" s="29">
        <v>66</v>
      </c>
      <c r="G25" s="39">
        <f t="shared" si="2"/>
        <v>22169.399999999998</v>
      </c>
      <c r="H25" s="697">
        <v>42772</v>
      </c>
      <c r="I25" s="8" t="s">
        <v>1172</v>
      </c>
      <c r="L25" s="195"/>
      <c r="M25" s="195"/>
      <c r="N25" s="195"/>
    </row>
    <row r="26" spans="1:14" x14ac:dyDescent="0.25">
      <c r="A26" s="268" t="s">
        <v>1171</v>
      </c>
      <c r="B26" s="268" t="s">
        <v>206</v>
      </c>
      <c r="C26" s="269">
        <v>42772</v>
      </c>
      <c r="D26" s="270">
        <f t="shared" si="1"/>
        <v>4001</v>
      </c>
      <c r="E26" s="261">
        <v>1476.8</v>
      </c>
      <c r="F26" s="29">
        <v>65</v>
      </c>
      <c r="G26" s="39">
        <f t="shared" si="2"/>
        <v>95992</v>
      </c>
      <c r="H26" s="697">
        <v>42772</v>
      </c>
      <c r="I26" s="8" t="s">
        <v>1172</v>
      </c>
      <c r="L26" s="195"/>
      <c r="M26" s="195"/>
      <c r="N26" s="195"/>
    </row>
    <row r="27" spans="1:14" x14ac:dyDescent="0.25">
      <c r="A27" s="268" t="s">
        <v>1197</v>
      </c>
      <c r="B27" s="268" t="s">
        <v>1203</v>
      </c>
      <c r="C27" s="269">
        <v>42772</v>
      </c>
      <c r="D27" s="270">
        <f t="shared" si="1"/>
        <v>4002</v>
      </c>
      <c r="E27" s="261">
        <v>266.95999999999998</v>
      </c>
      <c r="F27" s="29">
        <v>37.700000000000003</v>
      </c>
      <c r="G27" s="39">
        <f t="shared" si="2"/>
        <v>10064.392</v>
      </c>
      <c r="H27" s="697">
        <v>42774</v>
      </c>
      <c r="I27" s="8" t="s">
        <v>1172</v>
      </c>
      <c r="L27" s="195"/>
      <c r="M27" s="195"/>
      <c r="N27" s="195"/>
    </row>
    <row r="28" spans="1:14" x14ac:dyDescent="0.25">
      <c r="A28" s="268" t="s">
        <v>1184</v>
      </c>
      <c r="B28" s="268" t="s">
        <v>1215</v>
      </c>
      <c r="C28" s="269">
        <v>42772</v>
      </c>
      <c r="D28" s="270">
        <f t="shared" si="1"/>
        <v>4003</v>
      </c>
      <c r="E28" s="261">
        <v>380.6</v>
      </c>
      <c r="F28" s="29">
        <v>94</v>
      </c>
      <c r="G28" s="39">
        <f t="shared" si="2"/>
        <v>35776.400000000001</v>
      </c>
      <c r="H28" s="697">
        <v>42773</v>
      </c>
      <c r="I28" s="8" t="s">
        <v>1172</v>
      </c>
      <c r="L28" s="195"/>
      <c r="M28" s="195"/>
      <c r="N28" s="195"/>
    </row>
    <row r="29" spans="1:14" x14ac:dyDescent="0.25">
      <c r="A29" s="268" t="s">
        <v>1171</v>
      </c>
      <c r="B29" s="268" t="s">
        <v>1217</v>
      </c>
      <c r="C29" s="269">
        <v>42773</v>
      </c>
      <c r="D29" s="270">
        <f t="shared" si="1"/>
        <v>4004</v>
      </c>
      <c r="E29" s="261">
        <v>155.38</v>
      </c>
      <c r="F29" s="29">
        <v>71</v>
      </c>
      <c r="G29" s="39">
        <f>F29*E29+1274*65</f>
        <v>93841.98</v>
      </c>
      <c r="H29" s="697">
        <v>42774</v>
      </c>
      <c r="I29" s="8" t="s">
        <v>1172</v>
      </c>
      <c r="L29" s="195"/>
      <c r="M29" s="195"/>
      <c r="N29" s="195"/>
    </row>
    <row r="30" spans="1:14" x14ac:dyDescent="0.25">
      <c r="A30" s="268" t="s">
        <v>1220</v>
      </c>
      <c r="B30" s="268" t="s">
        <v>1344</v>
      </c>
      <c r="C30" s="269">
        <v>42773</v>
      </c>
      <c r="D30" s="270">
        <f t="shared" si="1"/>
        <v>4005</v>
      </c>
      <c r="E30" s="261">
        <v>108.4</v>
      </c>
      <c r="F30" s="29">
        <v>52</v>
      </c>
      <c r="G30" s="39">
        <f>F30*E30+44.44*44+70.2*38+109.3*52</f>
        <v>15943.36</v>
      </c>
      <c r="H30" s="697">
        <v>42788</v>
      </c>
      <c r="I30" s="8" t="s">
        <v>1172</v>
      </c>
      <c r="J30" s="195" t="s">
        <v>1345</v>
      </c>
      <c r="L30" s="195"/>
      <c r="M30" s="195"/>
      <c r="N30" s="195"/>
    </row>
    <row r="31" spans="1:14" x14ac:dyDescent="0.25">
      <c r="A31" s="268" t="s">
        <v>1336</v>
      </c>
      <c r="B31" s="268" t="s">
        <v>1203</v>
      </c>
      <c r="C31" s="269">
        <v>43137</v>
      </c>
      <c r="D31" s="270">
        <f t="shared" si="1"/>
        <v>4006</v>
      </c>
      <c r="E31" s="261">
        <v>82</v>
      </c>
      <c r="F31" s="29">
        <v>39.5</v>
      </c>
      <c r="G31" s="39">
        <f t="shared" si="2"/>
        <v>3239</v>
      </c>
      <c r="H31" s="697">
        <v>42786</v>
      </c>
      <c r="I31" s="8" t="s">
        <v>1172</v>
      </c>
      <c r="L31" s="195"/>
      <c r="M31" s="195"/>
      <c r="N31" s="195"/>
    </row>
    <row r="32" spans="1:14" x14ac:dyDescent="0.25">
      <c r="A32" s="268" t="s">
        <v>1216</v>
      </c>
      <c r="B32" s="268" t="s">
        <v>1222</v>
      </c>
      <c r="C32" s="269">
        <v>42773</v>
      </c>
      <c r="D32" s="270">
        <f t="shared" si="1"/>
        <v>4007</v>
      </c>
      <c r="E32" s="261">
        <v>1005</v>
      </c>
      <c r="F32" s="29">
        <v>14</v>
      </c>
      <c r="G32" s="39">
        <f t="shared" si="2"/>
        <v>14070</v>
      </c>
      <c r="H32" s="697">
        <v>42776</v>
      </c>
      <c r="I32" s="8" t="s">
        <v>1172</v>
      </c>
      <c r="L32" s="195"/>
      <c r="M32" s="195"/>
      <c r="N32" s="195"/>
    </row>
    <row r="33" spans="1:14" x14ac:dyDescent="0.25">
      <c r="A33" s="268" t="s">
        <v>1216</v>
      </c>
      <c r="B33" s="268" t="s">
        <v>1210</v>
      </c>
      <c r="C33" s="269">
        <v>42773</v>
      </c>
      <c r="D33" s="270">
        <f t="shared" si="1"/>
        <v>4008</v>
      </c>
      <c r="E33" s="261">
        <v>203.4</v>
      </c>
      <c r="F33" s="29">
        <v>48</v>
      </c>
      <c r="G33" s="39">
        <f>F33*E33+79.6*27</f>
        <v>11912.400000000001</v>
      </c>
      <c r="H33" s="697">
        <v>42774</v>
      </c>
      <c r="I33" s="8" t="s">
        <v>1172</v>
      </c>
      <c r="L33" s="195"/>
      <c r="M33" s="195"/>
      <c r="N33" s="195"/>
    </row>
    <row r="34" spans="1:14" x14ac:dyDescent="0.25">
      <c r="A34" s="268" t="s">
        <v>1171</v>
      </c>
      <c r="B34" s="268" t="s">
        <v>206</v>
      </c>
      <c r="C34" s="269">
        <v>42776</v>
      </c>
      <c r="D34" s="270">
        <f t="shared" si="1"/>
        <v>4009</v>
      </c>
      <c r="E34" s="261">
        <v>945.9</v>
      </c>
      <c r="F34" s="29">
        <v>65</v>
      </c>
      <c r="G34" s="39">
        <f t="shared" si="2"/>
        <v>61483.5</v>
      </c>
      <c r="H34" s="697">
        <v>42775</v>
      </c>
      <c r="I34" s="8" t="s">
        <v>1172</v>
      </c>
      <c r="L34" s="195"/>
      <c r="M34" s="195"/>
      <c r="N34" s="195"/>
    </row>
    <row r="35" spans="1:14" x14ac:dyDescent="0.25">
      <c r="A35" s="268" t="s">
        <v>1216</v>
      </c>
      <c r="B35" s="268" t="s">
        <v>1210</v>
      </c>
      <c r="C35" s="269">
        <v>42774</v>
      </c>
      <c r="D35" s="270">
        <f t="shared" si="1"/>
        <v>4010</v>
      </c>
      <c r="E35" s="261">
        <v>71.099999999999994</v>
      </c>
      <c r="F35" s="29">
        <v>48</v>
      </c>
      <c r="G35" s="39">
        <f>F35*E35+60.8*60</f>
        <v>7060.7999999999993</v>
      </c>
      <c r="H35" s="697">
        <v>42774</v>
      </c>
      <c r="I35" s="8" t="s">
        <v>1172</v>
      </c>
      <c r="L35" s="195"/>
      <c r="M35" s="195"/>
      <c r="N35" s="195"/>
    </row>
    <row r="36" spans="1:14" x14ac:dyDescent="0.25">
      <c r="A36" s="268" t="s">
        <v>1330</v>
      </c>
      <c r="B36" s="268" t="s">
        <v>1233</v>
      </c>
      <c r="C36" s="269">
        <v>42774</v>
      </c>
      <c r="D36" s="270">
        <f t="shared" si="1"/>
        <v>4011</v>
      </c>
      <c r="E36" s="261">
        <v>50</v>
      </c>
      <c r="F36" s="29">
        <v>54</v>
      </c>
      <c r="G36" s="39">
        <f t="shared" si="2"/>
        <v>2700</v>
      </c>
      <c r="H36" s="697">
        <v>42779</v>
      </c>
      <c r="I36" s="8" t="s">
        <v>1172</v>
      </c>
      <c r="L36" s="195"/>
      <c r="M36" s="195"/>
      <c r="N36" s="195"/>
    </row>
    <row r="37" spans="1:14" x14ac:dyDescent="0.25">
      <c r="A37" s="268" t="s">
        <v>1213</v>
      </c>
      <c r="B37" s="268" t="s">
        <v>206</v>
      </c>
      <c r="C37" s="269">
        <v>42774</v>
      </c>
      <c r="D37" s="270">
        <f t="shared" si="1"/>
        <v>4012</v>
      </c>
      <c r="E37" s="261">
        <v>348.8</v>
      </c>
      <c r="F37" s="29">
        <v>66</v>
      </c>
      <c r="G37" s="39">
        <f t="shared" si="2"/>
        <v>23020.799999999999</v>
      </c>
      <c r="H37" s="697">
        <v>42775</v>
      </c>
      <c r="I37" s="8" t="s">
        <v>1172</v>
      </c>
      <c r="L37" s="195"/>
      <c r="M37" s="195"/>
      <c r="N37" s="195"/>
    </row>
    <row r="38" spans="1:14" x14ac:dyDescent="0.25">
      <c r="A38" s="268" t="s">
        <v>1202</v>
      </c>
      <c r="B38" s="268" t="s">
        <v>1193</v>
      </c>
      <c r="C38" s="269">
        <v>42775</v>
      </c>
      <c r="D38" s="270">
        <f t="shared" si="1"/>
        <v>4013</v>
      </c>
      <c r="E38" s="261">
        <v>16.36</v>
      </c>
      <c r="F38" s="29">
        <v>21</v>
      </c>
      <c r="G38" s="39">
        <f t="shared" si="2"/>
        <v>343.56</v>
      </c>
      <c r="H38" s="697">
        <v>42775</v>
      </c>
      <c r="I38" s="8" t="s">
        <v>1172</v>
      </c>
      <c r="L38" s="195"/>
      <c r="M38" s="195"/>
      <c r="N38" s="195"/>
    </row>
    <row r="39" spans="1:14" x14ac:dyDescent="0.25">
      <c r="A39" s="268" t="s">
        <v>1213</v>
      </c>
      <c r="B39" s="268" t="s">
        <v>206</v>
      </c>
      <c r="C39" s="269">
        <v>42775</v>
      </c>
      <c r="D39" s="270">
        <f t="shared" si="1"/>
        <v>4014</v>
      </c>
      <c r="E39" s="261">
        <v>361.7</v>
      </c>
      <c r="F39" s="29">
        <v>66</v>
      </c>
      <c r="G39" s="39">
        <f t="shared" si="2"/>
        <v>23872.2</v>
      </c>
      <c r="H39" s="697">
        <v>42775</v>
      </c>
      <c r="I39" s="8" t="s">
        <v>1172</v>
      </c>
      <c r="L39" s="195"/>
      <c r="M39" s="195"/>
      <c r="N39" s="195"/>
    </row>
    <row r="40" spans="1:14" x14ac:dyDescent="0.25">
      <c r="A40" s="268" t="s">
        <v>1221</v>
      </c>
      <c r="B40" s="268" t="s">
        <v>241</v>
      </c>
      <c r="C40" s="269">
        <v>42775</v>
      </c>
      <c r="D40" s="270">
        <f t="shared" si="1"/>
        <v>4015</v>
      </c>
      <c r="E40" s="261">
        <v>390</v>
      </c>
      <c r="F40" s="29">
        <v>30</v>
      </c>
      <c r="G40" s="39">
        <f t="shared" si="2"/>
        <v>11700</v>
      </c>
      <c r="H40" s="697">
        <v>42775</v>
      </c>
      <c r="I40" s="8" t="s">
        <v>1172</v>
      </c>
      <c r="L40" s="195"/>
      <c r="M40" s="195"/>
      <c r="N40" s="195"/>
    </row>
    <row r="41" spans="1:14" x14ac:dyDescent="0.25">
      <c r="A41" s="268" t="s">
        <v>237</v>
      </c>
      <c r="B41" s="268" t="s">
        <v>1327</v>
      </c>
      <c r="C41" s="269">
        <v>42775</v>
      </c>
      <c r="D41" s="270">
        <f t="shared" si="1"/>
        <v>4016</v>
      </c>
      <c r="E41" s="261">
        <v>306.3</v>
      </c>
      <c r="F41" s="29">
        <v>77</v>
      </c>
      <c r="G41" s="39">
        <f>F41*E41+141.3*70</f>
        <v>33476.100000000006</v>
      </c>
      <c r="H41" s="697">
        <v>42777</v>
      </c>
      <c r="I41" s="8" t="s">
        <v>1172</v>
      </c>
      <c r="L41" s="195"/>
      <c r="M41" s="195"/>
      <c r="N41" s="195"/>
    </row>
    <row r="42" spans="1:14" x14ac:dyDescent="0.25">
      <c r="A42" s="268" t="s">
        <v>176</v>
      </c>
      <c r="B42" s="268"/>
      <c r="C42" s="269"/>
      <c r="D42" s="270">
        <f t="shared" si="1"/>
        <v>4017</v>
      </c>
      <c r="G42" s="39">
        <f t="shared" si="2"/>
        <v>0</v>
      </c>
      <c r="L42" s="195"/>
      <c r="M42" s="195"/>
      <c r="N42" s="195"/>
    </row>
    <row r="43" spans="1:14" x14ac:dyDescent="0.25">
      <c r="A43" s="268" t="s">
        <v>1218</v>
      </c>
      <c r="B43" s="268" t="s">
        <v>1219</v>
      </c>
      <c r="C43" s="269">
        <v>42775</v>
      </c>
      <c r="D43" s="270">
        <f t="shared" si="1"/>
        <v>4018</v>
      </c>
      <c r="E43" s="261">
        <v>90</v>
      </c>
      <c r="F43" s="29">
        <v>26</v>
      </c>
      <c r="G43" s="39">
        <f>F43*E43+4.8*65</f>
        <v>2652</v>
      </c>
      <c r="H43" s="697">
        <v>42775</v>
      </c>
      <c r="I43" s="8" t="s">
        <v>1172</v>
      </c>
      <c r="L43" s="195"/>
      <c r="M43" s="195"/>
      <c r="N43" s="195"/>
    </row>
    <row r="44" spans="1:14" x14ac:dyDescent="0.25">
      <c r="A44" s="268" t="s">
        <v>1171</v>
      </c>
      <c r="B44" s="268" t="s">
        <v>206</v>
      </c>
      <c r="C44" s="269">
        <v>42775</v>
      </c>
      <c r="D44" s="270">
        <f t="shared" si="1"/>
        <v>4019</v>
      </c>
      <c r="E44" s="261">
        <v>933.7</v>
      </c>
      <c r="F44" s="29">
        <v>65</v>
      </c>
      <c r="G44" s="39">
        <f t="shared" si="2"/>
        <v>60690.5</v>
      </c>
      <c r="H44" s="697">
        <v>42775</v>
      </c>
      <c r="I44" s="8" t="s">
        <v>1172</v>
      </c>
      <c r="L44" s="195"/>
      <c r="M44" s="195"/>
      <c r="N44" s="195"/>
    </row>
    <row r="45" spans="1:14" x14ac:dyDescent="0.25">
      <c r="A45" s="268" t="s">
        <v>1220</v>
      </c>
      <c r="B45" s="268" t="s">
        <v>207</v>
      </c>
      <c r="C45" s="269">
        <v>42775</v>
      </c>
      <c r="D45" s="270">
        <f t="shared" si="1"/>
        <v>4020</v>
      </c>
      <c r="E45" s="261">
        <v>151.4</v>
      </c>
      <c r="F45" s="29">
        <v>38</v>
      </c>
      <c r="G45" s="39">
        <f t="shared" si="2"/>
        <v>5753.2</v>
      </c>
      <c r="H45" s="702">
        <v>42815</v>
      </c>
      <c r="I45" s="701" t="s">
        <v>1172</v>
      </c>
      <c r="J45" s="195" t="s">
        <v>1290</v>
      </c>
      <c r="L45" s="195"/>
      <c r="M45" s="195"/>
      <c r="N45" s="195"/>
    </row>
    <row r="46" spans="1:14" x14ac:dyDescent="0.25">
      <c r="A46" s="268" t="s">
        <v>1213</v>
      </c>
      <c r="B46" s="268" t="s">
        <v>206</v>
      </c>
      <c r="C46" s="269">
        <v>42776</v>
      </c>
      <c r="D46" s="270">
        <f t="shared" si="1"/>
        <v>4021</v>
      </c>
      <c r="E46" s="261">
        <v>298.39999999999998</v>
      </c>
      <c r="F46" s="29">
        <v>66</v>
      </c>
      <c r="G46" s="39">
        <f t="shared" si="2"/>
        <v>19694.399999999998</v>
      </c>
      <c r="H46" s="697">
        <v>42776</v>
      </c>
      <c r="I46" s="8" t="s">
        <v>1172</v>
      </c>
      <c r="L46" s="195"/>
      <c r="M46" s="195"/>
      <c r="N46" s="195"/>
    </row>
    <row r="47" spans="1:14" x14ac:dyDescent="0.25">
      <c r="A47" s="268" t="s">
        <v>237</v>
      </c>
      <c r="B47" s="268" t="s">
        <v>206</v>
      </c>
      <c r="C47" s="269">
        <v>42776</v>
      </c>
      <c r="D47" s="270">
        <f t="shared" si="1"/>
        <v>4022</v>
      </c>
      <c r="E47" s="261">
        <v>788</v>
      </c>
      <c r="F47" s="29">
        <v>65</v>
      </c>
      <c r="G47" s="39">
        <f t="shared" si="2"/>
        <v>51220</v>
      </c>
      <c r="H47" s="697">
        <v>42776</v>
      </c>
      <c r="I47" s="8" t="s">
        <v>1172</v>
      </c>
      <c r="L47" s="195"/>
      <c r="M47" s="195"/>
      <c r="N47" s="195"/>
    </row>
    <row r="48" spans="1:14" x14ac:dyDescent="0.25">
      <c r="A48" s="268" t="s">
        <v>1171</v>
      </c>
      <c r="B48" s="268" t="s">
        <v>206</v>
      </c>
      <c r="C48" s="269">
        <v>42776</v>
      </c>
      <c r="D48" s="270">
        <f t="shared" si="1"/>
        <v>4023</v>
      </c>
      <c r="E48" s="261">
        <v>694.1</v>
      </c>
      <c r="F48" s="29">
        <v>65</v>
      </c>
      <c r="G48" s="39">
        <f t="shared" si="2"/>
        <v>45116.5</v>
      </c>
      <c r="H48" s="697">
        <v>42776</v>
      </c>
      <c r="I48" s="8" t="s">
        <v>1172</v>
      </c>
      <c r="L48" s="195"/>
      <c r="M48" s="195"/>
      <c r="N48" s="195"/>
    </row>
    <row r="49" spans="1:14" x14ac:dyDescent="0.25">
      <c r="A49" s="268" t="s">
        <v>1220</v>
      </c>
      <c r="B49" s="268" t="s">
        <v>1276</v>
      </c>
      <c r="C49" s="269">
        <v>42776</v>
      </c>
      <c r="D49" s="270">
        <f t="shared" si="1"/>
        <v>4024</v>
      </c>
      <c r="E49" s="261">
        <v>343.5</v>
      </c>
      <c r="F49" s="29">
        <v>17</v>
      </c>
      <c r="G49" s="39">
        <f>F49*E49+123.85*16</f>
        <v>7821.1</v>
      </c>
      <c r="H49" s="697">
        <v>42788</v>
      </c>
      <c r="I49" s="8" t="s">
        <v>1172</v>
      </c>
      <c r="J49" s="195" t="s">
        <v>1346</v>
      </c>
      <c r="L49" s="195"/>
      <c r="M49" s="195"/>
      <c r="N49" s="195"/>
    </row>
    <row r="50" spans="1:14" x14ac:dyDescent="0.25">
      <c r="A50" s="268" t="s">
        <v>1213</v>
      </c>
      <c r="B50" s="268" t="s">
        <v>206</v>
      </c>
      <c r="C50" s="269">
        <v>42777</v>
      </c>
      <c r="D50" s="270">
        <f t="shared" si="1"/>
        <v>4025</v>
      </c>
      <c r="E50" s="261">
        <v>407.2</v>
      </c>
      <c r="F50" s="29">
        <v>66</v>
      </c>
      <c r="G50" s="39">
        <f t="shared" si="2"/>
        <v>26875.200000000001</v>
      </c>
      <c r="H50" s="697">
        <v>42777</v>
      </c>
      <c r="I50" s="8" t="s">
        <v>1172</v>
      </c>
      <c r="L50" s="195"/>
      <c r="M50" s="195"/>
      <c r="N50" s="195"/>
    </row>
    <row r="51" spans="1:14" x14ac:dyDescent="0.25">
      <c r="A51" s="268" t="s">
        <v>176</v>
      </c>
      <c r="B51" s="268"/>
      <c r="C51" s="269"/>
      <c r="D51" s="270">
        <f t="shared" si="1"/>
        <v>4026</v>
      </c>
      <c r="G51" s="39">
        <f t="shared" si="2"/>
        <v>0</v>
      </c>
      <c r="L51" s="195"/>
      <c r="M51" s="195"/>
      <c r="N51" s="195"/>
    </row>
    <row r="52" spans="1:14" x14ac:dyDescent="0.25">
      <c r="A52" s="268" t="s">
        <v>1171</v>
      </c>
      <c r="B52" s="268" t="s">
        <v>206</v>
      </c>
      <c r="C52" s="269">
        <v>42777</v>
      </c>
      <c r="D52" s="270">
        <f t="shared" si="1"/>
        <v>4027</v>
      </c>
      <c r="E52" s="261">
        <v>2008.3</v>
      </c>
      <c r="F52" s="29">
        <v>65</v>
      </c>
      <c r="G52" s="39">
        <f t="shared" si="2"/>
        <v>130539.5</v>
      </c>
      <c r="H52" s="697">
        <v>42779</v>
      </c>
      <c r="I52" s="8" t="s">
        <v>1172</v>
      </c>
      <c r="L52" s="195"/>
      <c r="M52" s="195"/>
      <c r="N52" s="195"/>
    </row>
    <row r="53" spans="1:14" x14ac:dyDescent="0.25">
      <c r="A53" s="268" t="s">
        <v>176</v>
      </c>
      <c r="B53" s="268"/>
      <c r="C53" s="269"/>
      <c r="D53" s="270">
        <f t="shared" si="1"/>
        <v>4028</v>
      </c>
      <c r="G53" s="39">
        <f t="shared" si="2"/>
        <v>0</v>
      </c>
      <c r="L53" s="195"/>
      <c r="M53" s="195"/>
      <c r="N53" s="195"/>
    </row>
    <row r="54" spans="1:14" x14ac:dyDescent="0.25">
      <c r="A54" s="268" t="s">
        <v>1171</v>
      </c>
      <c r="B54" s="268" t="s">
        <v>206</v>
      </c>
      <c r="C54" s="269">
        <v>42777</v>
      </c>
      <c r="D54" s="270">
        <f t="shared" si="1"/>
        <v>4029</v>
      </c>
      <c r="E54" s="261">
        <v>1150.9000000000001</v>
      </c>
      <c r="F54" s="29">
        <v>65</v>
      </c>
      <c r="G54" s="39">
        <f t="shared" si="2"/>
        <v>74808.5</v>
      </c>
      <c r="H54" s="697">
        <v>42777</v>
      </c>
      <c r="I54" s="8" t="s">
        <v>1172</v>
      </c>
      <c r="L54" s="195"/>
      <c r="M54" s="195"/>
      <c r="N54" s="195"/>
    </row>
    <row r="55" spans="1:14" x14ac:dyDescent="0.25">
      <c r="A55" s="268" t="s">
        <v>1328</v>
      </c>
      <c r="B55" s="268" t="s">
        <v>1177</v>
      </c>
      <c r="C55" s="269">
        <v>42777</v>
      </c>
      <c r="D55" s="270">
        <f t="shared" si="1"/>
        <v>4030</v>
      </c>
      <c r="E55" s="261">
        <v>22</v>
      </c>
      <c r="F55" s="29">
        <v>49</v>
      </c>
      <c r="G55" s="39">
        <f t="shared" si="2"/>
        <v>1078</v>
      </c>
      <c r="H55" s="697">
        <v>42777</v>
      </c>
      <c r="I55" s="8" t="s">
        <v>1329</v>
      </c>
      <c r="L55" s="195"/>
      <c r="M55" s="195"/>
      <c r="N55" s="195"/>
    </row>
    <row r="56" spans="1:14" x14ac:dyDescent="0.25">
      <c r="A56" s="268" t="s">
        <v>1220</v>
      </c>
      <c r="B56" s="268" t="s">
        <v>1322</v>
      </c>
      <c r="C56" s="269">
        <v>42778</v>
      </c>
      <c r="D56" s="270">
        <f t="shared" si="1"/>
        <v>4031</v>
      </c>
      <c r="E56" s="261">
        <v>20.5</v>
      </c>
      <c r="F56" s="29">
        <v>38</v>
      </c>
      <c r="G56" s="39">
        <f>F56*E56+38.2*48+97.7*70+70.1*56</f>
        <v>13377.2</v>
      </c>
      <c r="H56" s="697">
        <v>42788</v>
      </c>
      <c r="I56" s="8" t="s">
        <v>1172</v>
      </c>
      <c r="J56" s="195" t="s">
        <v>1347</v>
      </c>
      <c r="L56" s="195"/>
      <c r="M56" s="195"/>
      <c r="N56" s="195"/>
    </row>
    <row r="57" spans="1:14" x14ac:dyDescent="0.25">
      <c r="A57" s="268" t="s">
        <v>1180</v>
      </c>
      <c r="B57" s="268" t="s">
        <v>1214</v>
      </c>
      <c r="C57" s="269">
        <v>42778</v>
      </c>
      <c r="D57" s="270">
        <f t="shared" si="1"/>
        <v>4032</v>
      </c>
      <c r="E57" s="261">
        <v>474.6</v>
      </c>
      <c r="F57" s="29">
        <v>35</v>
      </c>
      <c r="G57" s="39">
        <f t="shared" si="2"/>
        <v>16611</v>
      </c>
      <c r="H57" s="697">
        <v>42778</v>
      </c>
      <c r="I57" s="8" t="s">
        <v>1172</v>
      </c>
      <c r="L57" s="195"/>
      <c r="M57" s="195"/>
      <c r="N57" s="195"/>
    </row>
    <row r="58" spans="1:14" x14ac:dyDescent="0.25">
      <c r="A58" s="268" t="s">
        <v>361</v>
      </c>
      <c r="B58" s="268" t="s">
        <v>1212</v>
      </c>
      <c r="C58" s="269">
        <v>42779</v>
      </c>
      <c r="D58" s="270">
        <f t="shared" si="1"/>
        <v>4033</v>
      </c>
      <c r="E58" s="261">
        <v>159.13999999999999</v>
      </c>
      <c r="F58" s="29">
        <v>59</v>
      </c>
      <c r="G58" s="39">
        <f t="shared" si="2"/>
        <v>9389.2599999999984</v>
      </c>
      <c r="H58" s="697">
        <v>42811</v>
      </c>
      <c r="I58" s="8" t="s">
        <v>1172</v>
      </c>
      <c r="L58" s="195"/>
      <c r="M58" s="195"/>
      <c r="N58" s="195"/>
    </row>
    <row r="59" spans="1:14" x14ac:dyDescent="0.25">
      <c r="A59" s="268" t="s">
        <v>1213</v>
      </c>
      <c r="B59" s="268" t="s">
        <v>206</v>
      </c>
      <c r="C59" s="269">
        <v>42777</v>
      </c>
      <c r="D59" s="270">
        <f t="shared" si="1"/>
        <v>4034</v>
      </c>
      <c r="E59" s="261">
        <v>333.1</v>
      </c>
      <c r="F59" s="29">
        <v>66</v>
      </c>
      <c r="G59" s="39">
        <f t="shared" si="2"/>
        <v>21984.600000000002</v>
      </c>
      <c r="H59" s="697">
        <v>42780</v>
      </c>
      <c r="I59" s="8" t="s">
        <v>1172</v>
      </c>
      <c r="L59" s="195"/>
      <c r="M59" s="195"/>
      <c r="N59" s="195"/>
    </row>
    <row r="60" spans="1:14" x14ac:dyDescent="0.25">
      <c r="A60" s="268" t="s">
        <v>1197</v>
      </c>
      <c r="B60" s="268" t="s">
        <v>1245</v>
      </c>
      <c r="C60" s="269">
        <v>42780</v>
      </c>
      <c r="D60" s="270">
        <f t="shared" si="1"/>
        <v>4035</v>
      </c>
      <c r="E60" s="261">
        <v>107.32</v>
      </c>
      <c r="F60" s="29">
        <v>58</v>
      </c>
      <c r="G60" s="39">
        <f t="shared" si="2"/>
        <v>6224.5599999999995</v>
      </c>
      <c r="H60" s="697">
        <v>42784</v>
      </c>
      <c r="I60" s="8" t="s">
        <v>1172</v>
      </c>
      <c r="L60" s="195"/>
      <c r="M60" s="195"/>
      <c r="N60" s="195"/>
    </row>
    <row r="61" spans="1:14" x14ac:dyDescent="0.25">
      <c r="A61" s="268" t="s">
        <v>1171</v>
      </c>
      <c r="B61" s="268" t="s">
        <v>206</v>
      </c>
      <c r="C61" s="269">
        <v>42780</v>
      </c>
      <c r="D61" s="270">
        <f t="shared" si="1"/>
        <v>4036</v>
      </c>
      <c r="E61" s="261">
        <v>1748.7</v>
      </c>
      <c r="F61" s="29">
        <v>65</v>
      </c>
      <c r="G61" s="39">
        <f t="shared" si="2"/>
        <v>113665.5</v>
      </c>
      <c r="H61" s="697">
        <v>42780</v>
      </c>
      <c r="I61" s="8" t="s">
        <v>1172</v>
      </c>
      <c r="L61" s="195"/>
      <c r="M61" s="195"/>
      <c r="N61" s="195"/>
    </row>
    <row r="62" spans="1:14" x14ac:dyDescent="0.25">
      <c r="A62" s="268" t="s">
        <v>1213</v>
      </c>
      <c r="B62" s="268" t="s">
        <v>206</v>
      </c>
      <c r="C62" s="269">
        <v>42781</v>
      </c>
      <c r="D62" s="270">
        <f t="shared" si="1"/>
        <v>4037</v>
      </c>
      <c r="E62" s="261">
        <v>350.6</v>
      </c>
      <c r="F62" s="29">
        <v>66</v>
      </c>
      <c r="G62" s="39">
        <f t="shared" si="2"/>
        <v>23139.600000000002</v>
      </c>
      <c r="H62" s="697">
        <v>42781</v>
      </c>
      <c r="I62" s="8" t="s">
        <v>1172</v>
      </c>
      <c r="L62" s="195"/>
      <c r="M62" s="195"/>
      <c r="N62" s="195"/>
    </row>
    <row r="63" spans="1:14" x14ac:dyDescent="0.25">
      <c r="A63" s="268" t="s">
        <v>1211</v>
      </c>
      <c r="B63" s="268" t="s">
        <v>1289</v>
      </c>
      <c r="C63" s="269">
        <v>42781</v>
      </c>
      <c r="D63" s="270">
        <f t="shared" si="1"/>
        <v>4038</v>
      </c>
      <c r="E63" s="261">
        <v>56.8</v>
      </c>
      <c r="F63" s="29">
        <v>37</v>
      </c>
      <c r="G63" s="39">
        <f t="shared" si="2"/>
        <v>2101.6</v>
      </c>
      <c r="H63" s="697">
        <v>42781</v>
      </c>
      <c r="I63" s="8" t="s">
        <v>1172</v>
      </c>
      <c r="L63" s="195"/>
      <c r="M63" s="195"/>
      <c r="N63" s="195"/>
    </row>
    <row r="64" spans="1:14" x14ac:dyDescent="0.25">
      <c r="A64" s="268" t="s">
        <v>1216</v>
      </c>
      <c r="B64" s="268" t="s">
        <v>1210</v>
      </c>
      <c r="C64" s="269">
        <v>42781</v>
      </c>
      <c r="D64" s="270">
        <f t="shared" si="1"/>
        <v>4039</v>
      </c>
      <c r="E64" s="261">
        <v>100</v>
      </c>
      <c r="F64" s="29">
        <v>60</v>
      </c>
      <c r="G64" s="39">
        <f>F64*E64+297.6*48+101.5*27</f>
        <v>23025.300000000003</v>
      </c>
      <c r="H64" s="697">
        <v>42781</v>
      </c>
      <c r="I64" s="8" t="s">
        <v>1172</v>
      </c>
      <c r="L64" s="195"/>
      <c r="M64" s="195"/>
      <c r="N64" s="195"/>
    </row>
    <row r="65" spans="1:14" x14ac:dyDescent="0.25">
      <c r="A65" s="268" t="s">
        <v>1282</v>
      </c>
      <c r="B65" s="268" t="s">
        <v>1212</v>
      </c>
      <c r="C65" s="269">
        <v>42781</v>
      </c>
      <c r="D65" s="270">
        <f t="shared" si="1"/>
        <v>4040</v>
      </c>
      <c r="E65" s="261">
        <v>58.5</v>
      </c>
      <c r="F65" s="29">
        <v>56</v>
      </c>
      <c r="G65" s="39">
        <f t="shared" si="2"/>
        <v>3276</v>
      </c>
      <c r="H65" s="697">
        <v>42781</v>
      </c>
      <c r="I65" s="185" t="s">
        <v>1172</v>
      </c>
      <c r="L65" s="195"/>
      <c r="M65" s="195"/>
      <c r="N65" s="195"/>
    </row>
    <row r="66" spans="1:14" x14ac:dyDescent="0.25">
      <c r="A66" s="268" t="s">
        <v>1171</v>
      </c>
      <c r="B66" s="268" t="s">
        <v>206</v>
      </c>
      <c r="C66" s="269">
        <v>42781</v>
      </c>
      <c r="D66" s="270">
        <f t="shared" si="1"/>
        <v>4041</v>
      </c>
      <c r="E66" s="261">
        <v>1158.4000000000001</v>
      </c>
      <c r="F66" s="29">
        <v>65</v>
      </c>
      <c r="G66" s="39">
        <f t="shared" si="2"/>
        <v>75296</v>
      </c>
      <c r="H66" s="697">
        <v>42783</v>
      </c>
      <c r="I66" s="8" t="s">
        <v>1172</v>
      </c>
      <c r="L66" s="195"/>
      <c r="M66" s="195"/>
      <c r="N66" s="195"/>
    </row>
    <row r="67" spans="1:14" x14ac:dyDescent="0.25">
      <c r="A67" s="268" t="s">
        <v>1331</v>
      </c>
      <c r="B67" s="268" t="s">
        <v>1289</v>
      </c>
      <c r="C67" s="269">
        <v>42781</v>
      </c>
      <c r="D67" s="270">
        <f t="shared" si="1"/>
        <v>4042</v>
      </c>
      <c r="E67" s="261">
        <v>77.8</v>
      </c>
      <c r="F67" s="29">
        <v>38</v>
      </c>
      <c r="G67" s="39">
        <f t="shared" si="2"/>
        <v>2956.4</v>
      </c>
      <c r="H67" s="697">
        <v>42782</v>
      </c>
      <c r="I67" s="8" t="s">
        <v>1172</v>
      </c>
      <c r="L67" s="195"/>
      <c r="M67" s="195"/>
      <c r="N67" s="195"/>
    </row>
    <row r="68" spans="1:14" x14ac:dyDescent="0.25">
      <c r="A68" s="268" t="s">
        <v>1213</v>
      </c>
      <c r="B68" s="268" t="s">
        <v>206</v>
      </c>
      <c r="C68" s="269">
        <v>42781</v>
      </c>
      <c r="D68" s="270">
        <f t="shared" si="1"/>
        <v>4043</v>
      </c>
      <c r="E68" s="261">
        <v>281.2</v>
      </c>
      <c r="F68" s="29">
        <v>66</v>
      </c>
      <c r="G68" s="39">
        <f t="shared" si="2"/>
        <v>18559.2</v>
      </c>
      <c r="H68" s="697">
        <v>42782</v>
      </c>
      <c r="I68" s="8" t="s">
        <v>1172</v>
      </c>
      <c r="L68" s="195"/>
      <c r="M68" s="195"/>
      <c r="N68" s="195"/>
    </row>
    <row r="69" spans="1:14" x14ac:dyDescent="0.25">
      <c r="A69" s="268" t="s">
        <v>1182</v>
      </c>
      <c r="B69" s="268" t="s">
        <v>1182</v>
      </c>
      <c r="C69" s="269">
        <v>42782</v>
      </c>
      <c r="D69" s="270">
        <f t="shared" si="1"/>
        <v>4044</v>
      </c>
      <c r="E69" s="261">
        <v>23962</v>
      </c>
      <c r="F69" s="29">
        <v>1</v>
      </c>
      <c r="G69" s="39">
        <f t="shared" si="2"/>
        <v>23962</v>
      </c>
      <c r="H69" s="697">
        <v>42783</v>
      </c>
      <c r="I69" s="8" t="s">
        <v>1172</v>
      </c>
      <c r="L69" s="195"/>
      <c r="M69" s="195"/>
      <c r="N69" s="195"/>
    </row>
    <row r="70" spans="1:14" x14ac:dyDescent="0.25">
      <c r="A70" s="268" t="s">
        <v>1197</v>
      </c>
      <c r="B70" s="268" t="s">
        <v>1245</v>
      </c>
      <c r="C70" s="269">
        <v>42782</v>
      </c>
      <c r="D70" s="270">
        <f t="shared" ref="D70:D114" si="3">D69+1</f>
        <v>4045</v>
      </c>
      <c r="E70" s="261">
        <v>93.4</v>
      </c>
      <c r="F70" s="29">
        <v>58</v>
      </c>
      <c r="G70" s="39">
        <f t="shared" si="2"/>
        <v>5417.2000000000007</v>
      </c>
      <c r="H70" s="697">
        <v>42784</v>
      </c>
      <c r="I70" s="8" t="s">
        <v>1172</v>
      </c>
      <c r="L70" s="195"/>
      <c r="M70" s="195"/>
      <c r="N70" s="195"/>
    </row>
    <row r="71" spans="1:14" x14ac:dyDescent="0.25">
      <c r="A71" s="268" t="s">
        <v>1220</v>
      </c>
      <c r="B71" s="268" t="s">
        <v>1276</v>
      </c>
      <c r="C71" s="269">
        <v>42780</v>
      </c>
      <c r="D71" s="270">
        <f t="shared" si="3"/>
        <v>4046</v>
      </c>
      <c r="E71" s="261">
        <v>184.25</v>
      </c>
      <c r="F71" s="29">
        <v>52</v>
      </c>
      <c r="G71" s="39">
        <f>F71*E71+32.8*60+38.1*48+44.25*60+204*38+18.9*70+49.8*56</f>
        <v>27896.6</v>
      </c>
      <c r="H71" s="702">
        <v>42807</v>
      </c>
      <c r="I71" s="701" t="s">
        <v>1172</v>
      </c>
      <c r="J71" s="195" t="s">
        <v>1277</v>
      </c>
      <c r="L71" s="195"/>
      <c r="M71" s="195"/>
      <c r="N71" s="195"/>
    </row>
    <row r="72" spans="1:14" x14ac:dyDescent="0.25">
      <c r="A72" s="268" t="s">
        <v>1182</v>
      </c>
      <c r="B72" s="268" t="s">
        <v>1182</v>
      </c>
      <c r="C72" s="269">
        <v>42776</v>
      </c>
      <c r="D72" s="270">
        <f t="shared" si="3"/>
        <v>4047</v>
      </c>
      <c r="E72" s="261">
        <v>47606</v>
      </c>
      <c r="F72" s="29">
        <v>1</v>
      </c>
      <c r="G72" s="39">
        <f t="shared" si="2"/>
        <v>47606</v>
      </c>
      <c r="H72" s="697">
        <v>42783</v>
      </c>
      <c r="I72" s="8" t="s">
        <v>1172</v>
      </c>
      <c r="L72" s="195"/>
      <c r="M72" s="195"/>
      <c r="N72" s="195"/>
    </row>
    <row r="73" spans="1:14" x14ac:dyDescent="0.25">
      <c r="A73" s="268" t="s">
        <v>1220</v>
      </c>
      <c r="B73" s="268" t="s">
        <v>1220</v>
      </c>
      <c r="C73" s="269">
        <v>42782</v>
      </c>
      <c r="D73" s="270">
        <f t="shared" si="3"/>
        <v>4048</v>
      </c>
      <c r="E73" s="261">
        <f>195.3+83.05</f>
        <v>278.35000000000002</v>
      </c>
      <c r="F73" s="29">
        <v>56</v>
      </c>
      <c r="G73" s="39">
        <f>F73*E73+286.8*17</f>
        <v>20463.200000000004</v>
      </c>
      <c r="H73" s="702">
        <v>42812</v>
      </c>
      <c r="I73" s="701" t="s">
        <v>1172</v>
      </c>
      <c r="J73" s="195" t="s">
        <v>1288</v>
      </c>
      <c r="L73" s="195"/>
      <c r="M73" s="195"/>
      <c r="N73" s="195"/>
    </row>
    <row r="74" spans="1:14" x14ac:dyDescent="0.25">
      <c r="A74" s="268" t="s">
        <v>176</v>
      </c>
      <c r="B74" s="268"/>
      <c r="C74" s="269"/>
      <c r="D74" s="270">
        <f t="shared" si="3"/>
        <v>4049</v>
      </c>
      <c r="G74" s="39">
        <f t="shared" si="2"/>
        <v>0</v>
      </c>
      <c r="L74" s="195"/>
      <c r="M74" s="195"/>
      <c r="N74" s="195"/>
    </row>
    <row r="75" spans="1:14" x14ac:dyDescent="0.25">
      <c r="A75" s="268" t="s">
        <v>1171</v>
      </c>
      <c r="B75" s="268" t="s">
        <v>206</v>
      </c>
      <c r="C75" s="269">
        <v>42782</v>
      </c>
      <c r="D75" s="270">
        <f t="shared" si="3"/>
        <v>4050</v>
      </c>
      <c r="E75" s="261">
        <v>2253.4</v>
      </c>
      <c r="F75" s="29">
        <v>65</v>
      </c>
      <c r="G75" s="39">
        <f>F75*E75+312*61</f>
        <v>165503</v>
      </c>
      <c r="H75" s="697">
        <v>42782</v>
      </c>
      <c r="I75" s="8" t="s">
        <v>1172</v>
      </c>
      <c r="L75" s="195"/>
      <c r="M75" s="195"/>
      <c r="N75" s="195"/>
    </row>
    <row r="76" spans="1:14" x14ac:dyDescent="0.25">
      <c r="A76" s="268" t="s">
        <v>176</v>
      </c>
      <c r="B76" s="268"/>
      <c r="C76" s="269"/>
      <c r="D76" s="270">
        <f t="shared" si="3"/>
        <v>4051</v>
      </c>
      <c r="G76" s="39">
        <f t="shared" si="2"/>
        <v>0</v>
      </c>
      <c r="L76" s="195"/>
      <c r="M76" s="195"/>
      <c r="N76" s="195"/>
    </row>
    <row r="77" spans="1:14" x14ac:dyDescent="0.25">
      <c r="A77" s="268" t="s">
        <v>176</v>
      </c>
      <c r="B77" s="268"/>
      <c r="C77" s="269"/>
      <c r="D77" s="270">
        <f t="shared" si="3"/>
        <v>4052</v>
      </c>
      <c r="G77" s="39">
        <f t="shared" si="2"/>
        <v>0</v>
      </c>
      <c r="L77" s="195"/>
      <c r="M77" s="195"/>
      <c r="N77" s="195"/>
    </row>
    <row r="78" spans="1:14" x14ac:dyDescent="0.25">
      <c r="A78" s="268" t="s">
        <v>1213</v>
      </c>
      <c r="B78" s="268" t="s">
        <v>206</v>
      </c>
      <c r="C78" s="269">
        <v>42783</v>
      </c>
      <c r="D78" s="270">
        <f t="shared" si="3"/>
        <v>4053</v>
      </c>
      <c r="E78" s="261">
        <v>341.2</v>
      </c>
      <c r="F78" s="29">
        <v>66</v>
      </c>
      <c r="G78" s="39">
        <f t="shared" si="2"/>
        <v>22519.200000000001</v>
      </c>
      <c r="H78" s="697">
        <v>42783</v>
      </c>
      <c r="I78" s="8" t="s">
        <v>1172</v>
      </c>
      <c r="L78" s="195"/>
      <c r="M78" s="195"/>
      <c r="N78" s="195"/>
    </row>
    <row r="79" spans="1:14" x14ac:dyDescent="0.25">
      <c r="A79" s="268" t="s">
        <v>223</v>
      </c>
      <c r="B79" s="268"/>
      <c r="C79" s="269"/>
      <c r="D79" s="270">
        <f t="shared" si="3"/>
        <v>4054</v>
      </c>
      <c r="G79" s="39">
        <f t="shared" si="2"/>
        <v>0</v>
      </c>
      <c r="L79" s="195"/>
      <c r="M79" s="195"/>
      <c r="N79" s="195"/>
    </row>
    <row r="80" spans="1:14" x14ac:dyDescent="0.25">
      <c r="A80" s="268" t="s">
        <v>1213</v>
      </c>
      <c r="B80" s="268" t="s">
        <v>206</v>
      </c>
      <c r="C80" s="269">
        <v>42783</v>
      </c>
      <c r="D80" s="270">
        <f t="shared" si="3"/>
        <v>4055</v>
      </c>
      <c r="E80" s="261">
        <v>309.39999999999998</v>
      </c>
      <c r="F80" s="29">
        <v>66</v>
      </c>
      <c r="G80" s="39">
        <f t="shared" si="2"/>
        <v>20420.399999999998</v>
      </c>
      <c r="H80" s="697">
        <v>42783</v>
      </c>
      <c r="I80" s="8" t="s">
        <v>1172</v>
      </c>
      <c r="L80" s="195"/>
      <c r="M80" s="195"/>
      <c r="N80" s="195"/>
    </row>
    <row r="81" spans="1:14" x14ac:dyDescent="0.25">
      <c r="A81" s="268" t="s">
        <v>237</v>
      </c>
      <c r="B81" s="268" t="s">
        <v>206</v>
      </c>
      <c r="C81" s="269">
        <v>42783</v>
      </c>
      <c r="D81" s="270">
        <f t="shared" si="3"/>
        <v>4056</v>
      </c>
      <c r="E81" s="261">
        <v>1106</v>
      </c>
      <c r="F81" s="29">
        <v>65</v>
      </c>
      <c r="G81" s="39">
        <f t="shared" si="2"/>
        <v>71890</v>
      </c>
      <c r="H81" s="697">
        <v>42784</v>
      </c>
      <c r="I81" s="8" t="s">
        <v>1172</v>
      </c>
      <c r="L81" s="195"/>
      <c r="M81" s="195"/>
      <c r="N81" s="195"/>
    </row>
    <row r="82" spans="1:14" x14ac:dyDescent="0.25">
      <c r="A82" s="268" t="s">
        <v>1171</v>
      </c>
      <c r="B82" s="268" t="s">
        <v>206</v>
      </c>
      <c r="C82" s="269">
        <v>42783</v>
      </c>
      <c r="D82" s="270">
        <f t="shared" si="3"/>
        <v>4057</v>
      </c>
      <c r="E82" s="261">
        <v>2078.9</v>
      </c>
      <c r="F82" s="29">
        <v>65</v>
      </c>
      <c r="G82" s="39">
        <f t="shared" si="2"/>
        <v>135128.5</v>
      </c>
      <c r="H82" s="697">
        <v>42783</v>
      </c>
      <c r="I82" s="8" t="s">
        <v>1172</v>
      </c>
      <c r="L82" s="195"/>
      <c r="M82" s="195"/>
      <c r="N82" s="195"/>
    </row>
    <row r="83" spans="1:14" x14ac:dyDescent="0.25">
      <c r="A83" s="268" t="s">
        <v>1332</v>
      </c>
      <c r="B83" s="268" t="s">
        <v>1333</v>
      </c>
      <c r="C83" s="269">
        <v>42783</v>
      </c>
      <c r="D83" s="270">
        <f t="shared" si="3"/>
        <v>4058</v>
      </c>
      <c r="E83" s="261">
        <v>22.2</v>
      </c>
      <c r="F83" s="29">
        <v>47</v>
      </c>
      <c r="G83" s="39">
        <f t="shared" si="2"/>
        <v>1043.3999999999999</v>
      </c>
      <c r="H83" s="697">
        <v>42784</v>
      </c>
      <c r="I83" s="8" t="s">
        <v>1172</v>
      </c>
      <c r="L83" s="195"/>
      <c r="M83" s="195"/>
      <c r="N83" s="195"/>
    </row>
    <row r="84" spans="1:14" x14ac:dyDescent="0.25">
      <c r="A84" s="268" t="s">
        <v>1197</v>
      </c>
      <c r="B84" s="268" t="s">
        <v>1243</v>
      </c>
      <c r="C84" s="269">
        <v>42784</v>
      </c>
      <c r="D84" s="270">
        <f t="shared" si="3"/>
        <v>4059</v>
      </c>
      <c r="E84" s="261">
        <v>121.5</v>
      </c>
      <c r="F84" s="29">
        <v>58</v>
      </c>
      <c r="G84" s="39">
        <f t="shared" si="2"/>
        <v>7047</v>
      </c>
      <c r="H84" s="702">
        <v>42795</v>
      </c>
      <c r="I84" s="701" t="s">
        <v>1172</v>
      </c>
      <c r="L84" s="195"/>
      <c r="M84" s="195"/>
      <c r="N84" s="195"/>
    </row>
    <row r="85" spans="1:14" x14ac:dyDescent="0.25">
      <c r="A85" s="268" t="s">
        <v>1246</v>
      </c>
      <c r="B85" s="268" t="s">
        <v>1203</v>
      </c>
      <c r="C85" s="269">
        <v>42784</v>
      </c>
      <c r="D85" s="270">
        <f t="shared" si="3"/>
        <v>4060</v>
      </c>
      <c r="E85" s="261">
        <v>82.2</v>
      </c>
      <c r="F85" s="29">
        <v>38</v>
      </c>
      <c r="G85" s="39">
        <f t="shared" si="2"/>
        <v>3123.6</v>
      </c>
      <c r="H85" s="697">
        <v>42789</v>
      </c>
      <c r="I85" s="8" t="s">
        <v>1172</v>
      </c>
      <c r="L85" s="195"/>
      <c r="M85" s="195"/>
      <c r="N85" s="195"/>
    </row>
    <row r="86" spans="1:14" x14ac:dyDescent="0.25">
      <c r="A86" s="268" t="s">
        <v>223</v>
      </c>
      <c r="B86" s="268"/>
      <c r="C86" s="269"/>
      <c r="D86" s="270">
        <f t="shared" si="3"/>
        <v>4061</v>
      </c>
      <c r="G86" s="39">
        <f t="shared" si="2"/>
        <v>0</v>
      </c>
      <c r="L86" s="195"/>
      <c r="M86" s="195"/>
      <c r="N86" s="195"/>
    </row>
    <row r="87" spans="1:14" x14ac:dyDescent="0.25">
      <c r="A87" s="268" t="s">
        <v>1216</v>
      </c>
      <c r="B87" s="268" t="s">
        <v>1210</v>
      </c>
      <c r="C87" s="269">
        <v>42784</v>
      </c>
      <c r="D87" s="270">
        <f t="shared" si="3"/>
        <v>4062</v>
      </c>
      <c r="E87" s="261">
        <v>284</v>
      </c>
      <c r="F87" s="29">
        <v>27</v>
      </c>
      <c r="G87" s="39">
        <f>F87*E87+306*48+121.5*60</f>
        <v>29646</v>
      </c>
      <c r="H87" s="697">
        <v>42784</v>
      </c>
      <c r="I87" s="8" t="s">
        <v>1172</v>
      </c>
      <c r="L87" s="195"/>
      <c r="M87" s="195"/>
      <c r="N87" s="195"/>
    </row>
    <row r="88" spans="1:14" x14ac:dyDescent="0.25">
      <c r="A88" s="268" t="s">
        <v>1171</v>
      </c>
      <c r="B88" s="268" t="s">
        <v>206</v>
      </c>
      <c r="C88" s="269">
        <v>42784</v>
      </c>
      <c r="D88" s="270">
        <f t="shared" si="3"/>
        <v>4063</v>
      </c>
      <c r="E88" s="261">
        <v>981.4</v>
      </c>
      <c r="F88" s="29">
        <v>65</v>
      </c>
      <c r="G88" s="39">
        <f t="shared" si="2"/>
        <v>63791</v>
      </c>
      <c r="H88" s="697">
        <v>42784</v>
      </c>
      <c r="I88" s="8" t="s">
        <v>1172</v>
      </c>
      <c r="L88" s="195"/>
      <c r="M88" s="195"/>
      <c r="N88" s="195"/>
    </row>
    <row r="89" spans="1:14" x14ac:dyDescent="0.25">
      <c r="A89" s="268" t="s">
        <v>1197</v>
      </c>
      <c r="B89" s="268" t="s">
        <v>1245</v>
      </c>
      <c r="C89" s="269">
        <v>42783</v>
      </c>
      <c r="D89" s="270">
        <f t="shared" si="3"/>
        <v>4064</v>
      </c>
      <c r="E89" s="261">
        <v>144</v>
      </c>
      <c r="F89" s="29">
        <v>58</v>
      </c>
      <c r="G89" s="39">
        <f t="shared" si="2"/>
        <v>8352</v>
      </c>
      <c r="H89" s="697">
        <v>42784</v>
      </c>
      <c r="I89" s="8" t="s">
        <v>1172</v>
      </c>
      <c r="L89" s="195"/>
      <c r="M89" s="195"/>
      <c r="N89" s="195"/>
    </row>
    <row r="90" spans="1:14" x14ac:dyDescent="0.25">
      <c r="A90" s="268" t="s">
        <v>1220</v>
      </c>
      <c r="B90" s="268" t="s">
        <v>1182</v>
      </c>
      <c r="C90" s="269">
        <v>42783</v>
      </c>
      <c r="D90" s="270">
        <f t="shared" si="3"/>
        <v>4065</v>
      </c>
      <c r="E90" s="261">
        <v>16640</v>
      </c>
      <c r="F90" s="29">
        <v>1</v>
      </c>
      <c r="G90" s="39">
        <f t="shared" si="2"/>
        <v>16640</v>
      </c>
      <c r="H90" s="702">
        <v>42807</v>
      </c>
      <c r="I90" s="701" t="s">
        <v>1172</v>
      </c>
      <c r="J90" s="195" t="s">
        <v>1274</v>
      </c>
      <c r="L90" s="195"/>
      <c r="M90" s="195"/>
      <c r="N90" s="195"/>
    </row>
    <row r="91" spans="1:14" x14ac:dyDescent="0.25">
      <c r="A91" s="268" t="s">
        <v>1251</v>
      </c>
      <c r="B91" s="268" t="s">
        <v>492</v>
      </c>
      <c r="C91" s="269">
        <v>42785</v>
      </c>
      <c r="D91" s="270">
        <f t="shared" si="3"/>
        <v>4066</v>
      </c>
      <c r="E91" s="261">
        <v>6.4</v>
      </c>
      <c r="F91" s="29">
        <v>22</v>
      </c>
      <c r="G91" s="39">
        <f t="shared" si="2"/>
        <v>140.80000000000001</v>
      </c>
      <c r="H91" s="697">
        <v>42785</v>
      </c>
      <c r="I91" s="8" t="s">
        <v>1172</v>
      </c>
      <c r="L91" s="195"/>
      <c r="M91" s="195"/>
      <c r="N91" s="195"/>
    </row>
    <row r="92" spans="1:14" x14ac:dyDescent="0.25">
      <c r="A92" s="268" t="s">
        <v>1180</v>
      </c>
      <c r="B92" s="268" t="s">
        <v>1214</v>
      </c>
      <c r="C92" s="269">
        <v>42785</v>
      </c>
      <c r="D92" s="270">
        <f t="shared" si="3"/>
        <v>4067</v>
      </c>
      <c r="E92" s="261">
        <v>420.6</v>
      </c>
      <c r="F92" s="29">
        <v>35</v>
      </c>
      <c r="G92" s="39">
        <f t="shared" si="2"/>
        <v>14721</v>
      </c>
      <c r="H92" s="697">
        <v>42788</v>
      </c>
      <c r="I92" s="8" t="s">
        <v>1172</v>
      </c>
      <c r="L92" s="195"/>
      <c r="M92" s="195"/>
      <c r="N92" s="195"/>
    </row>
    <row r="93" spans="1:14" x14ac:dyDescent="0.25">
      <c r="A93" s="268" t="s">
        <v>1334</v>
      </c>
      <c r="B93" s="268" t="s">
        <v>1335</v>
      </c>
      <c r="C93" s="269">
        <v>42783</v>
      </c>
      <c r="D93" s="270">
        <f t="shared" si="3"/>
        <v>4068</v>
      </c>
      <c r="E93" s="261">
        <v>122.8</v>
      </c>
      <c r="F93" s="29">
        <v>72</v>
      </c>
      <c r="G93" s="39">
        <f>F93*E93-21.2*81-43*71</f>
        <v>4071.4000000000005</v>
      </c>
      <c r="H93" s="697" t="s">
        <v>15</v>
      </c>
      <c r="I93" s="8" t="s">
        <v>1172</v>
      </c>
      <c r="L93" s="195"/>
      <c r="M93" s="195"/>
      <c r="N93" s="195"/>
    </row>
    <row r="94" spans="1:14" x14ac:dyDescent="0.25">
      <c r="A94" s="268" t="s">
        <v>1173</v>
      </c>
      <c r="B94" s="268" t="s">
        <v>1210</v>
      </c>
      <c r="C94" s="269">
        <v>42779</v>
      </c>
      <c r="D94" s="270">
        <f t="shared" si="3"/>
        <v>4069</v>
      </c>
      <c r="E94" s="261">
        <v>30.5</v>
      </c>
      <c r="F94" s="29">
        <v>48</v>
      </c>
      <c r="G94" s="39">
        <f>F94*E94+20.2*60</f>
        <v>2676</v>
      </c>
      <c r="H94" s="697">
        <v>42793</v>
      </c>
      <c r="I94" s="8" t="s">
        <v>1172</v>
      </c>
      <c r="L94" s="195"/>
      <c r="M94" s="195"/>
      <c r="N94" s="195"/>
    </row>
    <row r="95" spans="1:14" x14ac:dyDescent="0.25">
      <c r="A95" s="268" t="s">
        <v>1213</v>
      </c>
      <c r="B95" s="268" t="s">
        <v>206</v>
      </c>
      <c r="C95" s="269">
        <v>42786</v>
      </c>
      <c r="D95" s="270">
        <f t="shared" si="3"/>
        <v>4070</v>
      </c>
      <c r="E95" s="261">
        <v>360.8</v>
      </c>
      <c r="F95" s="29">
        <v>66</v>
      </c>
      <c r="G95" s="39">
        <f t="shared" si="2"/>
        <v>23812.799999999999</v>
      </c>
      <c r="H95" s="697">
        <v>42786</v>
      </c>
      <c r="I95" s="8" t="s">
        <v>1172</v>
      </c>
      <c r="L95" s="195"/>
      <c r="M95" s="195"/>
      <c r="N95" s="195"/>
    </row>
    <row r="96" spans="1:14" x14ac:dyDescent="0.25">
      <c r="A96" s="268" t="s">
        <v>1197</v>
      </c>
      <c r="B96" s="268" t="s">
        <v>1244</v>
      </c>
      <c r="C96" s="269">
        <v>42786</v>
      </c>
      <c r="D96" s="270">
        <f t="shared" si="3"/>
        <v>4071</v>
      </c>
      <c r="E96" s="261">
        <v>60</v>
      </c>
      <c r="F96" s="29">
        <v>58</v>
      </c>
      <c r="G96" s="39">
        <f t="shared" si="2"/>
        <v>3480</v>
      </c>
      <c r="H96" s="702">
        <v>42795</v>
      </c>
      <c r="I96" s="701" t="s">
        <v>1172</v>
      </c>
      <c r="L96" s="195"/>
      <c r="M96" s="195"/>
      <c r="N96" s="195"/>
    </row>
    <row r="97" spans="1:14" x14ac:dyDescent="0.25">
      <c r="A97" s="268" t="s">
        <v>1213</v>
      </c>
      <c r="B97" s="268" t="s">
        <v>206</v>
      </c>
      <c r="C97" s="269">
        <v>42787</v>
      </c>
      <c r="D97" s="270">
        <f t="shared" si="3"/>
        <v>4072</v>
      </c>
      <c r="E97" s="261">
        <v>669.7</v>
      </c>
      <c r="F97" s="29">
        <v>66</v>
      </c>
      <c r="G97" s="39">
        <f t="shared" si="2"/>
        <v>44200.200000000004</v>
      </c>
      <c r="H97" s="697">
        <v>42787</v>
      </c>
      <c r="I97" s="8" t="s">
        <v>1172</v>
      </c>
      <c r="L97" s="195"/>
      <c r="M97" s="195"/>
      <c r="N97" s="195"/>
    </row>
    <row r="98" spans="1:14" x14ac:dyDescent="0.25">
      <c r="A98" s="268" t="s">
        <v>1220</v>
      </c>
      <c r="B98" s="268" t="s">
        <v>1270</v>
      </c>
      <c r="C98" s="269">
        <v>42786</v>
      </c>
      <c r="D98" s="270">
        <f t="shared" si="3"/>
        <v>4073</v>
      </c>
      <c r="E98" s="261">
        <v>56.9</v>
      </c>
      <c r="F98" s="29">
        <v>70</v>
      </c>
      <c r="G98" s="39">
        <f>F98*E98+128.5*56+206.6*56</f>
        <v>22748.6</v>
      </c>
      <c r="H98" s="709">
        <v>42807</v>
      </c>
      <c r="I98" s="710" t="s">
        <v>1172</v>
      </c>
      <c r="J98" s="195" t="s">
        <v>1275</v>
      </c>
      <c r="L98" s="195"/>
      <c r="M98" s="195"/>
      <c r="N98" s="195"/>
    </row>
    <row r="99" spans="1:14" x14ac:dyDescent="0.25">
      <c r="A99" s="268" t="s">
        <v>1171</v>
      </c>
      <c r="B99" s="268" t="s">
        <v>206</v>
      </c>
      <c r="C99" s="269">
        <v>42787</v>
      </c>
      <c r="D99" s="270">
        <f t="shared" si="3"/>
        <v>4074</v>
      </c>
      <c r="E99" s="261">
        <v>1303</v>
      </c>
      <c r="F99" s="29">
        <v>65</v>
      </c>
      <c r="G99" s="39">
        <f t="shared" si="2"/>
        <v>84695</v>
      </c>
      <c r="H99" s="697">
        <v>42787</v>
      </c>
      <c r="I99" s="8" t="s">
        <v>1172</v>
      </c>
      <c r="L99" s="195"/>
      <c r="M99" s="195"/>
      <c r="N99" s="195"/>
    </row>
    <row r="100" spans="1:14" x14ac:dyDescent="0.25">
      <c r="A100" s="268" t="s">
        <v>1340</v>
      </c>
      <c r="B100" s="268" t="s">
        <v>1341</v>
      </c>
      <c r="C100" s="269">
        <v>42788</v>
      </c>
      <c r="D100" s="270">
        <f t="shared" si="3"/>
        <v>4075</v>
      </c>
      <c r="E100" s="261">
        <v>27.8</v>
      </c>
      <c r="F100" s="29">
        <v>38</v>
      </c>
      <c r="G100" s="39">
        <f t="shared" si="2"/>
        <v>1056.4000000000001</v>
      </c>
      <c r="H100" s="697">
        <v>42788</v>
      </c>
      <c r="I100" s="8" t="s">
        <v>1172</v>
      </c>
      <c r="L100" s="195"/>
      <c r="M100" s="195"/>
      <c r="N100" s="195"/>
    </row>
    <row r="101" spans="1:14" x14ac:dyDescent="0.25">
      <c r="A101" s="726" t="s">
        <v>240</v>
      </c>
      <c r="B101" s="726" t="s">
        <v>241</v>
      </c>
      <c r="C101" s="727">
        <v>42779</v>
      </c>
      <c r="D101" s="270">
        <f t="shared" si="3"/>
        <v>4076</v>
      </c>
      <c r="E101" s="261">
        <v>360</v>
      </c>
      <c r="F101" s="29">
        <v>140</v>
      </c>
      <c r="G101" s="39">
        <f t="shared" si="2"/>
        <v>50400</v>
      </c>
      <c r="H101" s="697">
        <v>42786</v>
      </c>
      <c r="I101" s="724" t="s">
        <v>1342</v>
      </c>
      <c r="J101" s="725"/>
      <c r="L101" s="195"/>
      <c r="M101" s="195"/>
      <c r="N101" s="195"/>
    </row>
    <row r="102" spans="1:14" x14ac:dyDescent="0.25">
      <c r="A102" s="268" t="s">
        <v>1184</v>
      </c>
      <c r="B102" s="268" t="s">
        <v>1215</v>
      </c>
      <c r="C102" s="269">
        <v>42788</v>
      </c>
      <c r="D102" s="270">
        <f t="shared" si="3"/>
        <v>4077</v>
      </c>
      <c r="E102" s="261">
        <v>3180</v>
      </c>
      <c r="F102" s="29">
        <v>33</v>
      </c>
      <c r="G102" s="39">
        <f t="shared" si="2"/>
        <v>104940</v>
      </c>
      <c r="H102" s="697">
        <v>43154</v>
      </c>
      <c r="I102" s="8" t="s">
        <v>1172</v>
      </c>
      <c r="L102" s="195"/>
      <c r="M102" s="195"/>
      <c r="N102" s="195"/>
    </row>
    <row r="103" spans="1:14" x14ac:dyDescent="0.25">
      <c r="A103" s="268" t="s">
        <v>223</v>
      </c>
      <c r="B103" s="268"/>
      <c r="C103" s="269"/>
      <c r="D103" s="270">
        <f t="shared" si="3"/>
        <v>4078</v>
      </c>
      <c r="G103" s="39">
        <f t="shared" si="2"/>
        <v>0</v>
      </c>
      <c r="L103" s="195"/>
      <c r="M103" s="195"/>
      <c r="N103" s="195"/>
    </row>
    <row r="104" spans="1:14" x14ac:dyDescent="0.25">
      <c r="A104" s="268" t="s">
        <v>1184</v>
      </c>
      <c r="B104" s="268" t="s">
        <v>1203</v>
      </c>
      <c r="C104" s="269">
        <v>42788</v>
      </c>
      <c r="D104" s="270">
        <f t="shared" si="3"/>
        <v>4079</v>
      </c>
      <c r="E104" s="261">
        <v>2050</v>
      </c>
      <c r="F104" s="29">
        <v>33</v>
      </c>
      <c r="G104" s="39">
        <f t="shared" si="2"/>
        <v>67650</v>
      </c>
      <c r="H104" s="702">
        <v>42797</v>
      </c>
      <c r="I104" s="701" t="s">
        <v>1172</v>
      </c>
      <c r="L104" s="195"/>
      <c r="M104" s="195"/>
      <c r="N104" s="195"/>
    </row>
    <row r="105" spans="1:14" x14ac:dyDescent="0.25">
      <c r="A105" s="268" t="s">
        <v>1213</v>
      </c>
      <c r="B105" s="268" t="s">
        <v>206</v>
      </c>
      <c r="C105" s="269">
        <v>42788</v>
      </c>
      <c r="D105" s="270">
        <f t="shared" si="3"/>
        <v>4080</v>
      </c>
      <c r="E105" s="261">
        <v>299.8</v>
      </c>
      <c r="F105" s="29">
        <v>66</v>
      </c>
      <c r="G105" s="39">
        <f t="shared" si="2"/>
        <v>19786.8</v>
      </c>
      <c r="H105" s="697">
        <v>42789</v>
      </c>
      <c r="I105" s="8" t="s">
        <v>1172</v>
      </c>
      <c r="L105" s="195"/>
      <c r="M105" s="195"/>
      <c r="N105" s="195"/>
    </row>
    <row r="106" spans="1:14" x14ac:dyDescent="0.25">
      <c r="A106" s="268" t="s">
        <v>1179</v>
      </c>
      <c r="B106" s="268" t="s">
        <v>206</v>
      </c>
      <c r="C106" s="269">
        <v>42788</v>
      </c>
      <c r="D106" s="270">
        <f t="shared" si="3"/>
        <v>4081</v>
      </c>
      <c r="E106" s="261">
        <v>666.3</v>
      </c>
      <c r="F106" s="29">
        <v>66</v>
      </c>
      <c r="G106" s="39">
        <f t="shared" si="2"/>
        <v>43975.799999999996</v>
      </c>
      <c r="H106" s="697">
        <v>42788</v>
      </c>
      <c r="I106" s="8" t="s">
        <v>1172</v>
      </c>
      <c r="L106" s="195"/>
      <c r="M106" s="195"/>
      <c r="N106" s="195"/>
    </row>
    <row r="107" spans="1:14" x14ac:dyDescent="0.25">
      <c r="A107" s="268" t="s">
        <v>1220</v>
      </c>
      <c r="B107" s="268" t="s">
        <v>1245</v>
      </c>
      <c r="C107" s="269">
        <v>42788</v>
      </c>
      <c r="D107" s="270">
        <f t="shared" si="3"/>
        <v>4082</v>
      </c>
      <c r="E107" s="261">
        <v>174.2</v>
      </c>
      <c r="F107" s="29">
        <v>58</v>
      </c>
      <c r="G107" s="39">
        <f>F107*E107+244.4*56</f>
        <v>23790</v>
      </c>
      <c r="H107" s="702">
        <v>42804</v>
      </c>
      <c r="I107" s="701" t="s">
        <v>1172</v>
      </c>
      <c r="L107" s="195"/>
      <c r="M107" s="195"/>
      <c r="N107" s="195"/>
    </row>
    <row r="108" spans="1:14" x14ac:dyDescent="0.25">
      <c r="A108" s="268" t="s">
        <v>1182</v>
      </c>
      <c r="B108" s="268" t="s">
        <v>1348</v>
      </c>
      <c r="C108" s="269">
        <v>42789</v>
      </c>
      <c r="D108" s="270">
        <f t="shared" si="3"/>
        <v>4083</v>
      </c>
      <c r="E108" s="261">
        <v>24055</v>
      </c>
      <c r="F108" s="29">
        <v>1</v>
      </c>
      <c r="G108" s="39">
        <f t="shared" si="2"/>
        <v>24055</v>
      </c>
      <c r="H108" s="697">
        <v>42790</v>
      </c>
      <c r="I108" s="8" t="s">
        <v>1172</v>
      </c>
      <c r="J108" s="195" t="s">
        <v>1349</v>
      </c>
      <c r="L108" s="195"/>
      <c r="M108" s="195"/>
      <c r="N108" s="195"/>
    </row>
    <row r="109" spans="1:14" x14ac:dyDescent="0.25">
      <c r="A109" s="268" t="s">
        <v>1213</v>
      </c>
      <c r="B109" s="699" t="s">
        <v>206</v>
      </c>
      <c r="C109" s="269">
        <v>42789</v>
      </c>
      <c r="D109" s="270">
        <f t="shared" si="3"/>
        <v>4084</v>
      </c>
      <c r="E109" s="261">
        <v>348</v>
      </c>
      <c r="F109" s="29">
        <v>66</v>
      </c>
      <c r="G109" s="39">
        <f t="shared" si="2"/>
        <v>22968</v>
      </c>
      <c r="H109" s="697">
        <v>42789</v>
      </c>
      <c r="I109" s="8" t="s">
        <v>1172</v>
      </c>
      <c r="L109" s="195"/>
      <c r="M109" s="195"/>
      <c r="N109" s="195"/>
    </row>
    <row r="110" spans="1:14" x14ac:dyDescent="0.25">
      <c r="A110" s="268" t="s">
        <v>1197</v>
      </c>
      <c r="B110" s="699" t="s">
        <v>1245</v>
      </c>
      <c r="C110" s="269">
        <v>42789</v>
      </c>
      <c r="D110" s="270">
        <f t="shared" si="3"/>
        <v>4085</v>
      </c>
      <c r="E110" s="261">
        <v>117.5</v>
      </c>
      <c r="F110" s="29">
        <v>58</v>
      </c>
      <c r="G110" s="39">
        <f t="shared" si="2"/>
        <v>6815</v>
      </c>
      <c r="H110" s="702">
        <v>42795</v>
      </c>
      <c r="I110" s="701" t="s">
        <v>1172</v>
      </c>
      <c r="L110" s="195"/>
      <c r="M110" s="195"/>
      <c r="N110" s="195"/>
    </row>
    <row r="111" spans="1:14" x14ac:dyDescent="0.25">
      <c r="A111" s="268" t="s">
        <v>1171</v>
      </c>
      <c r="B111" s="699" t="s">
        <v>206</v>
      </c>
      <c r="C111" s="269">
        <v>42789</v>
      </c>
      <c r="D111" s="270">
        <f t="shared" si="3"/>
        <v>4086</v>
      </c>
      <c r="E111" s="261">
        <v>1449.2</v>
      </c>
      <c r="F111" s="29">
        <v>65</v>
      </c>
      <c r="G111" s="39">
        <f t="shared" si="2"/>
        <v>94198</v>
      </c>
      <c r="H111" s="697">
        <v>42790</v>
      </c>
      <c r="I111" s="8" t="s">
        <v>1172</v>
      </c>
      <c r="L111" s="195"/>
      <c r="M111" s="195"/>
      <c r="N111" s="195"/>
    </row>
    <row r="112" spans="1:14" x14ac:dyDescent="0.25">
      <c r="A112" s="268" t="s">
        <v>1182</v>
      </c>
      <c r="B112" s="699" t="s">
        <v>1183</v>
      </c>
      <c r="C112" s="269">
        <v>42789</v>
      </c>
      <c r="D112" s="270">
        <f t="shared" si="3"/>
        <v>4087</v>
      </c>
      <c r="E112" s="261">
        <v>64020</v>
      </c>
      <c r="F112" s="29">
        <v>1</v>
      </c>
      <c r="G112" s="39">
        <f t="shared" si="2"/>
        <v>64020</v>
      </c>
      <c r="H112" s="702">
        <v>42798</v>
      </c>
      <c r="I112" s="701" t="s">
        <v>1172</v>
      </c>
      <c r="L112" s="195"/>
      <c r="M112" s="195"/>
      <c r="N112" s="195"/>
    </row>
    <row r="113" spans="1:14" x14ac:dyDescent="0.25">
      <c r="A113" s="268" t="s">
        <v>1197</v>
      </c>
      <c r="B113" s="699" t="s">
        <v>1245</v>
      </c>
      <c r="C113" s="269">
        <v>42790</v>
      </c>
      <c r="D113" s="270">
        <f t="shared" si="3"/>
        <v>4088</v>
      </c>
      <c r="E113" s="261">
        <v>89.2</v>
      </c>
      <c r="F113" s="29">
        <v>58</v>
      </c>
      <c r="G113" s="39">
        <f t="shared" si="2"/>
        <v>5173.6000000000004</v>
      </c>
      <c r="H113" s="702">
        <v>42795</v>
      </c>
      <c r="I113" s="701" t="s">
        <v>1172</v>
      </c>
      <c r="L113" s="195"/>
      <c r="M113" s="195"/>
      <c r="N113" s="195"/>
    </row>
    <row r="114" spans="1:14" x14ac:dyDescent="0.25">
      <c r="A114" s="268" t="s">
        <v>361</v>
      </c>
      <c r="B114" s="268" t="s">
        <v>492</v>
      </c>
      <c r="C114" s="269">
        <v>42790</v>
      </c>
      <c r="D114" s="270">
        <f t="shared" si="3"/>
        <v>4089</v>
      </c>
      <c r="E114" s="261">
        <v>3686.4</v>
      </c>
      <c r="F114" s="29">
        <v>34.1</v>
      </c>
      <c r="G114" s="39">
        <f t="shared" si="2"/>
        <v>125706.24000000001</v>
      </c>
      <c r="H114" s="702">
        <v>42796</v>
      </c>
      <c r="I114" s="701" t="s">
        <v>1172</v>
      </c>
      <c r="L114" s="195"/>
      <c r="M114" s="195"/>
      <c r="N114" s="195"/>
    </row>
    <row r="115" spans="1:14" x14ac:dyDescent="0.25">
      <c r="A115" s="273" t="s">
        <v>237</v>
      </c>
      <c r="B115" s="268" t="s">
        <v>206</v>
      </c>
      <c r="C115" s="274">
        <v>42790</v>
      </c>
      <c r="D115" s="270">
        <v>4090</v>
      </c>
      <c r="E115" s="261">
        <v>569</v>
      </c>
      <c r="F115" s="29">
        <v>66</v>
      </c>
      <c r="G115" s="39">
        <f t="shared" si="2"/>
        <v>37554</v>
      </c>
      <c r="H115" s="697">
        <v>42788</v>
      </c>
      <c r="I115" s="8" t="s">
        <v>238</v>
      </c>
      <c r="L115" s="195"/>
      <c r="M115" s="195"/>
      <c r="N115" s="195"/>
    </row>
    <row r="116" spans="1:14" x14ac:dyDescent="0.25">
      <c r="A116" s="273" t="s">
        <v>237</v>
      </c>
      <c r="B116" s="268" t="s">
        <v>207</v>
      </c>
      <c r="C116" s="274">
        <v>42790</v>
      </c>
      <c r="D116" s="270">
        <v>4090</v>
      </c>
      <c r="E116" s="261">
        <v>385.4</v>
      </c>
      <c r="F116" s="29">
        <v>71</v>
      </c>
      <c r="G116" s="39">
        <f t="shared" si="2"/>
        <v>27363.399999999998</v>
      </c>
      <c r="H116" s="697">
        <v>42781</v>
      </c>
      <c r="I116" s="8" t="s">
        <v>238</v>
      </c>
      <c r="L116" s="195"/>
      <c r="M116" s="195"/>
      <c r="N116" s="195"/>
    </row>
    <row r="117" spans="1:14" x14ac:dyDescent="0.25">
      <c r="A117" s="273" t="s">
        <v>237</v>
      </c>
      <c r="B117" s="268" t="s">
        <v>239</v>
      </c>
      <c r="C117" s="274">
        <v>42790</v>
      </c>
      <c r="D117" s="270">
        <v>4091</v>
      </c>
      <c r="E117" s="261">
        <v>506.8</v>
      </c>
      <c r="F117" s="29">
        <v>15</v>
      </c>
      <c r="G117" s="39">
        <f t="shared" si="2"/>
        <v>7602</v>
      </c>
      <c r="H117" s="697">
        <v>42788</v>
      </c>
      <c r="I117" s="8" t="s">
        <v>238</v>
      </c>
      <c r="L117" s="195"/>
      <c r="M117" s="195"/>
      <c r="N117" s="195"/>
    </row>
    <row r="118" spans="1:14" x14ac:dyDescent="0.25">
      <c r="A118" s="273" t="s">
        <v>1171</v>
      </c>
      <c r="B118" s="268" t="s">
        <v>206</v>
      </c>
      <c r="C118" s="438">
        <v>42790</v>
      </c>
      <c r="D118" s="270">
        <v>4092</v>
      </c>
      <c r="E118" s="261">
        <v>807.8</v>
      </c>
      <c r="F118" s="29">
        <v>65</v>
      </c>
      <c r="G118" s="39">
        <f>F118*E118+84.2*72</f>
        <v>58569.4</v>
      </c>
      <c r="H118" s="697">
        <v>42790</v>
      </c>
      <c r="I118" s="8" t="s">
        <v>1172</v>
      </c>
      <c r="J118" s="8"/>
      <c r="L118" s="195"/>
      <c r="M118" s="195"/>
      <c r="N118" s="195"/>
    </row>
    <row r="119" spans="1:14" x14ac:dyDescent="0.25">
      <c r="A119" s="275" t="s">
        <v>1238</v>
      </c>
      <c r="B119" s="268" t="s">
        <v>1239</v>
      </c>
      <c r="C119" s="274">
        <v>42790</v>
      </c>
      <c r="D119" s="270">
        <v>4093</v>
      </c>
      <c r="E119" s="261">
        <v>33.799999999999997</v>
      </c>
      <c r="F119" s="29">
        <v>78</v>
      </c>
      <c r="G119" s="39">
        <f t="shared" si="2"/>
        <v>2636.3999999999996</v>
      </c>
      <c r="H119" s="697">
        <v>42793</v>
      </c>
      <c r="I119" s="8" t="s">
        <v>1172</v>
      </c>
      <c r="L119" s="195"/>
      <c r="M119" s="195"/>
      <c r="N119" s="195"/>
    </row>
    <row r="120" spans="1:14" x14ac:dyDescent="0.25">
      <c r="A120" s="275" t="s">
        <v>1350</v>
      </c>
      <c r="B120" s="268" t="s">
        <v>1193</v>
      </c>
      <c r="C120" s="274">
        <v>42790</v>
      </c>
      <c r="D120" s="270">
        <v>4094</v>
      </c>
      <c r="E120" s="261">
        <v>33.799999999999997</v>
      </c>
      <c r="F120" s="29">
        <v>21</v>
      </c>
      <c r="G120" s="39">
        <f t="shared" si="2"/>
        <v>709.8</v>
      </c>
      <c r="H120" s="697">
        <v>42790</v>
      </c>
      <c r="I120" s="8" t="s">
        <v>1172</v>
      </c>
      <c r="J120" s="195" t="s">
        <v>1351</v>
      </c>
      <c r="L120" s="195"/>
      <c r="M120" s="195"/>
      <c r="N120" s="195"/>
    </row>
    <row r="121" spans="1:14" x14ac:dyDescent="0.25">
      <c r="A121" s="275" t="s">
        <v>1213</v>
      </c>
      <c r="B121" s="268" t="s">
        <v>206</v>
      </c>
      <c r="C121" s="274">
        <v>42791</v>
      </c>
      <c r="D121" s="270">
        <v>4095</v>
      </c>
      <c r="E121" s="261">
        <v>476.2</v>
      </c>
      <c r="F121" s="29">
        <v>66</v>
      </c>
      <c r="G121" s="39">
        <f t="shared" si="2"/>
        <v>31429.200000000001</v>
      </c>
      <c r="H121" s="697">
        <v>42791</v>
      </c>
      <c r="I121" s="8" t="s">
        <v>1172</v>
      </c>
      <c r="L121" s="195"/>
      <c r="M121" s="195"/>
      <c r="N121" s="195"/>
    </row>
    <row r="122" spans="1:14" x14ac:dyDescent="0.25">
      <c r="A122" s="275" t="s">
        <v>1246</v>
      </c>
      <c r="B122" s="268" t="s">
        <v>1247</v>
      </c>
      <c r="C122" s="274">
        <v>42791</v>
      </c>
      <c r="D122" s="270">
        <v>4096</v>
      </c>
      <c r="E122" s="261">
        <v>897.7</v>
      </c>
      <c r="F122" s="29">
        <v>37</v>
      </c>
      <c r="G122" s="39">
        <f t="shared" si="2"/>
        <v>33214.9</v>
      </c>
      <c r="H122" s="702">
        <v>42795</v>
      </c>
      <c r="I122" s="701" t="s">
        <v>1172</v>
      </c>
      <c r="L122" s="195"/>
      <c r="M122" s="195"/>
      <c r="N122" s="195"/>
    </row>
    <row r="123" spans="1:14" x14ac:dyDescent="0.25">
      <c r="A123" s="275" t="s">
        <v>1197</v>
      </c>
      <c r="B123" s="268" t="s">
        <v>1245</v>
      </c>
      <c r="C123" s="274">
        <v>42791</v>
      </c>
      <c r="D123" s="270">
        <v>4097</v>
      </c>
      <c r="E123" s="261">
        <v>97.6</v>
      </c>
      <c r="F123" s="29">
        <v>58</v>
      </c>
      <c r="G123" s="39">
        <f t="shared" si="2"/>
        <v>5660.7999999999993</v>
      </c>
      <c r="H123" s="702">
        <v>42795</v>
      </c>
      <c r="I123" s="701" t="s">
        <v>1172</v>
      </c>
      <c r="L123" s="195"/>
      <c r="M123" s="195"/>
      <c r="N123" s="195"/>
    </row>
    <row r="124" spans="1:14" x14ac:dyDescent="0.25">
      <c r="A124" s="275" t="s">
        <v>1216</v>
      </c>
      <c r="B124" s="268" t="s">
        <v>1237</v>
      </c>
      <c r="C124" s="274">
        <v>42791</v>
      </c>
      <c r="D124" s="270">
        <v>4098</v>
      </c>
      <c r="E124" s="261">
        <v>119.9</v>
      </c>
      <c r="F124" s="29">
        <v>60</v>
      </c>
      <c r="G124" s="39">
        <f>F124*E124+213*48+20.8*27</f>
        <v>17979.599999999999</v>
      </c>
      <c r="H124" s="697">
        <v>42791</v>
      </c>
      <c r="I124" s="8" t="s">
        <v>1172</v>
      </c>
      <c r="L124" s="195"/>
      <c r="M124" s="195"/>
      <c r="N124" s="195"/>
    </row>
    <row r="125" spans="1:14" x14ac:dyDescent="0.25">
      <c r="A125" s="275" t="s">
        <v>1171</v>
      </c>
      <c r="B125" s="268" t="s">
        <v>206</v>
      </c>
      <c r="C125" s="274">
        <v>42791</v>
      </c>
      <c r="D125" s="270">
        <v>4099</v>
      </c>
      <c r="E125" s="261">
        <v>626.1</v>
      </c>
      <c r="F125" s="29">
        <v>65</v>
      </c>
      <c r="G125" s="39">
        <f t="shared" si="2"/>
        <v>40696.5</v>
      </c>
      <c r="H125" s="697">
        <v>42793</v>
      </c>
      <c r="I125" s="8" t="s">
        <v>1172</v>
      </c>
      <c r="L125" s="195"/>
      <c r="M125" s="195"/>
      <c r="N125" s="195"/>
    </row>
    <row r="126" spans="1:14" x14ac:dyDescent="0.25">
      <c r="A126" s="273" t="s">
        <v>1213</v>
      </c>
      <c r="B126" s="268" t="s">
        <v>206</v>
      </c>
      <c r="C126" s="274">
        <v>42792</v>
      </c>
      <c r="D126" s="270">
        <v>4100</v>
      </c>
      <c r="E126" s="261">
        <v>356.1</v>
      </c>
      <c r="F126" s="29">
        <v>66</v>
      </c>
      <c r="G126" s="39">
        <f t="shared" si="2"/>
        <v>23502.600000000002</v>
      </c>
      <c r="H126" s="697">
        <v>42792</v>
      </c>
      <c r="I126" s="8" t="s">
        <v>1172</v>
      </c>
      <c r="L126" s="195"/>
      <c r="M126" s="195"/>
      <c r="N126" s="195"/>
    </row>
    <row r="127" spans="1:14" x14ac:dyDescent="0.25">
      <c r="A127" s="277" t="s">
        <v>1213</v>
      </c>
      <c r="B127" s="268" t="s">
        <v>206</v>
      </c>
      <c r="C127" s="278">
        <v>42793</v>
      </c>
      <c r="D127" s="270">
        <v>4101</v>
      </c>
      <c r="E127" s="261">
        <v>428.9</v>
      </c>
      <c r="F127" s="29">
        <v>66</v>
      </c>
      <c r="G127" s="39">
        <f t="shared" si="2"/>
        <v>28307.399999999998</v>
      </c>
      <c r="H127" s="697">
        <v>42793</v>
      </c>
      <c r="I127" s="8" t="s">
        <v>1172</v>
      </c>
      <c r="L127" s="195"/>
      <c r="M127" s="195"/>
      <c r="N127" s="195"/>
    </row>
    <row r="128" spans="1:14" x14ac:dyDescent="0.25">
      <c r="A128" s="273" t="s">
        <v>1206</v>
      </c>
      <c r="B128" s="268" t="s">
        <v>1241</v>
      </c>
      <c r="C128" s="274">
        <v>42793</v>
      </c>
      <c r="D128" s="270">
        <v>4102</v>
      </c>
      <c r="E128" s="261">
        <v>205.8</v>
      </c>
      <c r="F128" s="29">
        <v>72</v>
      </c>
      <c r="G128" s="39">
        <f t="shared" si="2"/>
        <v>14817.6</v>
      </c>
      <c r="H128" s="697">
        <v>42793</v>
      </c>
      <c r="I128" s="8" t="s">
        <v>1172</v>
      </c>
      <c r="L128" s="195"/>
      <c r="M128" s="195"/>
      <c r="N128" s="195"/>
    </row>
    <row r="129" spans="1:14" x14ac:dyDescent="0.25">
      <c r="A129" s="273" t="s">
        <v>1216</v>
      </c>
      <c r="B129" s="279" t="s">
        <v>1240</v>
      </c>
      <c r="C129" s="274">
        <v>42793</v>
      </c>
      <c r="D129" s="270">
        <v>4103</v>
      </c>
      <c r="E129" s="261">
        <v>217</v>
      </c>
      <c r="F129" s="29">
        <v>48</v>
      </c>
      <c r="G129" s="39">
        <f t="shared" si="2"/>
        <v>10416</v>
      </c>
      <c r="H129" s="697">
        <v>42793</v>
      </c>
      <c r="I129" s="8" t="s">
        <v>1172</v>
      </c>
      <c r="L129" s="195"/>
      <c r="M129" s="195"/>
      <c r="N129" s="195"/>
    </row>
    <row r="130" spans="1:14" x14ac:dyDescent="0.25">
      <c r="A130" s="273" t="s">
        <v>1171</v>
      </c>
      <c r="B130" s="279" t="s">
        <v>206</v>
      </c>
      <c r="C130" s="274">
        <v>42793</v>
      </c>
      <c r="D130" s="270">
        <v>4104</v>
      </c>
      <c r="E130" s="261">
        <v>1624.5</v>
      </c>
      <c r="F130" s="29">
        <v>66.5</v>
      </c>
      <c r="G130" s="39">
        <f t="shared" si="2"/>
        <v>108029.25</v>
      </c>
      <c r="H130" s="697">
        <v>42793</v>
      </c>
      <c r="I130" s="8" t="s">
        <v>1172</v>
      </c>
      <c r="L130" s="195"/>
      <c r="M130" s="195"/>
      <c r="N130" s="195"/>
    </row>
    <row r="131" spans="1:14" ht="15.75" x14ac:dyDescent="0.25">
      <c r="A131" s="273" t="s">
        <v>1213</v>
      </c>
      <c r="B131" s="280" t="s">
        <v>206</v>
      </c>
      <c r="C131" s="274">
        <v>42794</v>
      </c>
      <c r="D131" s="270">
        <v>4105</v>
      </c>
      <c r="E131" s="261">
        <v>142.19999999999999</v>
      </c>
      <c r="F131" s="29">
        <v>66</v>
      </c>
      <c r="G131" s="39">
        <f t="shared" si="2"/>
        <v>9385.1999999999989</v>
      </c>
      <c r="H131" s="697">
        <v>42794</v>
      </c>
      <c r="I131" s="8" t="s">
        <v>1172</v>
      </c>
      <c r="L131" s="195"/>
      <c r="M131" s="195"/>
      <c r="N131" s="195"/>
    </row>
    <row r="132" spans="1:14" ht="15.75" x14ac:dyDescent="0.25">
      <c r="A132" s="273" t="s">
        <v>1202</v>
      </c>
      <c r="B132" s="280" t="s">
        <v>1242</v>
      </c>
      <c r="C132" s="274">
        <v>42794</v>
      </c>
      <c r="D132" s="270">
        <v>4106</v>
      </c>
      <c r="E132" s="261">
        <v>20.69</v>
      </c>
      <c r="F132" s="209">
        <v>20</v>
      </c>
      <c r="G132" s="39">
        <f t="shared" si="2"/>
        <v>413.8</v>
      </c>
      <c r="H132" s="697">
        <v>42794</v>
      </c>
      <c r="I132" s="8" t="s">
        <v>1172</v>
      </c>
      <c r="J132" s="198"/>
      <c r="K132" s="281"/>
      <c r="L132" s="195"/>
      <c r="M132" s="195"/>
      <c r="N132" s="195"/>
    </row>
    <row r="133" spans="1:14" x14ac:dyDescent="0.25">
      <c r="A133" s="273" t="s">
        <v>1220</v>
      </c>
      <c r="B133" s="283" t="s">
        <v>1245</v>
      </c>
      <c r="C133" s="284">
        <v>42794</v>
      </c>
      <c r="D133" s="270">
        <v>4107</v>
      </c>
      <c r="E133" s="261">
        <v>886.15</v>
      </c>
      <c r="F133" s="209">
        <v>14.763999999999999</v>
      </c>
      <c r="G133" s="39">
        <f t="shared" si="2"/>
        <v>13083.1186</v>
      </c>
      <c r="H133" s="702">
        <v>42804</v>
      </c>
      <c r="I133" s="701" t="s">
        <v>1172</v>
      </c>
      <c r="J133" s="198"/>
      <c r="K133" s="281"/>
      <c r="L133" s="195"/>
      <c r="M133" s="195"/>
      <c r="N133" s="195"/>
    </row>
    <row r="134" spans="1:14" x14ac:dyDescent="0.25">
      <c r="A134" s="273"/>
      <c r="B134" s="283"/>
      <c r="C134" s="284"/>
      <c r="D134" s="270"/>
      <c r="F134" s="209"/>
      <c r="G134" s="39">
        <f t="shared" si="2"/>
        <v>0</v>
      </c>
      <c r="J134" s="198"/>
      <c r="K134" s="281"/>
      <c r="L134" s="195"/>
      <c r="M134" s="195"/>
      <c r="N134" s="195"/>
    </row>
    <row r="135" spans="1:14" x14ac:dyDescent="0.25">
      <c r="A135" s="273"/>
      <c r="B135" s="283"/>
      <c r="C135" s="284"/>
      <c r="D135" s="270"/>
      <c r="F135" s="209"/>
      <c r="G135" s="39">
        <f t="shared" si="2"/>
        <v>0</v>
      </c>
      <c r="J135" s="198"/>
      <c r="K135" s="281"/>
      <c r="L135" s="195"/>
      <c r="M135" s="195"/>
      <c r="N135" s="195"/>
    </row>
    <row r="136" spans="1:14" x14ac:dyDescent="0.25">
      <c r="A136" s="273"/>
      <c r="B136" s="279"/>
      <c r="C136" s="284"/>
      <c r="D136" s="270"/>
      <c r="F136" s="209"/>
      <c r="G136" s="39">
        <f t="shared" si="2"/>
        <v>0</v>
      </c>
      <c r="I136" s="219"/>
      <c r="J136" s="198"/>
      <c r="K136" s="281"/>
      <c r="L136" s="195"/>
      <c r="M136" s="195"/>
      <c r="N136" s="195"/>
    </row>
    <row r="137" spans="1:14" x14ac:dyDescent="0.25">
      <c r="A137" s="288"/>
      <c r="B137" s="308"/>
      <c r="C137" s="309"/>
      <c r="D137" s="270"/>
      <c r="G137" s="39">
        <f t="shared" ref="G137:G138" si="4">F137*E137</f>
        <v>0</v>
      </c>
      <c r="L137" s="195"/>
      <c r="M137" s="195"/>
      <c r="N137" s="195"/>
    </row>
    <row r="138" spans="1:14" ht="15.75" thickBot="1" x14ac:dyDescent="0.3">
      <c r="A138" s="288"/>
      <c r="B138" s="308"/>
      <c r="C138" s="309"/>
      <c r="D138" s="310"/>
      <c r="E138" s="311"/>
      <c r="G138" s="39">
        <f t="shared" si="4"/>
        <v>0</v>
      </c>
      <c r="L138" s="195"/>
      <c r="M138" s="195"/>
      <c r="N138" s="195"/>
    </row>
    <row r="139" spans="1:14" ht="19.5" thickBot="1" x14ac:dyDescent="0.35">
      <c r="A139" s="313"/>
      <c r="B139" s="188"/>
      <c r="C139" s="31"/>
      <c r="D139" s="314"/>
      <c r="E139" s="891" t="s">
        <v>30</v>
      </c>
      <c r="F139" s="892"/>
      <c r="G139" s="214">
        <f>SUM(G4:G138)</f>
        <v>3905676.4205999998</v>
      </c>
    </row>
    <row r="140" spans="1:14" x14ac:dyDescent="0.25">
      <c r="A140" s="313"/>
      <c r="B140" s="188"/>
      <c r="C140" s="31"/>
      <c r="D140" s="314"/>
      <c r="E140" s="311"/>
      <c r="F140" s="316"/>
      <c r="G140" s="39"/>
    </row>
    <row r="141" spans="1:14" x14ac:dyDescent="0.25">
      <c r="A141" s="313"/>
      <c r="B141" s="188"/>
      <c r="C141" s="31"/>
      <c r="D141" s="314"/>
      <c r="E141" s="311"/>
      <c r="F141" s="316"/>
      <c r="G141" s="39"/>
    </row>
    <row r="142" spans="1:14" x14ac:dyDescent="0.25">
      <c r="A142" s="313"/>
      <c r="B142" s="188"/>
      <c r="C142" s="31"/>
      <c r="D142" s="314"/>
      <c r="E142" s="311"/>
      <c r="F142" s="316"/>
      <c r="G142" s="39"/>
    </row>
    <row r="143" spans="1:14" ht="18.75" x14ac:dyDescent="0.25">
      <c r="A143" s="313"/>
      <c r="B143" s="188"/>
      <c r="C143" s="31"/>
      <c r="D143" s="317"/>
      <c r="E143" s="318"/>
      <c r="F143" s="319"/>
      <c r="G143" s="320"/>
    </row>
    <row r="144" spans="1:14" ht="18.75" x14ac:dyDescent="0.25">
      <c r="A144" s="313"/>
      <c r="B144" s="188"/>
      <c r="C144" s="31"/>
      <c r="D144" s="317"/>
      <c r="E144" s="318"/>
      <c r="F144" s="319"/>
      <c r="G144" s="320"/>
    </row>
    <row r="145" spans="1:11" x14ac:dyDescent="0.25">
      <c r="A145" s="313"/>
      <c r="B145" s="188"/>
      <c r="C145" s="31"/>
      <c r="D145" s="317"/>
      <c r="E145" s="321"/>
      <c r="F145" s="322"/>
      <c r="G145" s="323"/>
      <c r="K145"/>
    </row>
    <row r="146" spans="1:11" x14ac:dyDescent="0.25">
      <c r="A146" s="313"/>
      <c r="B146" s="188"/>
      <c r="C146" s="31"/>
      <c r="D146" s="317"/>
      <c r="E146" s="321"/>
      <c r="F146" s="322"/>
      <c r="G146" s="323"/>
      <c r="K146"/>
    </row>
    <row r="147" spans="1:11" x14ac:dyDescent="0.25">
      <c r="A147" s="313"/>
      <c r="B147" s="188"/>
      <c r="C147" s="31"/>
      <c r="D147" s="317"/>
      <c r="E147" s="321"/>
      <c r="F147" s="322"/>
      <c r="G147" s="323"/>
      <c r="K147"/>
    </row>
    <row r="148" spans="1:11" x14ac:dyDescent="0.25">
      <c r="A148" s="313"/>
      <c r="B148" s="188"/>
      <c r="C148" s="31"/>
      <c r="D148" s="317"/>
      <c r="E148" s="321"/>
      <c r="F148" s="322"/>
      <c r="G148" s="323"/>
      <c r="K148"/>
    </row>
    <row r="149" spans="1:11" x14ac:dyDescent="0.25">
      <c r="A149" s="313"/>
      <c r="B149" s="188"/>
      <c r="C149" s="31"/>
      <c r="D149" s="317"/>
      <c r="E149" s="321"/>
      <c r="F149" s="322"/>
      <c r="G149" s="323"/>
      <c r="K149"/>
    </row>
    <row r="150" spans="1:11" x14ac:dyDescent="0.25">
      <c r="A150" s="313"/>
      <c r="B150" s="188"/>
      <c r="C150" s="31"/>
      <c r="D150" s="317"/>
      <c r="E150" s="321"/>
      <c r="F150" s="322"/>
      <c r="G150" s="323"/>
      <c r="K150"/>
    </row>
    <row r="151" spans="1:11" x14ac:dyDescent="0.25">
      <c r="A151" s="313"/>
      <c r="B151" s="188"/>
      <c r="C151" s="31"/>
      <c r="D151" s="317"/>
      <c r="E151" s="321"/>
      <c r="F151" s="322"/>
      <c r="G151" s="323"/>
      <c r="K151"/>
    </row>
    <row r="152" spans="1:11" x14ac:dyDescent="0.25">
      <c r="A152" s="313"/>
      <c r="B152" s="324"/>
      <c r="C152" s="31"/>
      <c r="D152" s="260"/>
      <c r="E152" s="325"/>
      <c r="F152" s="326"/>
      <c r="G152" s="39"/>
      <c r="K152"/>
    </row>
    <row r="153" spans="1:11" x14ac:dyDescent="0.25">
      <c r="A153" s="313"/>
      <c r="B153" s="324"/>
      <c r="C153" s="31"/>
      <c r="D153" s="260"/>
      <c r="E153" s="325"/>
      <c r="F153" s="326"/>
      <c r="G153" s="39"/>
      <c r="K153"/>
    </row>
    <row r="154" spans="1:11" x14ac:dyDescent="0.25">
      <c r="A154" s="313"/>
      <c r="B154" s="324"/>
      <c r="C154" s="31"/>
      <c r="D154" s="260"/>
      <c r="E154" s="325"/>
      <c r="F154" s="326"/>
      <c r="G154" s="39"/>
      <c r="K154"/>
    </row>
    <row r="155" spans="1:11" x14ac:dyDescent="0.25">
      <c r="A155" s="313"/>
      <c r="B155" s="324"/>
      <c r="C155" s="31"/>
      <c r="D155" s="260"/>
      <c r="E155" s="325"/>
      <c r="F155" s="326"/>
      <c r="G155" s="39"/>
      <c r="K155"/>
    </row>
    <row r="156" spans="1:11" x14ac:dyDescent="0.25">
      <c r="A156" s="313"/>
      <c r="B156" s="324"/>
      <c r="C156" s="31"/>
      <c r="D156" s="260"/>
      <c r="E156" s="325"/>
      <c r="F156" s="326"/>
      <c r="G156" s="39"/>
      <c r="K156"/>
    </row>
    <row r="157" spans="1:11" x14ac:dyDescent="0.25">
      <c r="A157" s="313"/>
      <c r="B157" s="324"/>
      <c r="C157" s="31"/>
      <c r="D157" s="260"/>
      <c r="E157" s="325"/>
      <c r="F157" s="326"/>
      <c r="G157" s="39"/>
      <c r="K157"/>
    </row>
    <row r="158" spans="1:11" x14ac:dyDescent="0.25">
      <c r="A158" s="313"/>
      <c r="B158" s="324"/>
      <c r="C158" s="31"/>
      <c r="D158" s="260"/>
      <c r="E158" s="325"/>
      <c r="F158" s="326"/>
      <c r="G158" s="39"/>
      <c r="K158"/>
    </row>
    <row r="159" spans="1:11" x14ac:dyDescent="0.25">
      <c r="A159" s="313"/>
      <c r="B159" s="324"/>
      <c r="C159" s="31"/>
      <c r="D159" s="260"/>
      <c r="E159" s="325"/>
      <c r="F159" s="326"/>
      <c r="G159" s="39"/>
      <c r="K159"/>
    </row>
    <row r="160" spans="1:11" x14ac:dyDescent="0.25">
      <c r="A160" s="313"/>
      <c r="B160" s="324"/>
      <c r="C160" s="31"/>
      <c r="D160" s="260"/>
      <c r="E160" s="325"/>
      <c r="F160" s="326"/>
      <c r="G160" s="39"/>
      <c r="K160"/>
    </row>
    <row r="161" spans="1:11" x14ac:dyDescent="0.25">
      <c r="A161" s="313"/>
      <c r="B161" s="324"/>
      <c r="C161" s="31"/>
      <c r="D161" s="260"/>
      <c r="E161" s="325"/>
      <c r="F161" s="326"/>
      <c r="G161" s="39"/>
      <c r="K161"/>
    </row>
    <row r="162" spans="1:11" x14ac:dyDescent="0.25">
      <c r="A162" s="313"/>
      <c r="B162" s="324"/>
      <c r="C162" s="31"/>
      <c r="D162" s="260"/>
      <c r="E162" s="327"/>
      <c r="F162" s="328"/>
      <c r="G162" s="39"/>
      <c r="K162"/>
    </row>
    <row r="163" spans="1:11" x14ac:dyDescent="0.25">
      <c r="A163" s="183"/>
      <c r="B163" s="324"/>
      <c r="C163" s="329"/>
      <c r="D163" s="260"/>
      <c r="E163" s="327"/>
      <c r="F163" s="328"/>
      <c r="G163" s="39"/>
      <c r="K163"/>
    </row>
    <row r="164" spans="1:11" x14ac:dyDescent="0.25">
      <c r="B164" s="324"/>
      <c r="C164" s="329"/>
      <c r="D164" s="260"/>
      <c r="E164" s="327"/>
      <c r="F164" s="328"/>
      <c r="G164" s="39"/>
      <c r="K164"/>
    </row>
    <row r="165" spans="1:11" x14ac:dyDescent="0.25">
      <c r="B165" s="324"/>
      <c r="C165" s="329"/>
      <c r="D165" s="260"/>
      <c r="E165" s="327"/>
      <c r="F165" s="328"/>
      <c r="G165" s="39"/>
      <c r="K165"/>
    </row>
    <row r="166" spans="1:11" x14ac:dyDescent="0.25">
      <c r="B166" s="324"/>
      <c r="C166" s="329"/>
      <c r="D166" s="260"/>
      <c r="E166" s="327"/>
      <c r="F166" s="328"/>
      <c r="G166" s="39"/>
      <c r="K166"/>
    </row>
    <row r="167" spans="1:11" x14ac:dyDescent="0.25">
      <c r="B167" s="324"/>
      <c r="C167" s="329"/>
      <c r="D167" s="260"/>
      <c r="E167" s="327"/>
      <c r="F167" s="328"/>
      <c r="G167" s="39"/>
      <c r="K167"/>
    </row>
    <row r="168" spans="1:11" x14ac:dyDescent="0.25">
      <c r="A168" s="290"/>
      <c r="B168" s="324"/>
      <c r="C168" s="329"/>
      <c r="D168" s="260"/>
      <c r="E168" s="327"/>
      <c r="F168" s="328"/>
      <c r="G168" s="27"/>
      <c r="K168"/>
    </row>
    <row r="169" spans="1:11" x14ac:dyDescent="0.25">
      <c r="B169" s="324"/>
      <c r="C169" s="329"/>
      <c r="D169" s="260"/>
      <c r="E169" s="327"/>
      <c r="F169" s="328"/>
      <c r="G169" s="330"/>
      <c r="K169"/>
    </row>
    <row r="170" spans="1:11" x14ac:dyDescent="0.25">
      <c r="B170" s="188"/>
      <c r="C170" s="329"/>
      <c r="D170" s="331"/>
      <c r="E170" s="311"/>
      <c r="F170" s="316"/>
      <c r="G170" s="330"/>
      <c r="K170"/>
    </row>
    <row r="171" spans="1:11" x14ac:dyDescent="0.25">
      <c r="B171" s="188"/>
      <c r="C171" s="329"/>
      <c r="D171" s="331"/>
      <c r="E171" s="311"/>
      <c r="F171" s="316"/>
      <c r="G171" s="330"/>
      <c r="K171"/>
    </row>
    <row r="172" spans="1:11" x14ac:dyDescent="0.25">
      <c r="B172" s="188"/>
      <c r="C172" s="329"/>
      <c r="D172" s="331"/>
      <c r="E172" s="311"/>
      <c r="F172" s="316"/>
      <c r="G172" s="330"/>
      <c r="K172"/>
    </row>
    <row r="173" spans="1:11" x14ac:dyDescent="0.25">
      <c r="B173" s="188"/>
      <c r="C173" s="329"/>
      <c r="D173" s="331"/>
      <c r="E173" s="311"/>
      <c r="F173" s="316"/>
      <c r="G173" s="330"/>
      <c r="K173"/>
    </row>
    <row r="174" spans="1:11" x14ac:dyDescent="0.25">
      <c r="B174" s="188"/>
      <c r="C174" s="329"/>
      <c r="D174" s="331"/>
      <c r="E174" s="311"/>
      <c r="F174" s="316"/>
      <c r="G174" s="330"/>
      <c r="K174"/>
    </row>
    <row r="175" spans="1:11" x14ac:dyDescent="0.25">
      <c r="B175" s="188"/>
      <c r="C175" s="329"/>
      <c r="D175" s="331"/>
      <c r="E175" s="311"/>
      <c r="F175" s="316"/>
      <c r="G175" s="330"/>
      <c r="K175"/>
    </row>
    <row r="176" spans="1:11" x14ac:dyDescent="0.25">
      <c r="B176" s="188"/>
      <c r="C176" s="329"/>
      <c r="D176" s="331"/>
      <c r="E176" s="311"/>
      <c r="F176" s="316"/>
      <c r="G176" s="330"/>
      <c r="K176"/>
    </row>
  </sheetData>
  <mergeCells count="2">
    <mergeCell ref="A1:G1"/>
    <mergeCell ref="E139:F1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HA109"/>
  <sheetViews>
    <sheetView topLeftCell="J1" workbookViewId="0">
      <pane xSplit="4" ySplit="2" topLeftCell="GU42" activePane="bottomRight" state="frozen"/>
      <selection activeCell="J1" sqref="J1"/>
      <selection pane="topRight" activeCell="N1" sqref="N1"/>
      <selection pane="bottomLeft" activeCell="J3" sqref="J3"/>
      <selection pane="bottomRight" activeCell="GV47" sqref="GV4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206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177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58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459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350" t="s">
        <v>16</v>
      </c>
      <c r="L3" s="334" t="s">
        <v>17</v>
      </c>
      <c r="M3" s="335" t="s">
        <v>18</v>
      </c>
      <c r="N3" s="43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460"/>
      <c r="GZ3" s="55"/>
    </row>
    <row r="4" spans="1:208" ht="16.5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96</v>
      </c>
      <c r="K4" s="69" t="s">
        <v>35</v>
      </c>
      <c r="L4" s="77">
        <v>12640</v>
      </c>
      <c r="M4" s="71">
        <v>42795</v>
      </c>
      <c r="N4" s="56" t="s">
        <v>247</v>
      </c>
      <c r="O4" s="351">
        <v>15595</v>
      </c>
      <c r="P4" s="60">
        <f t="shared" ref="P4:P11" si="0">O4-L4</f>
        <v>2955</v>
      </c>
      <c r="Q4" s="333">
        <v>26</v>
      </c>
      <c r="R4" s="57"/>
      <c r="S4" s="57"/>
      <c r="T4" s="39">
        <f>Q4*O4</f>
        <v>405470</v>
      </c>
      <c r="U4" s="61" t="s">
        <v>72</v>
      </c>
      <c r="V4" s="62">
        <v>42817</v>
      </c>
      <c r="W4" s="63">
        <v>9802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257">
        <v>42817</v>
      </c>
      <c r="GU4" s="226"/>
      <c r="GV4" s="258">
        <v>17584</v>
      </c>
      <c r="GW4" s="31" t="s">
        <v>219</v>
      </c>
      <c r="GX4" s="31"/>
      <c r="GY4" s="31">
        <v>42843</v>
      </c>
      <c r="GZ4" s="219">
        <v>2088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38</v>
      </c>
      <c r="K5" s="69" t="s">
        <v>178</v>
      </c>
      <c r="L5" s="77">
        <v>16580</v>
      </c>
      <c r="M5" s="71">
        <v>42796</v>
      </c>
      <c r="N5" s="56" t="s">
        <v>261</v>
      </c>
      <c r="O5" s="27">
        <v>20900</v>
      </c>
      <c r="P5" s="60">
        <f t="shared" si="0"/>
        <v>4320</v>
      </c>
      <c r="Q5" s="29">
        <v>26</v>
      </c>
      <c r="R5" s="57"/>
      <c r="S5" s="57"/>
      <c r="T5" s="39">
        <f>Q5*O5</f>
        <v>543400</v>
      </c>
      <c r="U5" s="336" t="s">
        <v>72</v>
      </c>
      <c r="V5" s="166">
        <v>42821</v>
      </c>
      <c r="W5" s="86">
        <v>15155.4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42821</v>
      </c>
      <c r="GU5" s="64"/>
      <c r="GV5" s="65"/>
      <c r="GW5" s="66"/>
      <c r="GX5" s="66"/>
      <c r="GY5" s="66">
        <v>42843</v>
      </c>
      <c r="GZ5" s="86">
        <v>3712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393" t="s">
        <v>209</v>
      </c>
      <c r="K6" s="69" t="s">
        <v>206</v>
      </c>
      <c r="L6" s="77">
        <v>794</v>
      </c>
      <c r="M6" s="71">
        <v>42797</v>
      </c>
      <c r="N6" s="418">
        <v>5474</v>
      </c>
      <c r="O6" s="27">
        <v>794</v>
      </c>
      <c r="P6" s="60">
        <f t="shared" si="0"/>
        <v>0</v>
      </c>
      <c r="Q6" s="29">
        <v>66</v>
      </c>
      <c r="R6" s="57"/>
      <c r="S6" s="57"/>
      <c r="T6" s="39">
        <f t="shared" ref="T6:T7" si="1">Q6*O6</f>
        <v>52404</v>
      </c>
      <c r="U6" s="336" t="s">
        <v>72</v>
      </c>
      <c r="V6" s="166">
        <v>42809</v>
      </c>
      <c r="W6" s="86"/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/>
      <c r="GU6" s="64"/>
      <c r="GV6" s="65"/>
      <c r="GW6" s="66"/>
      <c r="GX6" s="66"/>
      <c r="GY6" s="461"/>
      <c r="GZ6" s="67">
        <v>0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153</v>
      </c>
      <c r="K7" s="69" t="s">
        <v>35</v>
      </c>
      <c r="L7" s="70">
        <v>13140</v>
      </c>
      <c r="M7" s="71">
        <v>42797</v>
      </c>
      <c r="N7" s="56" t="s">
        <v>264</v>
      </c>
      <c r="O7" s="72">
        <v>15725</v>
      </c>
      <c r="P7" s="60">
        <f t="shared" si="0"/>
        <v>2585</v>
      </c>
      <c r="Q7" s="64">
        <v>25.5</v>
      </c>
      <c r="R7" s="57"/>
      <c r="S7" s="57"/>
      <c r="T7" s="39">
        <f t="shared" si="1"/>
        <v>400987.5</v>
      </c>
      <c r="U7" s="82" t="s">
        <v>72</v>
      </c>
      <c r="V7" s="339">
        <v>42822</v>
      </c>
      <c r="W7" s="340">
        <v>9802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42822</v>
      </c>
      <c r="GU7" s="73"/>
      <c r="GV7" s="65">
        <v>17584</v>
      </c>
      <c r="GW7" s="74" t="s">
        <v>221</v>
      </c>
      <c r="GX7" s="74"/>
      <c r="GY7" s="66">
        <v>42843</v>
      </c>
      <c r="GZ7" s="75">
        <v>2088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44</v>
      </c>
      <c r="K8" s="69" t="s">
        <v>37</v>
      </c>
      <c r="L8" s="77">
        <v>19820</v>
      </c>
      <c r="M8" s="71">
        <v>42797</v>
      </c>
      <c r="N8" s="56" t="s">
        <v>263</v>
      </c>
      <c r="O8" s="78">
        <v>24985</v>
      </c>
      <c r="P8" s="60">
        <f t="shared" si="0"/>
        <v>5165</v>
      </c>
      <c r="Q8" s="79">
        <v>25.5</v>
      </c>
      <c r="R8" s="80"/>
      <c r="S8" s="81"/>
      <c r="T8" s="39">
        <f t="shared" ref="T8:T79" si="2">Q8*O8</f>
        <v>637117.5</v>
      </c>
      <c r="U8" s="82" t="s">
        <v>72</v>
      </c>
      <c r="V8" s="339">
        <v>42821</v>
      </c>
      <c r="W8" s="340">
        <v>15080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342">
        <v>42821</v>
      </c>
      <c r="GU8" s="73"/>
      <c r="GV8" s="84">
        <v>22176</v>
      </c>
      <c r="GW8" s="74" t="s">
        <v>220</v>
      </c>
      <c r="GX8" s="74"/>
      <c r="GY8" s="66">
        <v>42843</v>
      </c>
      <c r="GZ8" s="86">
        <v>3712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152</v>
      </c>
      <c r="K9" s="69" t="s">
        <v>40</v>
      </c>
      <c r="L9" s="77">
        <v>26000</v>
      </c>
      <c r="M9" s="71">
        <v>42799</v>
      </c>
      <c r="N9" s="56" t="s">
        <v>277</v>
      </c>
      <c r="O9" s="78">
        <v>27275</v>
      </c>
      <c r="P9" s="60">
        <f t="shared" si="0"/>
        <v>1275</v>
      </c>
      <c r="Q9" s="79">
        <v>25</v>
      </c>
      <c r="R9" s="64"/>
      <c r="S9" s="89"/>
      <c r="T9" s="39">
        <f t="shared" si="2"/>
        <v>681875</v>
      </c>
      <c r="U9" s="90" t="s">
        <v>72</v>
      </c>
      <c r="V9" s="83">
        <v>42825</v>
      </c>
      <c r="W9" s="91">
        <v>16588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97">
        <v>42825</v>
      </c>
      <c r="GU9" s="98"/>
      <c r="GV9" s="65"/>
      <c r="GW9" s="74"/>
      <c r="GX9" s="74"/>
      <c r="GY9" s="66">
        <v>42843</v>
      </c>
      <c r="GZ9" s="86">
        <v>3712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33</v>
      </c>
      <c r="K10" s="69" t="s">
        <v>276</v>
      </c>
      <c r="L10" s="77"/>
      <c r="M10" s="71">
        <v>42799</v>
      </c>
      <c r="N10" s="380" t="s">
        <v>283</v>
      </c>
      <c r="O10" s="78">
        <v>4870</v>
      </c>
      <c r="P10" s="60">
        <f t="shared" si="0"/>
        <v>4870</v>
      </c>
      <c r="Q10" s="79">
        <v>25</v>
      </c>
      <c r="R10" s="64"/>
      <c r="S10" s="89"/>
      <c r="T10" s="39">
        <f t="shared" si="2"/>
        <v>121750</v>
      </c>
      <c r="U10" s="352" t="s">
        <v>72</v>
      </c>
      <c r="V10" s="408">
        <v>42828</v>
      </c>
      <c r="W10" s="367">
        <v>3016</v>
      </c>
      <c r="X10" s="355"/>
      <c r="Y10" s="356"/>
      <c r="Z10" s="357"/>
      <c r="AA10" s="358"/>
      <c r="AB10" s="357"/>
      <c r="AC10" s="359"/>
      <c r="AD10" s="360"/>
      <c r="AE10" s="355"/>
      <c r="AF10" s="355"/>
      <c r="AG10" s="355"/>
      <c r="AH10" s="356"/>
      <c r="AI10" s="357"/>
      <c r="AJ10" s="358"/>
      <c r="AK10" s="357"/>
      <c r="AL10" s="359"/>
      <c r="AM10" s="360"/>
      <c r="AN10" s="355"/>
      <c r="AO10" s="355"/>
      <c r="AP10" s="355"/>
      <c r="AQ10" s="356"/>
      <c r="AR10" s="357"/>
      <c r="AS10" s="358"/>
      <c r="AT10" s="357"/>
      <c r="AU10" s="359"/>
      <c r="AV10" s="360"/>
      <c r="AW10" s="355"/>
      <c r="AX10" s="355"/>
      <c r="AY10" s="355"/>
      <c r="AZ10" s="356"/>
      <c r="BA10" s="357"/>
      <c r="BB10" s="358"/>
      <c r="BC10" s="357"/>
      <c r="BD10" s="359"/>
      <c r="BE10" s="360"/>
      <c r="BF10" s="355"/>
      <c r="BG10" s="355"/>
      <c r="BH10" s="355"/>
      <c r="BI10" s="356"/>
      <c r="BJ10" s="357"/>
      <c r="BK10" s="358"/>
      <c r="BL10" s="357"/>
      <c r="BM10" s="359"/>
      <c r="BN10" s="360"/>
      <c r="BO10" s="355"/>
      <c r="BP10" s="355"/>
      <c r="BQ10" s="355"/>
      <c r="BR10" s="356"/>
      <c r="BS10" s="357"/>
      <c r="BT10" s="358"/>
      <c r="BU10" s="357"/>
      <c r="BV10" s="359"/>
      <c r="BW10" s="360"/>
      <c r="BX10" s="355"/>
      <c r="BY10" s="355"/>
      <c r="BZ10" s="355"/>
      <c r="CA10" s="356"/>
      <c r="CB10" s="357"/>
      <c r="CC10" s="358"/>
      <c r="CD10" s="357"/>
      <c r="CE10" s="359"/>
      <c r="CF10" s="360"/>
      <c r="CG10" s="355"/>
      <c r="CH10" s="355"/>
      <c r="CI10" s="355"/>
      <c r="CJ10" s="356"/>
      <c r="CK10" s="357"/>
      <c r="CL10" s="358"/>
      <c r="CM10" s="357"/>
      <c r="CN10" s="359"/>
      <c r="CO10" s="360"/>
      <c r="CP10" s="355"/>
      <c r="CQ10" s="355"/>
      <c r="CR10" s="355"/>
      <c r="CS10" s="356"/>
      <c r="CT10" s="357"/>
      <c r="CU10" s="358"/>
      <c r="CV10" s="361"/>
      <c r="CW10" s="359"/>
      <c r="CX10" s="360"/>
      <c r="CY10" s="355"/>
      <c r="CZ10" s="355"/>
      <c r="DA10" s="355"/>
      <c r="DB10" s="356"/>
      <c r="DC10" s="357"/>
      <c r="DD10" s="358"/>
      <c r="DE10" s="357"/>
      <c r="DF10" s="359"/>
      <c r="DG10" s="360"/>
      <c r="DH10" s="355"/>
      <c r="DI10" s="355"/>
      <c r="DJ10" s="355"/>
      <c r="DK10" s="356"/>
      <c r="DL10" s="357"/>
      <c r="DM10" s="358"/>
      <c r="DN10" s="357"/>
      <c r="DO10" s="359"/>
      <c r="DP10" s="360"/>
      <c r="DQ10" s="355"/>
      <c r="DR10" s="355"/>
      <c r="DS10" s="355"/>
      <c r="DT10" s="356"/>
      <c r="DU10" s="357"/>
      <c r="DV10" s="358"/>
      <c r="DW10" s="357"/>
      <c r="DX10" s="359"/>
      <c r="DY10" s="360"/>
      <c r="DZ10" s="355"/>
      <c r="EA10" s="355"/>
      <c r="EB10" s="355"/>
      <c r="EC10" s="356"/>
      <c r="ED10" s="357"/>
      <c r="EE10" s="358"/>
      <c r="EF10" s="357"/>
      <c r="EG10" s="359"/>
      <c r="EH10" s="360"/>
      <c r="EI10" s="355"/>
      <c r="EJ10" s="355"/>
      <c r="EK10" s="355"/>
      <c r="EL10" s="356"/>
      <c r="EM10" s="357"/>
      <c r="EN10" s="358"/>
      <c r="EO10" s="357"/>
      <c r="EP10" s="359"/>
      <c r="EQ10" s="360"/>
      <c r="ER10" s="355"/>
      <c r="ES10" s="355"/>
      <c r="ET10" s="355"/>
      <c r="EU10" s="356"/>
      <c r="EV10" s="357"/>
      <c r="EW10" s="358"/>
      <c r="EX10" s="357"/>
      <c r="EY10" s="359"/>
      <c r="EZ10" s="360"/>
      <c r="FA10" s="355"/>
      <c r="FB10" s="355"/>
      <c r="FC10" s="355"/>
      <c r="FD10" s="356"/>
      <c r="FE10" s="357"/>
      <c r="FF10" s="358"/>
      <c r="FG10" s="357"/>
      <c r="FH10" s="359"/>
      <c r="FI10" s="360"/>
      <c r="FJ10" s="355"/>
      <c r="FK10" s="355"/>
      <c r="FL10" s="355"/>
      <c r="FM10" s="356"/>
      <c r="FN10" s="357"/>
      <c r="FO10" s="358"/>
      <c r="FP10" s="357"/>
      <c r="FQ10" s="359"/>
      <c r="FR10" s="360"/>
      <c r="FS10" s="355"/>
      <c r="FT10" s="355"/>
      <c r="FU10" s="355"/>
      <c r="FV10" s="356"/>
      <c r="FW10" s="357"/>
      <c r="FX10" s="358"/>
      <c r="FY10" s="357"/>
      <c r="FZ10" s="359"/>
      <c r="GA10" s="360"/>
      <c r="GB10" s="355"/>
      <c r="GC10" s="355"/>
      <c r="GD10" s="355"/>
      <c r="GE10" s="356"/>
      <c r="GF10" s="357"/>
      <c r="GG10" s="358"/>
      <c r="GH10" s="357"/>
      <c r="GI10" s="359"/>
      <c r="GJ10" s="360"/>
      <c r="GK10" s="355"/>
      <c r="GL10" s="355"/>
      <c r="GM10" s="355"/>
      <c r="GN10" s="356"/>
      <c r="GO10" s="357"/>
      <c r="GP10" s="358"/>
      <c r="GQ10" s="357"/>
      <c r="GR10" s="359"/>
      <c r="GS10" s="360"/>
      <c r="GT10" s="362">
        <v>42828</v>
      </c>
      <c r="GU10" s="98"/>
      <c r="GV10" s="65"/>
      <c r="GW10" s="74"/>
      <c r="GX10" s="74"/>
      <c r="GY10" s="66"/>
      <c r="GZ10" s="86">
        <v>0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33</v>
      </c>
      <c r="K11" s="69" t="s">
        <v>178</v>
      </c>
      <c r="L11" s="70">
        <v>18760</v>
      </c>
      <c r="M11" s="71">
        <v>42800</v>
      </c>
      <c r="N11" s="380" t="s">
        <v>284</v>
      </c>
      <c r="O11" s="72">
        <v>23355</v>
      </c>
      <c r="P11" s="60">
        <f t="shared" si="0"/>
        <v>4595</v>
      </c>
      <c r="Q11" s="64">
        <v>25</v>
      </c>
      <c r="R11" s="64"/>
      <c r="S11" s="99"/>
      <c r="T11" s="39">
        <f t="shared" si="2"/>
        <v>583875</v>
      </c>
      <c r="U11" s="352" t="s">
        <v>72</v>
      </c>
      <c r="V11" s="408">
        <v>42828</v>
      </c>
      <c r="W11" s="367">
        <v>15188.4</v>
      </c>
      <c r="X11" s="355"/>
      <c r="Y11" s="356"/>
      <c r="Z11" s="357"/>
      <c r="AA11" s="358"/>
      <c r="AB11" s="357"/>
      <c r="AC11" s="359"/>
      <c r="AD11" s="360"/>
      <c r="AE11" s="355"/>
      <c r="AF11" s="355"/>
      <c r="AG11" s="355"/>
      <c r="AH11" s="356"/>
      <c r="AI11" s="357"/>
      <c r="AJ11" s="358"/>
      <c r="AK11" s="357"/>
      <c r="AL11" s="359"/>
      <c r="AM11" s="360"/>
      <c r="AN11" s="355"/>
      <c r="AO11" s="355"/>
      <c r="AP11" s="355"/>
      <c r="AQ11" s="356"/>
      <c r="AR11" s="357"/>
      <c r="AS11" s="358"/>
      <c r="AT11" s="357"/>
      <c r="AU11" s="359"/>
      <c r="AV11" s="360"/>
      <c r="AW11" s="355"/>
      <c r="AX11" s="355"/>
      <c r="AY11" s="355"/>
      <c r="AZ11" s="356"/>
      <c r="BA11" s="357"/>
      <c r="BB11" s="358"/>
      <c r="BC11" s="357"/>
      <c r="BD11" s="359"/>
      <c r="BE11" s="360"/>
      <c r="BF11" s="355"/>
      <c r="BG11" s="355"/>
      <c r="BH11" s="355"/>
      <c r="BI11" s="356"/>
      <c r="BJ11" s="357"/>
      <c r="BK11" s="358"/>
      <c r="BL11" s="357"/>
      <c r="BM11" s="359"/>
      <c r="BN11" s="360"/>
      <c r="BO11" s="355"/>
      <c r="BP11" s="355"/>
      <c r="BQ11" s="355"/>
      <c r="BR11" s="356"/>
      <c r="BS11" s="357"/>
      <c r="BT11" s="358"/>
      <c r="BU11" s="357"/>
      <c r="BV11" s="359"/>
      <c r="BW11" s="360"/>
      <c r="BX11" s="355"/>
      <c r="BY11" s="355"/>
      <c r="BZ11" s="355"/>
      <c r="CA11" s="356"/>
      <c r="CB11" s="357"/>
      <c r="CC11" s="358"/>
      <c r="CD11" s="357"/>
      <c r="CE11" s="359"/>
      <c r="CF11" s="360"/>
      <c r="CG11" s="355"/>
      <c r="CH11" s="355"/>
      <c r="CI11" s="355"/>
      <c r="CJ11" s="356"/>
      <c r="CK11" s="357"/>
      <c r="CL11" s="358"/>
      <c r="CM11" s="357"/>
      <c r="CN11" s="359"/>
      <c r="CO11" s="360"/>
      <c r="CP11" s="355"/>
      <c r="CQ11" s="355"/>
      <c r="CR11" s="355"/>
      <c r="CS11" s="356"/>
      <c r="CT11" s="357"/>
      <c r="CU11" s="358"/>
      <c r="CV11" s="361"/>
      <c r="CW11" s="359"/>
      <c r="CX11" s="360"/>
      <c r="CY11" s="355"/>
      <c r="CZ11" s="355"/>
      <c r="DA11" s="355"/>
      <c r="DB11" s="356"/>
      <c r="DC11" s="357"/>
      <c r="DD11" s="358"/>
      <c r="DE11" s="357"/>
      <c r="DF11" s="359"/>
      <c r="DG11" s="360"/>
      <c r="DH11" s="355"/>
      <c r="DI11" s="355"/>
      <c r="DJ11" s="355"/>
      <c r="DK11" s="356"/>
      <c r="DL11" s="357"/>
      <c r="DM11" s="358"/>
      <c r="DN11" s="357"/>
      <c r="DO11" s="359"/>
      <c r="DP11" s="360"/>
      <c r="DQ11" s="355"/>
      <c r="DR11" s="355"/>
      <c r="DS11" s="355"/>
      <c r="DT11" s="356"/>
      <c r="DU11" s="357"/>
      <c r="DV11" s="358"/>
      <c r="DW11" s="357"/>
      <c r="DX11" s="359"/>
      <c r="DY11" s="360"/>
      <c r="DZ11" s="355"/>
      <c r="EA11" s="355"/>
      <c r="EB11" s="355"/>
      <c r="EC11" s="356"/>
      <c r="ED11" s="357"/>
      <c r="EE11" s="358"/>
      <c r="EF11" s="357"/>
      <c r="EG11" s="359"/>
      <c r="EH11" s="360"/>
      <c r="EI11" s="355"/>
      <c r="EJ11" s="355"/>
      <c r="EK11" s="355"/>
      <c r="EL11" s="356"/>
      <c r="EM11" s="357"/>
      <c r="EN11" s="358"/>
      <c r="EO11" s="357"/>
      <c r="EP11" s="359"/>
      <c r="EQ11" s="360"/>
      <c r="ER11" s="355"/>
      <c r="ES11" s="355"/>
      <c r="ET11" s="355"/>
      <c r="EU11" s="356"/>
      <c r="EV11" s="357"/>
      <c r="EW11" s="358"/>
      <c r="EX11" s="357"/>
      <c r="EY11" s="359"/>
      <c r="EZ11" s="360"/>
      <c r="FA11" s="355"/>
      <c r="FB11" s="355"/>
      <c r="FC11" s="355"/>
      <c r="FD11" s="356"/>
      <c r="FE11" s="357"/>
      <c r="FF11" s="358"/>
      <c r="FG11" s="357"/>
      <c r="FH11" s="359"/>
      <c r="FI11" s="360"/>
      <c r="FJ11" s="355"/>
      <c r="FK11" s="355"/>
      <c r="FL11" s="355"/>
      <c r="FM11" s="356"/>
      <c r="FN11" s="357"/>
      <c r="FO11" s="358"/>
      <c r="FP11" s="357"/>
      <c r="FQ11" s="359"/>
      <c r="FR11" s="360"/>
      <c r="FS11" s="355"/>
      <c r="FT11" s="355"/>
      <c r="FU11" s="355"/>
      <c r="FV11" s="356"/>
      <c r="FW11" s="357"/>
      <c r="FX11" s="358"/>
      <c r="FY11" s="357"/>
      <c r="FZ11" s="359"/>
      <c r="GA11" s="360"/>
      <c r="GB11" s="355"/>
      <c r="GC11" s="355"/>
      <c r="GD11" s="355"/>
      <c r="GE11" s="356"/>
      <c r="GF11" s="357"/>
      <c r="GG11" s="358"/>
      <c r="GH11" s="357"/>
      <c r="GI11" s="359"/>
      <c r="GJ11" s="360"/>
      <c r="GK11" s="355"/>
      <c r="GL11" s="355"/>
      <c r="GM11" s="355"/>
      <c r="GN11" s="356"/>
      <c r="GO11" s="357"/>
      <c r="GP11" s="358"/>
      <c r="GQ11" s="357"/>
      <c r="GR11" s="359"/>
      <c r="GS11" s="360"/>
      <c r="GT11" s="362">
        <v>42828</v>
      </c>
      <c r="GU11" s="98"/>
      <c r="GV11" s="65">
        <v>22176</v>
      </c>
      <c r="GW11" s="74" t="s">
        <v>226</v>
      </c>
      <c r="GX11" s="74"/>
      <c r="GY11" s="66">
        <v>42843</v>
      </c>
      <c r="GZ11" s="86">
        <v>3712</v>
      </c>
    </row>
    <row r="12" spans="1:208" ht="30" x14ac:dyDescent="0.25">
      <c r="C12" s="87"/>
      <c r="D12" s="35"/>
      <c r="E12" s="36"/>
      <c r="F12" s="37"/>
      <c r="G12" s="38"/>
      <c r="H12" s="39"/>
      <c r="I12" s="40"/>
      <c r="J12" s="68" t="s">
        <v>153</v>
      </c>
      <c r="K12" s="100" t="s">
        <v>179</v>
      </c>
      <c r="L12" s="101">
        <v>18470</v>
      </c>
      <c r="M12" s="102">
        <v>42801</v>
      </c>
      <c r="N12" s="103" t="s">
        <v>265</v>
      </c>
      <c r="O12" s="104">
        <f>23020-115</f>
        <v>22905</v>
      </c>
      <c r="P12" s="60">
        <f t="shared" ref="P12:P72" si="3">O12-L12</f>
        <v>4435</v>
      </c>
      <c r="Q12" s="29">
        <v>25</v>
      </c>
      <c r="R12" s="105"/>
      <c r="S12" s="106"/>
      <c r="T12" s="39">
        <f t="shared" si="2"/>
        <v>572625</v>
      </c>
      <c r="U12" s="107" t="s">
        <v>72</v>
      </c>
      <c r="V12" s="108">
        <v>42823</v>
      </c>
      <c r="W12" s="109">
        <v>15080</v>
      </c>
      <c r="X12" s="17"/>
      <c r="Y12" s="20"/>
      <c r="Z12" s="92"/>
      <c r="AA12" s="93"/>
      <c r="AB12" s="92"/>
      <c r="AC12" s="94"/>
      <c r="AD12" s="95"/>
      <c r="AE12" s="17"/>
      <c r="AF12" s="17"/>
      <c r="AG12" s="17"/>
      <c r="AH12" s="20"/>
      <c r="AI12" s="92"/>
      <c r="AJ12" s="93"/>
      <c r="AK12" s="92"/>
      <c r="AL12" s="94"/>
      <c r="AM12" s="95"/>
      <c r="AN12" s="17"/>
      <c r="AO12" s="17"/>
      <c r="AP12" s="17"/>
      <c r="AQ12" s="20"/>
      <c r="AR12" s="92"/>
      <c r="AS12" s="93"/>
      <c r="AT12" s="92"/>
      <c r="AU12" s="94"/>
      <c r="AV12" s="95"/>
      <c r="AW12" s="17"/>
      <c r="AX12" s="17"/>
      <c r="AY12" s="17"/>
      <c r="AZ12" s="20"/>
      <c r="BA12" s="92"/>
      <c r="BB12" s="93"/>
      <c r="BC12" s="92"/>
      <c r="BD12" s="94"/>
      <c r="BE12" s="95"/>
      <c r="BF12" s="17"/>
      <c r="BG12" s="17"/>
      <c r="BH12" s="17"/>
      <c r="BI12" s="20"/>
      <c r="BJ12" s="92"/>
      <c r="BK12" s="93"/>
      <c r="BL12" s="92"/>
      <c r="BM12" s="94"/>
      <c r="BN12" s="95"/>
      <c r="BO12" s="17"/>
      <c r="BP12" s="17"/>
      <c r="BQ12" s="17"/>
      <c r="BR12" s="20"/>
      <c r="BS12" s="92"/>
      <c r="BT12" s="93"/>
      <c r="BU12" s="92"/>
      <c r="BV12" s="94"/>
      <c r="BW12" s="95"/>
      <c r="BX12" s="17"/>
      <c r="BY12" s="17"/>
      <c r="BZ12" s="17"/>
      <c r="CA12" s="20"/>
      <c r="CB12" s="92"/>
      <c r="CC12" s="93"/>
      <c r="CD12" s="92"/>
      <c r="CE12" s="94"/>
      <c r="CF12" s="95"/>
      <c r="CG12" s="17"/>
      <c r="CH12" s="17"/>
      <c r="CI12" s="17"/>
      <c r="CJ12" s="20"/>
      <c r="CK12" s="92"/>
      <c r="CL12" s="93"/>
      <c r="CM12" s="92"/>
      <c r="CN12" s="94"/>
      <c r="CO12" s="95"/>
      <c r="CP12" s="17"/>
      <c r="CQ12" s="17"/>
      <c r="CR12" s="17"/>
      <c r="CS12" s="20"/>
      <c r="CT12" s="92"/>
      <c r="CU12" s="93"/>
      <c r="CV12" s="96"/>
      <c r="CW12" s="94"/>
      <c r="CX12" s="95"/>
      <c r="CY12" s="17"/>
      <c r="CZ12" s="17"/>
      <c r="DA12" s="17"/>
      <c r="DB12" s="20"/>
      <c r="DC12" s="92"/>
      <c r="DD12" s="93"/>
      <c r="DE12" s="92"/>
      <c r="DF12" s="94"/>
      <c r="DG12" s="95"/>
      <c r="DH12" s="17"/>
      <c r="DI12" s="17"/>
      <c r="DJ12" s="17"/>
      <c r="DK12" s="20"/>
      <c r="DL12" s="92"/>
      <c r="DM12" s="93"/>
      <c r="DN12" s="92"/>
      <c r="DO12" s="94"/>
      <c r="DP12" s="95"/>
      <c r="DQ12" s="17"/>
      <c r="DR12" s="17"/>
      <c r="DS12" s="17"/>
      <c r="DT12" s="20"/>
      <c r="DU12" s="92"/>
      <c r="DV12" s="93"/>
      <c r="DW12" s="92"/>
      <c r="DX12" s="94"/>
      <c r="DY12" s="95"/>
      <c r="DZ12" s="17"/>
      <c r="EA12" s="17"/>
      <c r="EB12" s="17"/>
      <c r="EC12" s="20"/>
      <c r="ED12" s="92"/>
      <c r="EE12" s="93"/>
      <c r="EF12" s="92"/>
      <c r="EG12" s="94"/>
      <c r="EH12" s="95"/>
      <c r="EI12" s="17"/>
      <c r="EJ12" s="17"/>
      <c r="EK12" s="17"/>
      <c r="EL12" s="20"/>
      <c r="EM12" s="92"/>
      <c r="EN12" s="93"/>
      <c r="EO12" s="92"/>
      <c r="EP12" s="94"/>
      <c r="EQ12" s="95"/>
      <c r="ER12" s="17"/>
      <c r="ES12" s="17"/>
      <c r="ET12" s="17"/>
      <c r="EU12" s="20"/>
      <c r="EV12" s="92"/>
      <c r="EW12" s="93"/>
      <c r="EX12" s="92"/>
      <c r="EY12" s="94"/>
      <c r="EZ12" s="95"/>
      <c r="FA12" s="17"/>
      <c r="FB12" s="17"/>
      <c r="FC12" s="17"/>
      <c r="FD12" s="20"/>
      <c r="FE12" s="92"/>
      <c r="FF12" s="93"/>
      <c r="FG12" s="92"/>
      <c r="FH12" s="94"/>
      <c r="FI12" s="95"/>
      <c r="FJ12" s="17"/>
      <c r="FK12" s="17"/>
      <c r="FL12" s="17"/>
      <c r="FM12" s="20"/>
      <c r="FN12" s="92"/>
      <c r="FO12" s="93"/>
      <c r="FP12" s="92"/>
      <c r="FQ12" s="94"/>
      <c r="FR12" s="95"/>
      <c r="FS12" s="17"/>
      <c r="FT12" s="17"/>
      <c r="FU12" s="17"/>
      <c r="FV12" s="20"/>
      <c r="FW12" s="92"/>
      <c r="FX12" s="93"/>
      <c r="FY12" s="92"/>
      <c r="FZ12" s="94"/>
      <c r="GA12" s="95"/>
      <c r="GB12" s="17"/>
      <c r="GC12" s="17"/>
      <c r="GD12" s="17"/>
      <c r="GE12" s="20"/>
      <c r="GF12" s="92"/>
      <c r="GG12" s="93"/>
      <c r="GH12" s="92"/>
      <c r="GI12" s="94"/>
      <c r="GJ12" s="95"/>
      <c r="GK12" s="17"/>
      <c r="GL12" s="17"/>
      <c r="GM12" s="17"/>
      <c r="GN12" s="20"/>
      <c r="GO12" s="92"/>
      <c r="GP12" s="93"/>
      <c r="GQ12" s="92"/>
      <c r="GR12" s="94"/>
      <c r="GS12" s="95"/>
      <c r="GT12" s="97">
        <v>42823</v>
      </c>
      <c r="GU12" s="98"/>
      <c r="GV12" s="65"/>
      <c r="GW12" s="74"/>
      <c r="GX12" s="74"/>
      <c r="GY12" s="66">
        <v>42843</v>
      </c>
      <c r="GZ12" s="86">
        <v>3712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383" t="s">
        <v>209</v>
      </c>
      <c r="K13" s="100" t="s">
        <v>206</v>
      </c>
      <c r="L13" s="101">
        <v>437</v>
      </c>
      <c r="M13" s="102">
        <v>42801</v>
      </c>
      <c r="N13" s="103">
        <v>5475</v>
      </c>
      <c r="O13" s="104">
        <v>437</v>
      </c>
      <c r="P13" s="60">
        <f t="shared" si="3"/>
        <v>0</v>
      </c>
      <c r="Q13" s="29">
        <v>66</v>
      </c>
      <c r="R13" s="105"/>
      <c r="S13" s="106"/>
      <c r="T13" s="39">
        <f t="shared" si="2"/>
        <v>28842</v>
      </c>
      <c r="U13" s="409" t="s">
        <v>72</v>
      </c>
      <c r="V13" s="410">
        <v>42832</v>
      </c>
      <c r="W13" s="354"/>
      <c r="X13" s="17"/>
      <c r="Y13" s="20"/>
      <c r="Z13" s="92"/>
      <c r="AA13" s="93"/>
      <c r="AB13" s="92"/>
      <c r="AC13" s="94"/>
      <c r="AD13" s="95"/>
      <c r="AE13" s="17"/>
      <c r="AF13" s="17"/>
      <c r="AG13" s="17"/>
      <c r="AH13" s="20"/>
      <c r="AI13" s="92"/>
      <c r="AJ13" s="93"/>
      <c r="AK13" s="92"/>
      <c r="AL13" s="94"/>
      <c r="AM13" s="95"/>
      <c r="AN13" s="17"/>
      <c r="AO13" s="17"/>
      <c r="AP13" s="17"/>
      <c r="AQ13" s="20"/>
      <c r="AR13" s="92"/>
      <c r="AS13" s="93"/>
      <c r="AT13" s="92"/>
      <c r="AU13" s="94"/>
      <c r="AV13" s="95"/>
      <c r="AW13" s="17"/>
      <c r="AX13" s="17"/>
      <c r="AY13" s="17"/>
      <c r="AZ13" s="20"/>
      <c r="BA13" s="92"/>
      <c r="BB13" s="93"/>
      <c r="BC13" s="92"/>
      <c r="BD13" s="94"/>
      <c r="BE13" s="95"/>
      <c r="BF13" s="17"/>
      <c r="BG13" s="17"/>
      <c r="BH13" s="17"/>
      <c r="BI13" s="20"/>
      <c r="BJ13" s="92"/>
      <c r="BK13" s="93"/>
      <c r="BL13" s="92"/>
      <c r="BM13" s="94"/>
      <c r="BN13" s="95"/>
      <c r="BO13" s="17"/>
      <c r="BP13" s="17"/>
      <c r="BQ13" s="17"/>
      <c r="BR13" s="20"/>
      <c r="BS13" s="92"/>
      <c r="BT13" s="93"/>
      <c r="BU13" s="92"/>
      <c r="BV13" s="94"/>
      <c r="BW13" s="95"/>
      <c r="BX13" s="17"/>
      <c r="BY13" s="17"/>
      <c r="BZ13" s="17"/>
      <c r="CA13" s="20"/>
      <c r="CB13" s="92"/>
      <c r="CC13" s="93"/>
      <c r="CD13" s="92"/>
      <c r="CE13" s="94"/>
      <c r="CF13" s="95"/>
      <c r="CG13" s="17"/>
      <c r="CH13" s="17"/>
      <c r="CI13" s="17"/>
      <c r="CJ13" s="20"/>
      <c r="CK13" s="92"/>
      <c r="CL13" s="93"/>
      <c r="CM13" s="92"/>
      <c r="CN13" s="94"/>
      <c r="CO13" s="95"/>
      <c r="CP13" s="17"/>
      <c r="CQ13" s="17"/>
      <c r="CR13" s="17"/>
      <c r="CS13" s="20"/>
      <c r="CT13" s="92"/>
      <c r="CU13" s="93"/>
      <c r="CV13" s="96"/>
      <c r="CW13" s="94"/>
      <c r="CX13" s="95"/>
      <c r="CY13" s="17"/>
      <c r="CZ13" s="17"/>
      <c r="DA13" s="17"/>
      <c r="DB13" s="20"/>
      <c r="DC13" s="92"/>
      <c r="DD13" s="93"/>
      <c r="DE13" s="92"/>
      <c r="DF13" s="94"/>
      <c r="DG13" s="95"/>
      <c r="DH13" s="17"/>
      <c r="DI13" s="17"/>
      <c r="DJ13" s="17"/>
      <c r="DK13" s="20"/>
      <c r="DL13" s="92"/>
      <c r="DM13" s="93"/>
      <c r="DN13" s="92"/>
      <c r="DO13" s="94"/>
      <c r="DP13" s="95"/>
      <c r="DQ13" s="17"/>
      <c r="DR13" s="17"/>
      <c r="DS13" s="17"/>
      <c r="DT13" s="20"/>
      <c r="DU13" s="92"/>
      <c r="DV13" s="93"/>
      <c r="DW13" s="92"/>
      <c r="DX13" s="94"/>
      <c r="DY13" s="95"/>
      <c r="DZ13" s="17"/>
      <c r="EA13" s="17"/>
      <c r="EB13" s="17"/>
      <c r="EC13" s="20"/>
      <c r="ED13" s="92"/>
      <c r="EE13" s="93"/>
      <c r="EF13" s="92"/>
      <c r="EG13" s="94"/>
      <c r="EH13" s="95"/>
      <c r="EI13" s="17"/>
      <c r="EJ13" s="17"/>
      <c r="EK13" s="17"/>
      <c r="EL13" s="20"/>
      <c r="EM13" s="92"/>
      <c r="EN13" s="93"/>
      <c r="EO13" s="92"/>
      <c r="EP13" s="94"/>
      <c r="EQ13" s="95"/>
      <c r="ER13" s="17"/>
      <c r="ES13" s="17"/>
      <c r="ET13" s="17"/>
      <c r="EU13" s="20"/>
      <c r="EV13" s="92"/>
      <c r="EW13" s="93"/>
      <c r="EX13" s="92"/>
      <c r="EY13" s="94"/>
      <c r="EZ13" s="95"/>
      <c r="FA13" s="17"/>
      <c r="FB13" s="17"/>
      <c r="FC13" s="17"/>
      <c r="FD13" s="20"/>
      <c r="FE13" s="92"/>
      <c r="FF13" s="93"/>
      <c r="FG13" s="92"/>
      <c r="FH13" s="94"/>
      <c r="FI13" s="95"/>
      <c r="FJ13" s="17"/>
      <c r="FK13" s="17"/>
      <c r="FL13" s="17"/>
      <c r="FM13" s="20"/>
      <c r="FN13" s="92"/>
      <c r="FO13" s="93"/>
      <c r="FP13" s="92"/>
      <c r="FQ13" s="94"/>
      <c r="FR13" s="95"/>
      <c r="FS13" s="17"/>
      <c r="FT13" s="17"/>
      <c r="FU13" s="17"/>
      <c r="FV13" s="20"/>
      <c r="FW13" s="92"/>
      <c r="FX13" s="93"/>
      <c r="FY13" s="92"/>
      <c r="FZ13" s="94"/>
      <c r="GA13" s="95"/>
      <c r="GB13" s="17"/>
      <c r="GC13" s="17"/>
      <c r="GD13" s="17"/>
      <c r="GE13" s="20"/>
      <c r="GF13" s="92"/>
      <c r="GG13" s="93"/>
      <c r="GH13" s="92"/>
      <c r="GI13" s="94"/>
      <c r="GJ13" s="95"/>
      <c r="GK13" s="17"/>
      <c r="GL13" s="17"/>
      <c r="GM13" s="17"/>
      <c r="GN13" s="20"/>
      <c r="GO13" s="92"/>
      <c r="GP13" s="93"/>
      <c r="GQ13" s="92"/>
      <c r="GR13" s="94"/>
      <c r="GS13" s="95"/>
      <c r="GT13" s="97"/>
      <c r="GU13" s="98"/>
      <c r="GV13" s="65">
        <v>0</v>
      </c>
      <c r="GW13" s="74" t="s">
        <v>923</v>
      </c>
      <c r="GX13" s="74"/>
      <c r="GY13" s="66"/>
      <c r="GZ13" s="86">
        <v>0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33</v>
      </c>
      <c r="K14" s="69" t="s">
        <v>37</v>
      </c>
      <c r="L14" s="110">
        <v>18160</v>
      </c>
      <c r="M14" s="71">
        <v>42802</v>
      </c>
      <c r="N14" s="380" t="s">
        <v>285</v>
      </c>
      <c r="O14" s="72">
        <v>22450</v>
      </c>
      <c r="P14" s="60">
        <f t="shared" si="3"/>
        <v>4290</v>
      </c>
      <c r="Q14" s="64">
        <v>25</v>
      </c>
      <c r="R14" s="64"/>
      <c r="S14" s="111"/>
      <c r="T14" s="39">
        <f t="shared" si="2"/>
        <v>561250</v>
      </c>
      <c r="U14" s="352" t="s">
        <v>72</v>
      </c>
      <c r="V14" s="353">
        <v>42828</v>
      </c>
      <c r="W14" s="354">
        <v>15080</v>
      </c>
      <c r="X14" s="355"/>
      <c r="Y14" s="356"/>
      <c r="Z14" s="357"/>
      <c r="AA14" s="358"/>
      <c r="AB14" s="357"/>
      <c r="AC14" s="359"/>
      <c r="AD14" s="360"/>
      <c r="AE14" s="355"/>
      <c r="AF14" s="355"/>
      <c r="AG14" s="355"/>
      <c r="AH14" s="356"/>
      <c r="AI14" s="357"/>
      <c r="AJ14" s="358"/>
      <c r="AK14" s="357"/>
      <c r="AL14" s="359"/>
      <c r="AM14" s="360"/>
      <c r="AN14" s="355"/>
      <c r="AO14" s="355"/>
      <c r="AP14" s="355"/>
      <c r="AQ14" s="356"/>
      <c r="AR14" s="357"/>
      <c r="AS14" s="358"/>
      <c r="AT14" s="357"/>
      <c r="AU14" s="359"/>
      <c r="AV14" s="360"/>
      <c r="AW14" s="355"/>
      <c r="AX14" s="355"/>
      <c r="AY14" s="355"/>
      <c r="AZ14" s="356"/>
      <c r="BA14" s="357"/>
      <c r="BB14" s="358"/>
      <c r="BC14" s="357"/>
      <c r="BD14" s="359"/>
      <c r="BE14" s="360"/>
      <c r="BF14" s="355"/>
      <c r="BG14" s="355"/>
      <c r="BH14" s="355"/>
      <c r="BI14" s="356"/>
      <c r="BJ14" s="357"/>
      <c r="BK14" s="358"/>
      <c r="BL14" s="357"/>
      <c r="BM14" s="359"/>
      <c r="BN14" s="360"/>
      <c r="BO14" s="355"/>
      <c r="BP14" s="355"/>
      <c r="BQ14" s="355"/>
      <c r="BR14" s="356"/>
      <c r="BS14" s="357"/>
      <c r="BT14" s="358"/>
      <c r="BU14" s="357"/>
      <c r="BV14" s="359"/>
      <c r="BW14" s="360"/>
      <c r="BX14" s="355"/>
      <c r="BY14" s="355"/>
      <c r="BZ14" s="355"/>
      <c r="CA14" s="356"/>
      <c r="CB14" s="357"/>
      <c r="CC14" s="358"/>
      <c r="CD14" s="357"/>
      <c r="CE14" s="359"/>
      <c r="CF14" s="360"/>
      <c r="CG14" s="355"/>
      <c r="CH14" s="355"/>
      <c r="CI14" s="355"/>
      <c r="CJ14" s="356"/>
      <c r="CK14" s="357"/>
      <c r="CL14" s="358"/>
      <c r="CM14" s="357"/>
      <c r="CN14" s="359"/>
      <c r="CO14" s="360"/>
      <c r="CP14" s="355"/>
      <c r="CQ14" s="355"/>
      <c r="CR14" s="355"/>
      <c r="CS14" s="356"/>
      <c r="CT14" s="357"/>
      <c r="CU14" s="358"/>
      <c r="CV14" s="361"/>
      <c r="CW14" s="359"/>
      <c r="CX14" s="360"/>
      <c r="CY14" s="355"/>
      <c r="CZ14" s="355"/>
      <c r="DA14" s="355"/>
      <c r="DB14" s="356"/>
      <c r="DC14" s="357"/>
      <c r="DD14" s="358"/>
      <c r="DE14" s="357"/>
      <c r="DF14" s="359"/>
      <c r="DG14" s="360"/>
      <c r="DH14" s="355"/>
      <c r="DI14" s="355"/>
      <c r="DJ14" s="355"/>
      <c r="DK14" s="356"/>
      <c r="DL14" s="357"/>
      <c r="DM14" s="358"/>
      <c r="DN14" s="357"/>
      <c r="DO14" s="359"/>
      <c r="DP14" s="360"/>
      <c r="DQ14" s="355"/>
      <c r="DR14" s="355"/>
      <c r="DS14" s="355"/>
      <c r="DT14" s="356"/>
      <c r="DU14" s="357"/>
      <c r="DV14" s="358"/>
      <c r="DW14" s="357"/>
      <c r="DX14" s="359"/>
      <c r="DY14" s="360"/>
      <c r="DZ14" s="355"/>
      <c r="EA14" s="355"/>
      <c r="EB14" s="355"/>
      <c r="EC14" s="356"/>
      <c r="ED14" s="357"/>
      <c r="EE14" s="358"/>
      <c r="EF14" s="357"/>
      <c r="EG14" s="359"/>
      <c r="EH14" s="360"/>
      <c r="EI14" s="355"/>
      <c r="EJ14" s="355"/>
      <c r="EK14" s="355"/>
      <c r="EL14" s="356"/>
      <c r="EM14" s="357"/>
      <c r="EN14" s="358"/>
      <c r="EO14" s="357"/>
      <c r="EP14" s="359"/>
      <c r="EQ14" s="360"/>
      <c r="ER14" s="355"/>
      <c r="ES14" s="355"/>
      <c r="ET14" s="355"/>
      <c r="EU14" s="356"/>
      <c r="EV14" s="357"/>
      <c r="EW14" s="358"/>
      <c r="EX14" s="357"/>
      <c r="EY14" s="359"/>
      <c r="EZ14" s="360"/>
      <c r="FA14" s="355"/>
      <c r="FB14" s="355"/>
      <c r="FC14" s="355"/>
      <c r="FD14" s="356"/>
      <c r="FE14" s="357"/>
      <c r="FF14" s="358"/>
      <c r="FG14" s="357"/>
      <c r="FH14" s="359"/>
      <c r="FI14" s="360"/>
      <c r="FJ14" s="355"/>
      <c r="FK14" s="355"/>
      <c r="FL14" s="355"/>
      <c r="FM14" s="356"/>
      <c r="FN14" s="357"/>
      <c r="FO14" s="358"/>
      <c r="FP14" s="357"/>
      <c r="FQ14" s="359"/>
      <c r="FR14" s="360"/>
      <c r="FS14" s="355"/>
      <c r="FT14" s="355"/>
      <c r="FU14" s="355"/>
      <c r="FV14" s="356"/>
      <c r="FW14" s="357"/>
      <c r="FX14" s="358"/>
      <c r="FY14" s="357"/>
      <c r="FZ14" s="359"/>
      <c r="GA14" s="360"/>
      <c r="GB14" s="355"/>
      <c r="GC14" s="355"/>
      <c r="GD14" s="355"/>
      <c r="GE14" s="356"/>
      <c r="GF14" s="357"/>
      <c r="GG14" s="358"/>
      <c r="GH14" s="357"/>
      <c r="GI14" s="359"/>
      <c r="GJ14" s="360"/>
      <c r="GK14" s="355"/>
      <c r="GL14" s="355"/>
      <c r="GM14" s="355"/>
      <c r="GN14" s="356"/>
      <c r="GO14" s="357"/>
      <c r="GP14" s="358"/>
      <c r="GQ14" s="357"/>
      <c r="GR14" s="359"/>
      <c r="GS14" s="360"/>
      <c r="GT14" s="362">
        <v>42828</v>
      </c>
      <c r="GU14" s="98"/>
      <c r="GV14" s="65">
        <v>22176</v>
      </c>
      <c r="GW14" s="74" t="s">
        <v>227</v>
      </c>
      <c r="GX14" s="74"/>
      <c r="GY14" s="66">
        <v>42843</v>
      </c>
      <c r="GZ14" s="86">
        <v>3712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68" t="s">
        <v>104</v>
      </c>
      <c r="K15" s="69" t="s">
        <v>41</v>
      </c>
      <c r="L15" s="110">
        <v>24710</v>
      </c>
      <c r="M15" s="71">
        <v>42803</v>
      </c>
      <c r="N15" s="380" t="s">
        <v>286</v>
      </c>
      <c r="O15" s="72">
        <v>30245</v>
      </c>
      <c r="P15" s="113">
        <f t="shared" si="3"/>
        <v>5535</v>
      </c>
      <c r="Q15" s="64">
        <v>25</v>
      </c>
      <c r="R15" s="64"/>
      <c r="S15" s="64"/>
      <c r="T15" s="39">
        <f t="shared" si="2"/>
        <v>756125</v>
      </c>
      <c r="U15" s="352" t="s">
        <v>72</v>
      </c>
      <c r="V15" s="353">
        <v>42829</v>
      </c>
      <c r="W15" s="354">
        <v>18850</v>
      </c>
      <c r="X15" s="355"/>
      <c r="Y15" s="356"/>
      <c r="Z15" s="357"/>
      <c r="AA15" s="358"/>
      <c r="AB15" s="357"/>
      <c r="AC15" s="359"/>
      <c r="AD15" s="360"/>
      <c r="AE15" s="355"/>
      <c r="AF15" s="355"/>
      <c r="AG15" s="355"/>
      <c r="AH15" s="356"/>
      <c r="AI15" s="357"/>
      <c r="AJ15" s="358"/>
      <c r="AK15" s="357"/>
      <c r="AL15" s="359"/>
      <c r="AM15" s="360"/>
      <c r="AN15" s="355"/>
      <c r="AO15" s="355"/>
      <c r="AP15" s="355"/>
      <c r="AQ15" s="356"/>
      <c r="AR15" s="357"/>
      <c r="AS15" s="358"/>
      <c r="AT15" s="357"/>
      <c r="AU15" s="359"/>
      <c r="AV15" s="360"/>
      <c r="AW15" s="355"/>
      <c r="AX15" s="355"/>
      <c r="AY15" s="355"/>
      <c r="AZ15" s="356"/>
      <c r="BA15" s="357"/>
      <c r="BB15" s="358"/>
      <c r="BC15" s="357"/>
      <c r="BD15" s="359"/>
      <c r="BE15" s="360"/>
      <c r="BF15" s="355"/>
      <c r="BG15" s="355"/>
      <c r="BH15" s="355"/>
      <c r="BI15" s="356"/>
      <c r="BJ15" s="357"/>
      <c r="BK15" s="358"/>
      <c r="BL15" s="357"/>
      <c r="BM15" s="359"/>
      <c r="BN15" s="360"/>
      <c r="BO15" s="355"/>
      <c r="BP15" s="355"/>
      <c r="BQ15" s="355"/>
      <c r="BR15" s="356"/>
      <c r="BS15" s="357"/>
      <c r="BT15" s="358"/>
      <c r="BU15" s="357"/>
      <c r="BV15" s="359"/>
      <c r="BW15" s="360"/>
      <c r="BX15" s="355"/>
      <c r="BY15" s="355"/>
      <c r="BZ15" s="355"/>
      <c r="CA15" s="356"/>
      <c r="CB15" s="357"/>
      <c r="CC15" s="358"/>
      <c r="CD15" s="357"/>
      <c r="CE15" s="359"/>
      <c r="CF15" s="360"/>
      <c r="CG15" s="355"/>
      <c r="CH15" s="355"/>
      <c r="CI15" s="355"/>
      <c r="CJ15" s="356"/>
      <c r="CK15" s="357"/>
      <c r="CL15" s="358"/>
      <c r="CM15" s="357"/>
      <c r="CN15" s="359"/>
      <c r="CO15" s="360"/>
      <c r="CP15" s="355"/>
      <c r="CQ15" s="355"/>
      <c r="CR15" s="355"/>
      <c r="CS15" s="356"/>
      <c r="CT15" s="357"/>
      <c r="CU15" s="358"/>
      <c r="CV15" s="361"/>
      <c r="CW15" s="359"/>
      <c r="CX15" s="360"/>
      <c r="CY15" s="355"/>
      <c r="CZ15" s="355"/>
      <c r="DA15" s="355"/>
      <c r="DB15" s="356"/>
      <c r="DC15" s="357"/>
      <c r="DD15" s="358"/>
      <c r="DE15" s="357"/>
      <c r="DF15" s="359"/>
      <c r="DG15" s="360"/>
      <c r="DH15" s="355"/>
      <c r="DI15" s="355"/>
      <c r="DJ15" s="355"/>
      <c r="DK15" s="356"/>
      <c r="DL15" s="357"/>
      <c r="DM15" s="358"/>
      <c r="DN15" s="357"/>
      <c r="DO15" s="359"/>
      <c r="DP15" s="360"/>
      <c r="DQ15" s="355"/>
      <c r="DR15" s="355"/>
      <c r="DS15" s="355"/>
      <c r="DT15" s="356"/>
      <c r="DU15" s="357"/>
      <c r="DV15" s="358"/>
      <c r="DW15" s="357"/>
      <c r="DX15" s="359"/>
      <c r="DY15" s="360"/>
      <c r="DZ15" s="355"/>
      <c r="EA15" s="355"/>
      <c r="EB15" s="355"/>
      <c r="EC15" s="356"/>
      <c r="ED15" s="357"/>
      <c r="EE15" s="358"/>
      <c r="EF15" s="357"/>
      <c r="EG15" s="359"/>
      <c r="EH15" s="360"/>
      <c r="EI15" s="355"/>
      <c r="EJ15" s="355"/>
      <c r="EK15" s="355"/>
      <c r="EL15" s="356"/>
      <c r="EM15" s="357"/>
      <c r="EN15" s="358"/>
      <c r="EO15" s="357"/>
      <c r="EP15" s="359"/>
      <c r="EQ15" s="360"/>
      <c r="ER15" s="355"/>
      <c r="ES15" s="355"/>
      <c r="ET15" s="355"/>
      <c r="EU15" s="356"/>
      <c r="EV15" s="357"/>
      <c r="EW15" s="358"/>
      <c r="EX15" s="357"/>
      <c r="EY15" s="359"/>
      <c r="EZ15" s="360"/>
      <c r="FA15" s="355"/>
      <c r="FB15" s="355"/>
      <c r="FC15" s="355"/>
      <c r="FD15" s="356"/>
      <c r="FE15" s="357"/>
      <c r="FF15" s="358"/>
      <c r="FG15" s="357"/>
      <c r="FH15" s="359"/>
      <c r="FI15" s="360"/>
      <c r="FJ15" s="355"/>
      <c r="FK15" s="355"/>
      <c r="FL15" s="355"/>
      <c r="FM15" s="356"/>
      <c r="FN15" s="357"/>
      <c r="FO15" s="358"/>
      <c r="FP15" s="357"/>
      <c r="FQ15" s="359"/>
      <c r="FR15" s="360"/>
      <c r="FS15" s="355"/>
      <c r="FT15" s="355"/>
      <c r="FU15" s="355"/>
      <c r="FV15" s="356"/>
      <c r="FW15" s="357"/>
      <c r="FX15" s="358"/>
      <c r="FY15" s="357"/>
      <c r="FZ15" s="359"/>
      <c r="GA15" s="360"/>
      <c r="GB15" s="355"/>
      <c r="GC15" s="355"/>
      <c r="GD15" s="355"/>
      <c r="GE15" s="356"/>
      <c r="GF15" s="357"/>
      <c r="GG15" s="358"/>
      <c r="GH15" s="357"/>
      <c r="GI15" s="359"/>
      <c r="GJ15" s="360"/>
      <c r="GK15" s="355"/>
      <c r="GL15" s="355"/>
      <c r="GM15" s="355"/>
      <c r="GN15" s="356"/>
      <c r="GO15" s="357"/>
      <c r="GP15" s="358"/>
      <c r="GQ15" s="357"/>
      <c r="GR15" s="359"/>
      <c r="GS15" s="360"/>
      <c r="GT15" s="362">
        <v>42829</v>
      </c>
      <c r="GU15" s="114"/>
      <c r="GV15" s="65"/>
      <c r="GW15" s="74"/>
      <c r="GX15" s="74"/>
      <c r="GY15" s="66">
        <v>42843</v>
      </c>
      <c r="GZ15" s="86">
        <v>3712</v>
      </c>
    </row>
    <row r="16" spans="1:208" x14ac:dyDescent="0.25">
      <c r="C16" s="87"/>
      <c r="D16" s="35"/>
      <c r="E16" s="36"/>
      <c r="F16" s="37"/>
      <c r="G16" s="38"/>
      <c r="H16" s="39"/>
      <c r="I16" s="40"/>
      <c r="J16" s="68" t="s">
        <v>96</v>
      </c>
      <c r="K16" s="69" t="s">
        <v>35</v>
      </c>
      <c r="L16" s="110">
        <v>12950</v>
      </c>
      <c r="M16" s="71">
        <v>42803</v>
      </c>
      <c r="N16" s="56" t="s">
        <v>272</v>
      </c>
      <c r="O16" s="72">
        <v>16680</v>
      </c>
      <c r="P16" s="113">
        <f t="shared" si="3"/>
        <v>3730</v>
      </c>
      <c r="Q16" s="64">
        <v>25</v>
      </c>
      <c r="R16" s="64"/>
      <c r="S16" s="64"/>
      <c r="T16" s="39">
        <f t="shared" si="2"/>
        <v>417000</v>
      </c>
      <c r="U16" s="90" t="s">
        <v>72</v>
      </c>
      <c r="V16" s="112">
        <v>42824</v>
      </c>
      <c r="W16" s="109">
        <v>9802</v>
      </c>
      <c r="X16" s="17"/>
      <c r="Y16" s="20"/>
      <c r="Z16" s="92"/>
      <c r="AA16" s="93"/>
      <c r="AB16" s="92"/>
      <c r="AC16" s="94"/>
      <c r="AD16" s="95"/>
      <c r="AE16" s="17"/>
      <c r="AF16" s="17"/>
      <c r="AG16" s="17"/>
      <c r="AH16" s="20"/>
      <c r="AI16" s="92"/>
      <c r="AJ16" s="93"/>
      <c r="AK16" s="92"/>
      <c r="AL16" s="94"/>
      <c r="AM16" s="95"/>
      <c r="AN16" s="17"/>
      <c r="AO16" s="17"/>
      <c r="AP16" s="17"/>
      <c r="AQ16" s="20"/>
      <c r="AR16" s="92"/>
      <c r="AS16" s="93"/>
      <c r="AT16" s="92"/>
      <c r="AU16" s="94"/>
      <c r="AV16" s="95"/>
      <c r="AW16" s="17"/>
      <c r="AX16" s="17"/>
      <c r="AY16" s="17"/>
      <c r="AZ16" s="20"/>
      <c r="BA16" s="92"/>
      <c r="BB16" s="93"/>
      <c r="BC16" s="92"/>
      <c r="BD16" s="94"/>
      <c r="BE16" s="95"/>
      <c r="BF16" s="17"/>
      <c r="BG16" s="17"/>
      <c r="BH16" s="17"/>
      <c r="BI16" s="20"/>
      <c r="BJ16" s="92"/>
      <c r="BK16" s="93"/>
      <c r="BL16" s="92"/>
      <c r="BM16" s="94"/>
      <c r="BN16" s="95"/>
      <c r="BO16" s="17"/>
      <c r="BP16" s="17"/>
      <c r="BQ16" s="17"/>
      <c r="BR16" s="20"/>
      <c r="BS16" s="92"/>
      <c r="BT16" s="93"/>
      <c r="BU16" s="92"/>
      <c r="BV16" s="94"/>
      <c r="BW16" s="95"/>
      <c r="BX16" s="17"/>
      <c r="BY16" s="17"/>
      <c r="BZ16" s="17"/>
      <c r="CA16" s="20"/>
      <c r="CB16" s="92"/>
      <c r="CC16" s="93"/>
      <c r="CD16" s="92"/>
      <c r="CE16" s="94"/>
      <c r="CF16" s="95"/>
      <c r="CG16" s="17"/>
      <c r="CH16" s="17"/>
      <c r="CI16" s="17"/>
      <c r="CJ16" s="20"/>
      <c r="CK16" s="92"/>
      <c r="CL16" s="93"/>
      <c r="CM16" s="92"/>
      <c r="CN16" s="94"/>
      <c r="CO16" s="95"/>
      <c r="CP16" s="17"/>
      <c r="CQ16" s="17"/>
      <c r="CR16" s="17"/>
      <c r="CS16" s="20"/>
      <c r="CT16" s="92"/>
      <c r="CU16" s="93"/>
      <c r="CV16" s="96"/>
      <c r="CW16" s="94"/>
      <c r="CX16" s="95"/>
      <c r="CY16" s="17"/>
      <c r="CZ16" s="17"/>
      <c r="DA16" s="17"/>
      <c r="DB16" s="20"/>
      <c r="DC16" s="92"/>
      <c r="DD16" s="93"/>
      <c r="DE16" s="92"/>
      <c r="DF16" s="94"/>
      <c r="DG16" s="95"/>
      <c r="DH16" s="17"/>
      <c r="DI16" s="17"/>
      <c r="DJ16" s="17"/>
      <c r="DK16" s="20"/>
      <c r="DL16" s="92"/>
      <c r="DM16" s="93"/>
      <c r="DN16" s="92"/>
      <c r="DO16" s="94"/>
      <c r="DP16" s="95"/>
      <c r="DQ16" s="17"/>
      <c r="DR16" s="17"/>
      <c r="DS16" s="17"/>
      <c r="DT16" s="20"/>
      <c r="DU16" s="92"/>
      <c r="DV16" s="93"/>
      <c r="DW16" s="92"/>
      <c r="DX16" s="94"/>
      <c r="DY16" s="95"/>
      <c r="DZ16" s="17"/>
      <c r="EA16" s="17"/>
      <c r="EB16" s="17"/>
      <c r="EC16" s="20"/>
      <c r="ED16" s="92"/>
      <c r="EE16" s="93"/>
      <c r="EF16" s="92"/>
      <c r="EG16" s="94"/>
      <c r="EH16" s="95"/>
      <c r="EI16" s="17"/>
      <c r="EJ16" s="17"/>
      <c r="EK16" s="17"/>
      <c r="EL16" s="20"/>
      <c r="EM16" s="92"/>
      <c r="EN16" s="93"/>
      <c r="EO16" s="92"/>
      <c r="EP16" s="94"/>
      <c r="EQ16" s="95"/>
      <c r="ER16" s="17"/>
      <c r="ES16" s="17"/>
      <c r="ET16" s="17"/>
      <c r="EU16" s="20"/>
      <c r="EV16" s="92"/>
      <c r="EW16" s="93"/>
      <c r="EX16" s="92"/>
      <c r="EY16" s="94"/>
      <c r="EZ16" s="95"/>
      <c r="FA16" s="17"/>
      <c r="FB16" s="17"/>
      <c r="FC16" s="17"/>
      <c r="FD16" s="20"/>
      <c r="FE16" s="92"/>
      <c r="FF16" s="93"/>
      <c r="FG16" s="92"/>
      <c r="FH16" s="94"/>
      <c r="FI16" s="95"/>
      <c r="FJ16" s="17"/>
      <c r="FK16" s="17"/>
      <c r="FL16" s="17"/>
      <c r="FM16" s="20"/>
      <c r="FN16" s="92"/>
      <c r="FO16" s="93"/>
      <c r="FP16" s="92"/>
      <c r="FQ16" s="94"/>
      <c r="FR16" s="95"/>
      <c r="FS16" s="17"/>
      <c r="FT16" s="17"/>
      <c r="FU16" s="17"/>
      <c r="FV16" s="20"/>
      <c r="FW16" s="92"/>
      <c r="FX16" s="93"/>
      <c r="FY16" s="92"/>
      <c r="FZ16" s="94"/>
      <c r="GA16" s="95"/>
      <c r="GB16" s="17"/>
      <c r="GC16" s="17"/>
      <c r="GD16" s="17"/>
      <c r="GE16" s="20"/>
      <c r="GF16" s="92"/>
      <c r="GG16" s="93"/>
      <c r="GH16" s="92"/>
      <c r="GI16" s="94"/>
      <c r="GJ16" s="95"/>
      <c r="GK16" s="17"/>
      <c r="GL16" s="17"/>
      <c r="GM16" s="17"/>
      <c r="GN16" s="20"/>
      <c r="GO16" s="92"/>
      <c r="GP16" s="93"/>
      <c r="GQ16" s="92"/>
      <c r="GR16" s="94"/>
      <c r="GS16" s="95"/>
      <c r="GT16" s="97">
        <v>42824</v>
      </c>
      <c r="GU16" s="98"/>
      <c r="GV16" s="65">
        <v>17584</v>
      </c>
      <c r="GW16" s="74" t="s">
        <v>228</v>
      </c>
      <c r="GX16" s="74"/>
      <c r="GY16" s="66">
        <v>42843</v>
      </c>
      <c r="GZ16" s="86">
        <v>2088</v>
      </c>
    </row>
    <row r="17" spans="1:209" x14ac:dyDescent="0.25">
      <c r="C17" s="87"/>
      <c r="D17" s="35"/>
      <c r="E17" s="36"/>
      <c r="F17" s="37"/>
      <c r="G17" s="38"/>
      <c r="H17" s="39"/>
      <c r="I17" s="40"/>
      <c r="J17" s="68" t="s">
        <v>180</v>
      </c>
      <c r="K17" s="407" t="s">
        <v>282</v>
      </c>
      <c r="L17" s="110">
        <v>18720</v>
      </c>
      <c r="M17" s="71">
        <v>42804</v>
      </c>
      <c r="N17" s="380" t="s">
        <v>281</v>
      </c>
      <c r="O17" s="72">
        <v>23380</v>
      </c>
      <c r="P17" s="113">
        <f t="shared" si="3"/>
        <v>4660</v>
      </c>
      <c r="Q17" s="64">
        <v>25</v>
      </c>
      <c r="R17" s="64"/>
      <c r="S17" s="64"/>
      <c r="T17" s="39">
        <f t="shared" si="2"/>
        <v>584500</v>
      </c>
      <c r="U17" s="352" t="s">
        <v>72</v>
      </c>
      <c r="V17" s="353">
        <v>42828</v>
      </c>
      <c r="W17" s="354">
        <v>15306.2</v>
      </c>
      <c r="X17" s="355"/>
      <c r="Y17" s="356"/>
      <c r="Z17" s="357"/>
      <c r="AA17" s="358"/>
      <c r="AB17" s="357"/>
      <c r="AC17" s="359"/>
      <c r="AD17" s="360"/>
      <c r="AE17" s="355"/>
      <c r="AF17" s="355"/>
      <c r="AG17" s="355"/>
      <c r="AH17" s="356"/>
      <c r="AI17" s="357"/>
      <c r="AJ17" s="358"/>
      <c r="AK17" s="357"/>
      <c r="AL17" s="359"/>
      <c r="AM17" s="360"/>
      <c r="AN17" s="355"/>
      <c r="AO17" s="355"/>
      <c r="AP17" s="355"/>
      <c r="AQ17" s="356"/>
      <c r="AR17" s="357"/>
      <c r="AS17" s="358"/>
      <c r="AT17" s="357"/>
      <c r="AU17" s="359"/>
      <c r="AV17" s="360"/>
      <c r="AW17" s="355"/>
      <c r="AX17" s="355"/>
      <c r="AY17" s="355"/>
      <c r="AZ17" s="356"/>
      <c r="BA17" s="357"/>
      <c r="BB17" s="358"/>
      <c r="BC17" s="357"/>
      <c r="BD17" s="359"/>
      <c r="BE17" s="360"/>
      <c r="BF17" s="355"/>
      <c r="BG17" s="355"/>
      <c r="BH17" s="355"/>
      <c r="BI17" s="356"/>
      <c r="BJ17" s="357"/>
      <c r="BK17" s="358"/>
      <c r="BL17" s="357"/>
      <c r="BM17" s="359"/>
      <c r="BN17" s="360"/>
      <c r="BO17" s="355"/>
      <c r="BP17" s="355"/>
      <c r="BQ17" s="355"/>
      <c r="BR17" s="356"/>
      <c r="BS17" s="357"/>
      <c r="BT17" s="358"/>
      <c r="BU17" s="357"/>
      <c r="BV17" s="359"/>
      <c r="BW17" s="360"/>
      <c r="BX17" s="355"/>
      <c r="BY17" s="355"/>
      <c r="BZ17" s="355"/>
      <c r="CA17" s="356"/>
      <c r="CB17" s="357"/>
      <c r="CC17" s="358"/>
      <c r="CD17" s="357"/>
      <c r="CE17" s="359"/>
      <c r="CF17" s="360"/>
      <c r="CG17" s="355"/>
      <c r="CH17" s="355"/>
      <c r="CI17" s="355"/>
      <c r="CJ17" s="356"/>
      <c r="CK17" s="357"/>
      <c r="CL17" s="358"/>
      <c r="CM17" s="357"/>
      <c r="CN17" s="359"/>
      <c r="CO17" s="360"/>
      <c r="CP17" s="355"/>
      <c r="CQ17" s="355"/>
      <c r="CR17" s="355"/>
      <c r="CS17" s="356"/>
      <c r="CT17" s="357"/>
      <c r="CU17" s="358"/>
      <c r="CV17" s="361"/>
      <c r="CW17" s="359"/>
      <c r="CX17" s="360"/>
      <c r="CY17" s="355"/>
      <c r="CZ17" s="355"/>
      <c r="DA17" s="355"/>
      <c r="DB17" s="356"/>
      <c r="DC17" s="357"/>
      <c r="DD17" s="358"/>
      <c r="DE17" s="357"/>
      <c r="DF17" s="359"/>
      <c r="DG17" s="360"/>
      <c r="DH17" s="355"/>
      <c r="DI17" s="355"/>
      <c r="DJ17" s="355"/>
      <c r="DK17" s="356"/>
      <c r="DL17" s="357"/>
      <c r="DM17" s="358"/>
      <c r="DN17" s="357"/>
      <c r="DO17" s="359"/>
      <c r="DP17" s="360"/>
      <c r="DQ17" s="355"/>
      <c r="DR17" s="355"/>
      <c r="DS17" s="355"/>
      <c r="DT17" s="356"/>
      <c r="DU17" s="357"/>
      <c r="DV17" s="358"/>
      <c r="DW17" s="357"/>
      <c r="DX17" s="359"/>
      <c r="DY17" s="360"/>
      <c r="DZ17" s="355"/>
      <c r="EA17" s="355"/>
      <c r="EB17" s="355"/>
      <c r="EC17" s="356"/>
      <c r="ED17" s="357"/>
      <c r="EE17" s="358"/>
      <c r="EF17" s="357"/>
      <c r="EG17" s="359"/>
      <c r="EH17" s="360"/>
      <c r="EI17" s="355"/>
      <c r="EJ17" s="355"/>
      <c r="EK17" s="355"/>
      <c r="EL17" s="356"/>
      <c r="EM17" s="357"/>
      <c r="EN17" s="358"/>
      <c r="EO17" s="357"/>
      <c r="EP17" s="359"/>
      <c r="EQ17" s="360"/>
      <c r="ER17" s="355"/>
      <c r="ES17" s="355"/>
      <c r="ET17" s="355"/>
      <c r="EU17" s="356"/>
      <c r="EV17" s="357"/>
      <c r="EW17" s="358"/>
      <c r="EX17" s="357"/>
      <c r="EY17" s="359"/>
      <c r="EZ17" s="360"/>
      <c r="FA17" s="355"/>
      <c r="FB17" s="355"/>
      <c r="FC17" s="355"/>
      <c r="FD17" s="356"/>
      <c r="FE17" s="357"/>
      <c r="FF17" s="358"/>
      <c r="FG17" s="357"/>
      <c r="FH17" s="359"/>
      <c r="FI17" s="360"/>
      <c r="FJ17" s="355"/>
      <c r="FK17" s="355"/>
      <c r="FL17" s="355"/>
      <c r="FM17" s="356"/>
      <c r="FN17" s="357"/>
      <c r="FO17" s="358"/>
      <c r="FP17" s="357"/>
      <c r="FQ17" s="359"/>
      <c r="FR17" s="360"/>
      <c r="FS17" s="355"/>
      <c r="FT17" s="355"/>
      <c r="FU17" s="355"/>
      <c r="FV17" s="356"/>
      <c r="FW17" s="357"/>
      <c r="FX17" s="358"/>
      <c r="FY17" s="357"/>
      <c r="FZ17" s="359"/>
      <c r="GA17" s="360"/>
      <c r="GB17" s="355"/>
      <c r="GC17" s="355"/>
      <c r="GD17" s="355"/>
      <c r="GE17" s="356"/>
      <c r="GF17" s="357"/>
      <c r="GG17" s="358"/>
      <c r="GH17" s="357"/>
      <c r="GI17" s="359"/>
      <c r="GJ17" s="360"/>
      <c r="GK17" s="355"/>
      <c r="GL17" s="355"/>
      <c r="GM17" s="355"/>
      <c r="GN17" s="356"/>
      <c r="GO17" s="357"/>
      <c r="GP17" s="358"/>
      <c r="GQ17" s="357"/>
      <c r="GR17" s="359"/>
      <c r="GS17" s="360"/>
      <c r="GT17" s="362">
        <v>42828</v>
      </c>
      <c r="GU17" s="98"/>
      <c r="GV17" s="65">
        <v>22176</v>
      </c>
      <c r="GW17" s="74" t="s">
        <v>230</v>
      </c>
      <c r="GX17" s="74"/>
      <c r="GY17" s="66">
        <v>42843</v>
      </c>
      <c r="GZ17" s="86">
        <v>3712</v>
      </c>
    </row>
    <row r="18" spans="1:209" x14ac:dyDescent="0.25">
      <c r="C18" s="87"/>
      <c r="D18" s="35"/>
      <c r="E18" s="36"/>
      <c r="F18" s="37"/>
      <c r="G18" s="38"/>
      <c r="H18" s="39"/>
      <c r="I18" s="40"/>
      <c r="J18" s="68" t="s">
        <v>181</v>
      </c>
      <c r="K18" s="69" t="s">
        <v>182</v>
      </c>
      <c r="L18" s="70">
        <v>13230</v>
      </c>
      <c r="M18" s="71">
        <v>42804</v>
      </c>
      <c r="N18" s="380" t="s">
        <v>287</v>
      </c>
      <c r="O18" s="72">
        <v>13680</v>
      </c>
      <c r="P18" s="113">
        <f t="shared" si="3"/>
        <v>450</v>
      </c>
      <c r="Q18" s="64">
        <v>25</v>
      </c>
      <c r="R18" s="64"/>
      <c r="S18" s="64"/>
      <c r="T18" s="39">
        <f t="shared" si="2"/>
        <v>342000</v>
      </c>
      <c r="U18" s="363" t="s">
        <v>72</v>
      </c>
      <c r="V18" s="353">
        <v>42830</v>
      </c>
      <c r="W18" s="364">
        <v>7992.4</v>
      </c>
      <c r="X18" s="355"/>
      <c r="Y18" s="356"/>
      <c r="Z18" s="357"/>
      <c r="AA18" s="358"/>
      <c r="AB18" s="357"/>
      <c r="AC18" s="359"/>
      <c r="AD18" s="360"/>
      <c r="AE18" s="355"/>
      <c r="AF18" s="355"/>
      <c r="AG18" s="355"/>
      <c r="AH18" s="356"/>
      <c r="AI18" s="357"/>
      <c r="AJ18" s="358"/>
      <c r="AK18" s="357"/>
      <c r="AL18" s="359"/>
      <c r="AM18" s="360"/>
      <c r="AN18" s="355"/>
      <c r="AO18" s="355"/>
      <c r="AP18" s="355"/>
      <c r="AQ18" s="356"/>
      <c r="AR18" s="357"/>
      <c r="AS18" s="358"/>
      <c r="AT18" s="357"/>
      <c r="AU18" s="359"/>
      <c r="AV18" s="360"/>
      <c r="AW18" s="355"/>
      <c r="AX18" s="355"/>
      <c r="AY18" s="355"/>
      <c r="AZ18" s="356"/>
      <c r="BA18" s="357"/>
      <c r="BB18" s="358"/>
      <c r="BC18" s="357"/>
      <c r="BD18" s="359"/>
      <c r="BE18" s="360"/>
      <c r="BF18" s="355"/>
      <c r="BG18" s="355"/>
      <c r="BH18" s="355"/>
      <c r="BI18" s="356"/>
      <c r="BJ18" s="357"/>
      <c r="BK18" s="358"/>
      <c r="BL18" s="357"/>
      <c r="BM18" s="359"/>
      <c r="BN18" s="360"/>
      <c r="BO18" s="355"/>
      <c r="BP18" s="355"/>
      <c r="BQ18" s="355"/>
      <c r="BR18" s="356"/>
      <c r="BS18" s="357"/>
      <c r="BT18" s="358"/>
      <c r="BU18" s="357"/>
      <c r="BV18" s="359"/>
      <c r="BW18" s="360"/>
      <c r="BX18" s="355"/>
      <c r="BY18" s="355"/>
      <c r="BZ18" s="355"/>
      <c r="CA18" s="356"/>
      <c r="CB18" s="357"/>
      <c r="CC18" s="358"/>
      <c r="CD18" s="357"/>
      <c r="CE18" s="359"/>
      <c r="CF18" s="360"/>
      <c r="CG18" s="355"/>
      <c r="CH18" s="355"/>
      <c r="CI18" s="355"/>
      <c r="CJ18" s="356"/>
      <c r="CK18" s="357"/>
      <c r="CL18" s="358"/>
      <c r="CM18" s="357"/>
      <c r="CN18" s="359"/>
      <c r="CO18" s="360"/>
      <c r="CP18" s="355"/>
      <c r="CQ18" s="355"/>
      <c r="CR18" s="355"/>
      <c r="CS18" s="356"/>
      <c r="CT18" s="357"/>
      <c r="CU18" s="358"/>
      <c r="CV18" s="361"/>
      <c r="CW18" s="359"/>
      <c r="CX18" s="360"/>
      <c r="CY18" s="355"/>
      <c r="CZ18" s="355"/>
      <c r="DA18" s="355"/>
      <c r="DB18" s="356"/>
      <c r="DC18" s="357"/>
      <c r="DD18" s="358"/>
      <c r="DE18" s="357"/>
      <c r="DF18" s="359"/>
      <c r="DG18" s="360"/>
      <c r="DH18" s="355"/>
      <c r="DI18" s="355"/>
      <c r="DJ18" s="355"/>
      <c r="DK18" s="356"/>
      <c r="DL18" s="357"/>
      <c r="DM18" s="358"/>
      <c r="DN18" s="357"/>
      <c r="DO18" s="359"/>
      <c r="DP18" s="360"/>
      <c r="DQ18" s="355"/>
      <c r="DR18" s="355"/>
      <c r="DS18" s="355"/>
      <c r="DT18" s="356"/>
      <c r="DU18" s="357"/>
      <c r="DV18" s="358"/>
      <c r="DW18" s="357"/>
      <c r="DX18" s="359"/>
      <c r="DY18" s="360"/>
      <c r="DZ18" s="355"/>
      <c r="EA18" s="355"/>
      <c r="EB18" s="355"/>
      <c r="EC18" s="356"/>
      <c r="ED18" s="357"/>
      <c r="EE18" s="358"/>
      <c r="EF18" s="357"/>
      <c r="EG18" s="359"/>
      <c r="EH18" s="360"/>
      <c r="EI18" s="355"/>
      <c r="EJ18" s="355"/>
      <c r="EK18" s="355"/>
      <c r="EL18" s="356"/>
      <c r="EM18" s="357"/>
      <c r="EN18" s="358"/>
      <c r="EO18" s="357"/>
      <c r="EP18" s="359"/>
      <c r="EQ18" s="360"/>
      <c r="ER18" s="355"/>
      <c r="ES18" s="355"/>
      <c r="ET18" s="355"/>
      <c r="EU18" s="356"/>
      <c r="EV18" s="357"/>
      <c r="EW18" s="358"/>
      <c r="EX18" s="357"/>
      <c r="EY18" s="359"/>
      <c r="EZ18" s="360"/>
      <c r="FA18" s="355"/>
      <c r="FB18" s="355"/>
      <c r="FC18" s="355"/>
      <c r="FD18" s="356"/>
      <c r="FE18" s="357"/>
      <c r="FF18" s="358"/>
      <c r="FG18" s="357"/>
      <c r="FH18" s="359"/>
      <c r="FI18" s="360"/>
      <c r="FJ18" s="355"/>
      <c r="FK18" s="355"/>
      <c r="FL18" s="355"/>
      <c r="FM18" s="356"/>
      <c r="FN18" s="357"/>
      <c r="FO18" s="358"/>
      <c r="FP18" s="357"/>
      <c r="FQ18" s="359"/>
      <c r="FR18" s="360"/>
      <c r="FS18" s="355"/>
      <c r="FT18" s="355"/>
      <c r="FU18" s="355"/>
      <c r="FV18" s="356"/>
      <c r="FW18" s="357"/>
      <c r="FX18" s="358"/>
      <c r="FY18" s="357"/>
      <c r="FZ18" s="359"/>
      <c r="GA18" s="360"/>
      <c r="GB18" s="355"/>
      <c r="GC18" s="355"/>
      <c r="GD18" s="355"/>
      <c r="GE18" s="356"/>
      <c r="GF18" s="357"/>
      <c r="GG18" s="358"/>
      <c r="GH18" s="357"/>
      <c r="GI18" s="359"/>
      <c r="GJ18" s="360"/>
      <c r="GK18" s="355"/>
      <c r="GL18" s="355"/>
      <c r="GM18" s="355"/>
      <c r="GN18" s="356"/>
      <c r="GO18" s="357"/>
      <c r="GP18" s="358"/>
      <c r="GQ18" s="357"/>
      <c r="GR18" s="359"/>
      <c r="GS18" s="360"/>
      <c r="GT18" s="362">
        <v>42830</v>
      </c>
      <c r="GU18" s="98"/>
      <c r="GV18" s="65">
        <v>17584</v>
      </c>
      <c r="GW18" s="74" t="s">
        <v>229</v>
      </c>
      <c r="GX18" s="74"/>
      <c r="GY18" s="66">
        <v>42843</v>
      </c>
      <c r="GZ18" s="86">
        <v>2088</v>
      </c>
    </row>
    <row r="19" spans="1:209" x14ac:dyDescent="0.25">
      <c r="C19" s="87"/>
      <c r="D19" s="35"/>
      <c r="E19" s="36"/>
      <c r="F19" s="37"/>
      <c r="G19" s="38"/>
      <c r="H19" s="39"/>
      <c r="I19" s="40"/>
      <c r="J19" s="68" t="s">
        <v>183</v>
      </c>
      <c r="K19" s="69" t="s">
        <v>184</v>
      </c>
      <c r="L19" s="70">
        <v>0</v>
      </c>
      <c r="M19" s="71">
        <v>42804</v>
      </c>
      <c r="N19" s="56" t="s">
        <v>275</v>
      </c>
      <c r="O19" s="72">
        <v>2550</v>
      </c>
      <c r="P19" s="113">
        <f t="shared" si="3"/>
        <v>2550</v>
      </c>
      <c r="Q19" s="64">
        <v>25</v>
      </c>
      <c r="R19" s="64"/>
      <c r="S19" s="64"/>
      <c r="T19" s="39">
        <f t="shared" si="2"/>
        <v>63750</v>
      </c>
      <c r="U19" s="115" t="s">
        <v>72</v>
      </c>
      <c r="V19" s="112">
        <v>42824</v>
      </c>
      <c r="W19" s="440">
        <v>1508</v>
      </c>
      <c r="X19" s="17"/>
      <c r="Y19" s="20"/>
      <c r="Z19" s="92"/>
      <c r="AA19" s="93"/>
      <c r="AB19" s="92"/>
      <c r="AC19" s="94"/>
      <c r="AD19" s="95"/>
      <c r="AE19" s="17"/>
      <c r="AF19" s="17"/>
      <c r="AG19" s="17"/>
      <c r="AH19" s="20"/>
      <c r="AI19" s="92"/>
      <c r="AJ19" s="93"/>
      <c r="AK19" s="92"/>
      <c r="AL19" s="94"/>
      <c r="AM19" s="95"/>
      <c r="AN19" s="17"/>
      <c r="AO19" s="17"/>
      <c r="AP19" s="17"/>
      <c r="AQ19" s="20"/>
      <c r="AR19" s="92"/>
      <c r="AS19" s="93"/>
      <c r="AT19" s="92"/>
      <c r="AU19" s="94"/>
      <c r="AV19" s="95"/>
      <c r="AW19" s="17"/>
      <c r="AX19" s="17"/>
      <c r="AY19" s="17"/>
      <c r="AZ19" s="20"/>
      <c r="BA19" s="92"/>
      <c r="BB19" s="93"/>
      <c r="BC19" s="92"/>
      <c r="BD19" s="94"/>
      <c r="BE19" s="95"/>
      <c r="BF19" s="17"/>
      <c r="BG19" s="17"/>
      <c r="BH19" s="17"/>
      <c r="BI19" s="20"/>
      <c r="BJ19" s="92"/>
      <c r="BK19" s="93"/>
      <c r="BL19" s="92"/>
      <c r="BM19" s="94"/>
      <c r="BN19" s="95"/>
      <c r="BO19" s="17"/>
      <c r="BP19" s="17"/>
      <c r="BQ19" s="17"/>
      <c r="BR19" s="20"/>
      <c r="BS19" s="92"/>
      <c r="BT19" s="93"/>
      <c r="BU19" s="92"/>
      <c r="BV19" s="94"/>
      <c r="BW19" s="95"/>
      <c r="BX19" s="17"/>
      <c r="BY19" s="17"/>
      <c r="BZ19" s="17"/>
      <c r="CA19" s="20"/>
      <c r="CB19" s="92"/>
      <c r="CC19" s="93"/>
      <c r="CD19" s="92"/>
      <c r="CE19" s="94"/>
      <c r="CF19" s="95"/>
      <c r="CG19" s="17"/>
      <c r="CH19" s="17"/>
      <c r="CI19" s="17"/>
      <c r="CJ19" s="20"/>
      <c r="CK19" s="92"/>
      <c r="CL19" s="93"/>
      <c r="CM19" s="92"/>
      <c r="CN19" s="94"/>
      <c r="CO19" s="95"/>
      <c r="CP19" s="17"/>
      <c r="CQ19" s="17"/>
      <c r="CR19" s="17"/>
      <c r="CS19" s="20"/>
      <c r="CT19" s="92"/>
      <c r="CU19" s="93"/>
      <c r="CV19" s="96"/>
      <c r="CW19" s="94"/>
      <c r="CX19" s="95"/>
      <c r="CY19" s="17"/>
      <c r="CZ19" s="17"/>
      <c r="DA19" s="17"/>
      <c r="DB19" s="20"/>
      <c r="DC19" s="92"/>
      <c r="DD19" s="93"/>
      <c r="DE19" s="92"/>
      <c r="DF19" s="94"/>
      <c r="DG19" s="95"/>
      <c r="DH19" s="17"/>
      <c r="DI19" s="17"/>
      <c r="DJ19" s="17"/>
      <c r="DK19" s="20"/>
      <c r="DL19" s="92"/>
      <c r="DM19" s="93"/>
      <c r="DN19" s="92"/>
      <c r="DO19" s="94"/>
      <c r="DP19" s="95"/>
      <c r="DQ19" s="17"/>
      <c r="DR19" s="17"/>
      <c r="DS19" s="17"/>
      <c r="DT19" s="20"/>
      <c r="DU19" s="92"/>
      <c r="DV19" s="93"/>
      <c r="DW19" s="92"/>
      <c r="DX19" s="94"/>
      <c r="DY19" s="95"/>
      <c r="DZ19" s="17"/>
      <c r="EA19" s="17"/>
      <c r="EB19" s="17"/>
      <c r="EC19" s="20"/>
      <c r="ED19" s="92"/>
      <c r="EE19" s="93"/>
      <c r="EF19" s="92"/>
      <c r="EG19" s="94"/>
      <c r="EH19" s="95"/>
      <c r="EI19" s="17"/>
      <c r="EJ19" s="17"/>
      <c r="EK19" s="17"/>
      <c r="EL19" s="20"/>
      <c r="EM19" s="92"/>
      <c r="EN19" s="93"/>
      <c r="EO19" s="92"/>
      <c r="EP19" s="94"/>
      <c r="EQ19" s="95"/>
      <c r="ER19" s="17"/>
      <c r="ES19" s="17"/>
      <c r="ET19" s="17"/>
      <c r="EU19" s="20"/>
      <c r="EV19" s="92"/>
      <c r="EW19" s="93"/>
      <c r="EX19" s="92"/>
      <c r="EY19" s="94"/>
      <c r="EZ19" s="95"/>
      <c r="FA19" s="17"/>
      <c r="FB19" s="17"/>
      <c r="FC19" s="17"/>
      <c r="FD19" s="20"/>
      <c r="FE19" s="92"/>
      <c r="FF19" s="93"/>
      <c r="FG19" s="92"/>
      <c r="FH19" s="94"/>
      <c r="FI19" s="95"/>
      <c r="FJ19" s="17"/>
      <c r="FK19" s="17"/>
      <c r="FL19" s="17"/>
      <c r="FM19" s="20"/>
      <c r="FN19" s="92"/>
      <c r="FO19" s="93"/>
      <c r="FP19" s="92"/>
      <c r="FQ19" s="94"/>
      <c r="FR19" s="95"/>
      <c r="FS19" s="17"/>
      <c r="FT19" s="17"/>
      <c r="FU19" s="17"/>
      <c r="FV19" s="20"/>
      <c r="FW19" s="92"/>
      <c r="FX19" s="93"/>
      <c r="FY19" s="92"/>
      <c r="FZ19" s="94"/>
      <c r="GA19" s="95"/>
      <c r="GB19" s="17"/>
      <c r="GC19" s="17"/>
      <c r="GD19" s="17"/>
      <c r="GE19" s="20"/>
      <c r="GF19" s="92"/>
      <c r="GG19" s="93"/>
      <c r="GH19" s="92"/>
      <c r="GI19" s="94"/>
      <c r="GJ19" s="95"/>
      <c r="GK19" s="17"/>
      <c r="GL19" s="17"/>
      <c r="GM19" s="17"/>
      <c r="GN19" s="20"/>
      <c r="GO19" s="92"/>
      <c r="GP19" s="93"/>
      <c r="GQ19" s="92"/>
      <c r="GR19" s="94"/>
      <c r="GS19" s="95"/>
      <c r="GT19" s="97">
        <v>42824</v>
      </c>
      <c r="GU19" s="98"/>
      <c r="GV19" s="84">
        <v>0</v>
      </c>
      <c r="GW19" s="74" t="s">
        <v>176</v>
      </c>
      <c r="GX19" s="74"/>
      <c r="GY19" s="66"/>
      <c r="GZ19" s="86">
        <v>0</v>
      </c>
    </row>
    <row r="20" spans="1:209" ht="30" x14ac:dyDescent="0.25">
      <c r="C20" s="87"/>
      <c r="D20" s="35"/>
      <c r="E20" s="36"/>
      <c r="F20" s="37"/>
      <c r="G20" s="38"/>
      <c r="H20" s="39"/>
      <c r="I20" s="40"/>
      <c r="J20" s="439" t="s">
        <v>209</v>
      </c>
      <c r="K20" s="69" t="s">
        <v>206</v>
      </c>
      <c r="L20" s="70">
        <v>1065</v>
      </c>
      <c r="M20" s="71">
        <v>42804</v>
      </c>
      <c r="N20" s="56" t="s">
        <v>273</v>
      </c>
      <c r="O20" s="72">
        <v>1065</v>
      </c>
      <c r="P20" s="113">
        <f t="shared" si="3"/>
        <v>0</v>
      </c>
      <c r="Q20" s="64">
        <v>65</v>
      </c>
      <c r="R20" s="64"/>
      <c r="S20" s="64"/>
      <c r="T20" s="39">
        <f t="shared" si="2"/>
        <v>69225</v>
      </c>
      <c r="U20" s="115" t="s">
        <v>72</v>
      </c>
      <c r="V20" s="112">
        <v>42824</v>
      </c>
      <c r="W20" s="376"/>
      <c r="X20" s="146"/>
      <c r="Y20" s="147"/>
      <c r="Z20" s="148"/>
      <c r="AA20" s="149"/>
      <c r="AB20" s="148"/>
      <c r="AC20" s="150"/>
      <c r="AD20" s="151"/>
      <c r="AE20" s="146"/>
      <c r="AF20" s="146"/>
      <c r="AG20" s="146"/>
      <c r="AH20" s="147"/>
      <c r="AI20" s="148"/>
      <c r="AJ20" s="149"/>
      <c r="AK20" s="148"/>
      <c r="AL20" s="150"/>
      <c r="AM20" s="151"/>
      <c r="AN20" s="146"/>
      <c r="AO20" s="146"/>
      <c r="AP20" s="146"/>
      <c r="AQ20" s="147"/>
      <c r="AR20" s="148"/>
      <c r="AS20" s="149"/>
      <c r="AT20" s="148"/>
      <c r="AU20" s="150"/>
      <c r="AV20" s="151"/>
      <c r="AW20" s="146"/>
      <c r="AX20" s="146"/>
      <c r="AY20" s="146"/>
      <c r="AZ20" s="147"/>
      <c r="BA20" s="148"/>
      <c r="BB20" s="149"/>
      <c r="BC20" s="148"/>
      <c r="BD20" s="150"/>
      <c r="BE20" s="151"/>
      <c r="BF20" s="146"/>
      <c r="BG20" s="146"/>
      <c r="BH20" s="146"/>
      <c r="BI20" s="147"/>
      <c r="BJ20" s="148"/>
      <c r="BK20" s="149"/>
      <c r="BL20" s="148"/>
      <c r="BM20" s="150"/>
      <c r="BN20" s="151"/>
      <c r="BO20" s="146"/>
      <c r="BP20" s="146"/>
      <c r="BQ20" s="146"/>
      <c r="BR20" s="147"/>
      <c r="BS20" s="148"/>
      <c r="BT20" s="149"/>
      <c r="BU20" s="148"/>
      <c r="BV20" s="150"/>
      <c r="BW20" s="151"/>
      <c r="BX20" s="146"/>
      <c r="BY20" s="146"/>
      <c r="BZ20" s="146"/>
      <c r="CA20" s="147"/>
      <c r="CB20" s="148"/>
      <c r="CC20" s="149"/>
      <c r="CD20" s="148"/>
      <c r="CE20" s="150"/>
      <c r="CF20" s="151"/>
      <c r="CG20" s="146"/>
      <c r="CH20" s="146"/>
      <c r="CI20" s="146"/>
      <c r="CJ20" s="147"/>
      <c r="CK20" s="148"/>
      <c r="CL20" s="149"/>
      <c r="CM20" s="148"/>
      <c r="CN20" s="150"/>
      <c r="CO20" s="151"/>
      <c r="CP20" s="146"/>
      <c r="CQ20" s="146"/>
      <c r="CR20" s="146"/>
      <c r="CS20" s="147"/>
      <c r="CT20" s="148"/>
      <c r="CU20" s="149"/>
      <c r="CV20" s="374"/>
      <c r="CW20" s="150"/>
      <c r="CX20" s="151"/>
      <c r="CY20" s="146"/>
      <c r="CZ20" s="146"/>
      <c r="DA20" s="146"/>
      <c r="DB20" s="147"/>
      <c r="DC20" s="148"/>
      <c r="DD20" s="149"/>
      <c r="DE20" s="148"/>
      <c r="DF20" s="150"/>
      <c r="DG20" s="151"/>
      <c r="DH20" s="146"/>
      <c r="DI20" s="146"/>
      <c r="DJ20" s="146"/>
      <c r="DK20" s="147"/>
      <c r="DL20" s="148"/>
      <c r="DM20" s="149"/>
      <c r="DN20" s="148"/>
      <c r="DO20" s="150"/>
      <c r="DP20" s="151"/>
      <c r="DQ20" s="146"/>
      <c r="DR20" s="146"/>
      <c r="DS20" s="146"/>
      <c r="DT20" s="147"/>
      <c r="DU20" s="148"/>
      <c r="DV20" s="149"/>
      <c r="DW20" s="148"/>
      <c r="DX20" s="150"/>
      <c r="DY20" s="151"/>
      <c r="DZ20" s="146"/>
      <c r="EA20" s="146"/>
      <c r="EB20" s="146"/>
      <c r="EC20" s="147"/>
      <c r="ED20" s="148"/>
      <c r="EE20" s="149"/>
      <c r="EF20" s="148"/>
      <c r="EG20" s="150"/>
      <c r="EH20" s="151"/>
      <c r="EI20" s="146"/>
      <c r="EJ20" s="146"/>
      <c r="EK20" s="146"/>
      <c r="EL20" s="147"/>
      <c r="EM20" s="148"/>
      <c r="EN20" s="149"/>
      <c r="EO20" s="148"/>
      <c r="EP20" s="150"/>
      <c r="EQ20" s="151"/>
      <c r="ER20" s="146"/>
      <c r="ES20" s="146"/>
      <c r="ET20" s="146"/>
      <c r="EU20" s="147"/>
      <c r="EV20" s="148"/>
      <c r="EW20" s="149"/>
      <c r="EX20" s="148"/>
      <c r="EY20" s="150"/>
      <c r="EZ20" s="151"/>
      <c r="FA20" s="146"/>
      <c r="FB20" s="146"/>
      <c r="FC20" s="146"/>
      <c r="FD20" s="147"/>
      <c r="FE20" s="148"/>
      <c r="FF20" s="149"/>
      <c r="FG20" s="148"/>
      <c r="FH20" s="150"/>
      <c r="FI20" s="151"/>
      <c r="FJ20" s="146"/>
      <c r="FK20" s="146"/>
      <c r="FL20" s="146"/>
      <c r="FM20" s="147"/>
      <c r="FN20" s="148"/>
      <c r="FO20" s="149"/>
      <c r="FP20" s="148"/>
      <c r="FQ20" s="150"/>
      <c r="FR20" s="151"/>
      <c r="FS20" s="146"/>
      <c r="FT20" s="146"/>
      <c r="FU20" s="146"/>
      <c r="FV20" s="147"/>
      <c r="FW20" s="148"/>
      <c r="FX20" s="149"/>
      <c r="FY20" s="148"/>
      <c r="FZ20" s="150"/>
      <c r="GA20" s="151"/>
      <c r="GB20" s="146"/>
      <c r="GC20" s="146"/>
      <c r="GD20" s="146"/>
      <c r="GE20" s="147"/>
      <c r="GF20" s="148"/>
      <c r="GG20" s="149"/>
      <c r="GH20" s="148"/>
      <c r="GI20" s="150"/>
      <c r="GJ20" s="151"/>
      <c r="GK20" s="146"/>
      <c r="GL20" s="146"/>
      <c r="GM20" s="146"/>
      <c r="GN20" s="147"/>
      <c r="GO20" s="148"/>
      <c r="GP20" s="149"/>
      <c r="GQ20" s="148"/>
      <c r="GR20" s="150"/>
      <c r="GS20" s="151"/>
      <c r="GT20" s="152"/>
      <c r="GU20" s="98"/>
      <c r="GV20" s="84">
        <v>0</v>
      </c>
      <c r="GW20" s="74" t="s">
        <v>924</v>
      </c>
      <c r="GX20" s="74"/>
      <c r="GY20" s="66"/>
      <c r="GZ20" s="86">
        <v>0</v>
      </c>
    </row>
    <row r="21" spans="1:209" x14ac:dyDescent="0.25">
      <c r="C21" s="87"/>
      <c r="D21" s="35"/>
      <c r="E21" s="36"/>
      <c r="F21" s="37"/>
      <c r="G21" s="38"/>
      <c r="H21" s="39"/>
      <c r="I21" s="40"/>
      <c r="J21" s="68" t="s">
        <v>42</v>
      </c>
      <c r="K21" s="69" t="s">
        <v>210</v>
      </c>
      <c r="L21" s="70">
        <v>24910</v>
      </c>
      <c r="M21" s="71">
        <v>42806</v>
      </c>
      <c r="N21" s="380" t="s">
        <v>288</v>
      </c>
      <c r="O21" s="72">
        <v>30740</v>
      </c>
      <c r="P21" s="113">
        <f t="shared" si="3"/>
        <v>5830</v>
      </c>
      <c r="Q21" s="64">
        <v>24.5</v>
      </c>
      <c r="R21" s="64"/>
      <c r="S21" s="64"/>
      <c r="T21" s="39">
        <f t="shared" si="2"/>
        <v>753130</v>
      </c>
      <c r="U21" s="363" t="s">
        <v>72</v>
      </c>
      <c r="V21" s="353">
        <v>42831</v>
      </c>
      <c r="W21" s="364">
        <v>19604</v>
      </c>
      <c r="X21" s="355"/>
      <c r="Y21" s="356"/>
      <c r="Z21" s="357"/>
      <c r="AA21" s="358"/>
      <c r="AB21" s="357"/>
      <c r="AC21" s="359"/>
      <c r="AD21" s="360"/>
      <c r="AE21" s="355"/>
      <c r="AF21" s="355"/>
      <c r="AG21" s="355"/>
      <c r="AH21" s="356"/>
      <c r="AI21" s="357"/>
      <c r="AJ21" s="358"/>
      <c r="AK21" s="357"/>
      <c r="AL21" s="359"/>
      <c r="AM21" s="360"/>
      <c r="AN21" s="355"/>
      <c r="AO21" s="355"/>
      <c r="AP21" s="355"/>
      <c r="AQ21" s="356"/>
      <c r="AR21" s="357"/>
      <c r="AS21" s="358"/>
      <c r="AT21" s="357"/>
      <c r="AU21" s="359"/>
      <c r="AV21" s="360"/>
      <c r="AW21" s="355"/>
      <c r="AX21" s="355"/>
      <c r="AY21" s="355"/>
      <c r="AZ21" s="356"/>
      <c r="BA21" s="357"/>
      <c r="BB21" s="358"/>
      <c r="BC21" s="357"/>
      <c r="BD21" s="359"/>
      <c r="BE21" s="360"/>
      <c r="BF21" s="355"/>
      <c r="BG21" s="355"/>
      <c r="BH21" s="355"/>
      <c r="BI21" s="356"/>
      <c r="BJ21" s="357"/>
      <c r="BK21" s="358"/>
      <c r="BL21" s="357"/>
      <c r="BM21" s="359"/>
      <c r="BN21" s="360"/>
      <c r="BO21" s="355"/>
      <c r="BP21" s="355"/>
      <c r="BQ21" s="355"/>
      <c r="BR21" s="356"/>
      <c r="BS21" s="357"/>
      <c r="BT21" s="358"/>
      <c r="BU21" s="357"/>
      <c r="BV21" s="359"/>
      <c r="BW21" s="360"/>
      <c r="BX21" s="355"/>
      <c r="BY21" s="355"/>
      <c r="BZ21" s="355"/>
      <c r="CA21" s="356"/>
      <c r="CB21" s="357"/>
      <c r="CC21" s="358"/>
      <c r="CD21" s="357"/>
      <c r="CE21" s="359"/>
      <c r="CF21" s="360"/>
      <c r="CG21" s="355"/>
      <c r="CH21" s="355"/>
      <c r="CI21" s="355"/>
      <c r="CJ21" s="356"/>
      <c r="CK21" s="357"/>
      <c r="CL21" s="358"/>
      <c r="CM21" s="357"/>
      <c r="CN21" s="359"/>
      <c r="CO21" s="360"/>
      <c r="CP21" s="355"/>
      <c r="CQ21" s="355"/>
      <c r="CR21" s="355"/>
      <c r="CS21" s="356"/>
      <c r="CT21" s="357"/>
      <c r="CU21" s="358"/>
      <c r="CV21" s="361"/>
      <c r="CW21" s="359"/>
      <c r="CX21" s="360"/>
      <c r="CY21" s="355"/>
      <c r="CZ21" s="355"/>
      <c r="DA21" s="355"/>
      <c r="DB21" s="356"/>
      <c r="DC21" s="357"/>
      <c r="DD21" s="358"/>
      <c r="DE21" s="357"/>
      <c r="DF21" s="359"/>
      <c r="DG21" s="360"/>
      <c r="DH21" s="355"/>
      <c r="DI21" s="355"/>
      <c r="DJ21" s="355"/>
      <c r="DK21" s="356"/>
      <c r="DL21" s="357"/>
      <c r="DM21" s="358"/>
      <c r="DN21" s="357"/>
      <c r="DO21" s="359"/>
      <c r="DP21" s="360"/>
      <c r="DQ21" s="355"/>
      <c r="DR21" s="355"/>
      <c r="DS21" s="355"/>
      <c r="DT21" s="356"/>
      <c r="DU21" s="357"/>
      <c r="DV21" s="358"/>
      <c r="DW21" s="357"/>
      <c r="DX21" s="359"/>
      <c r="DY21" s="360"/>
      <c r="DZ21" s="355"/>
      <c r="EA21" s="355"/>
      <c r="EB21" s="355"/>
      <c r="EC21" s="356"/>
      <c r="ED21" s="357"/>
      <c r="EE21" s="358"/>
      <c r="EF21" s="357"/>
      <c r="EG21" s="359"/>
      <c r="EH21" s="360"/>
      <c r="EI21" s="355"/>
      <c r="EJ21" s="355"/>
      <c r="EK21" s="355"/>
      <c r="EL21" s="356"/>
      <c r="EM21" s="357"/>
      <c r="EN21" s="358"/>
      <c r="EO21" s="357"/>
      <c r="EP21" s="359"/>
      <c r="EQ21" s="360"/>
      <c r="ER21" s="355"/>
      <c r="ES21" s="355"/>
      <c r="ET21" s="355"/>
      <c r="EU21" s="356"/>
      <c r="EV21" s="357"/>
      <c r="EW21" s="358"/>
      <c r="EX21" s="357"/>
      <c r="EY21" s="359"/>
      <c r="EZ21" s="360"/>
      <c r="FA21" s="355"/>
      <c r="FB21" s="355"/>
      <c r="FC21" s="355"/>
      <c r="FD21" s="356"/>
      <c r="FE21" s="357"/>
      <c r="FF21" s="358"/>
      <c r="FG21" s="357"/>
      <c r="FH21" s="359"/>
      <c r="FI21" s="360"/>
      <c r="FJ21" s="355"/>
      <c r="FK21" s="355"/>
      <c r="FL21" s="355"/>
      <c r="FM21" s="356"/>
      <c r="FN21" s="357"/>
      <c r="FO21" s="358"/>
      <c r="FP21" s="357"/>
      <c r="FQ21" s="359"/>
      <c r="FR21" s="360"/>
      <c r="FS21" s="355"/>
      <c r="FT21" s="355"/>
      <c r="FU21" s="355"/>
      <c r="FV21" s="356"/>
      <c r="FW21" s="357"/>
      <c r="FX21" s="358"/>
      <c r="FY21" s="357"/>
      <c r="FZ21" s="359"/>
      <c r="GA21" s="360"/>
      <c r="GB21" s="355"/>
      <c r="GC21" s="355"/>
      <c r="GD21" s="355"/>
      <c r="GE21" s="356"/>
      <c r="GF21" s="357"/>
      <c r="GG21" s="358"/>
      <c r="GH21" s="357"/>
      <c r="GI21" s="359"/>
      <c r="GJ21" s="360"/>
      <c r="GK21" s="355"/>
      <c r="GL21" s="355"/>
      <c r="GM21" s="355"/>
      <c r="GN21" s="356"/>
      <c r="GO21" s="357"/>
      <c r="GP21" s="358"/>
      <c r="GQ21" s="357"/>
      <c r="GR21" s="359"/>
      <c r="GS21" s="360"/>
      <c r="GT21" s="362">
        <v>42831</v>
      </c>
      <c r="GU21" s="98"/>
      <c r="GV21" s="65"/>
      <c r="GW21" s="74"/>
      <c r="GX21" s="74"/>
      <c r="GY21" s="66">
        <v>42843</v>
      </c>
      <c r="GZ21" s="86">
        <v>3712</v>
      </c>
    </row>
    <row r="22" spans="1:209" x14ac:dyDescent="0.25">
      <c r="C22" s="87"/>
      <c r="D22" s="35"/>
      <c r="E22" s="36"/>
      <c r="F22" s="37"/>
      <c r="G22" s="38"/>
      <c r="H22" s="39"/>
      <c r="I22" s="40"/>
      <c r="J22" s="68" t="s">
        <v>96</v>
      </c>
      <c r="K22" s="116" t="s">
        <v>35</v>
      </c>
      <c r="L22" s="70">
        <v>12640</v>
      </c>
      <c r="M22" s="71">
        <v>42807</v>
      </c>
      <c r="N22" s="380" t="s">
        <v>303</v>
      </c>
      <c r="O22" s="72">
        <v>15515</v>
      </c>
      <c r="P22" s="113">
        <f t="shared" si="3"/>
        <v>2875</v>
      </c>
      <c r="Q22" s="64">
        <v>24.5</v>
      </c>
      <c r="R22" s="64"/>
      <c r="S22" s="64"/>
      <c r="T22" s="39">
        <f t="shared" si="2"/>
        <v>380117.5</v>
      </c>
      <c r="U22" s="363" t="s">
        <v>72</v>
      </c>
      <c r="V22" s="353">
        <v>42835</v>
      </c>
      <c r="W22" s="364">
        <v>9802</v>
      </c>
      <c r="X22" s="355"/>
      <c r="Y22" s="356"/>
      <c r="Z22" s="357"/>
      <c r="AA22" s="358"/>
      <c r="AB22" s="357"/>
      <c r="AC22" s="359"/>
      <c r="AD22" s="360"/>
      <c r="AE22" s="355"/>
      <c r="AF22" s="355"/>
      <c r="AG22" s="355"/>
      <c r="AH22" s="356"/>
      <c r="AI22" s="357"/>
      <c r="AJ22" s="358"/>
      <c r="AK22" s="357"/>
      <c r="AL22" s="359"/>
      <c r="AM22" s="360"/>
      <c r="AN22" s="355"/>
      <c r="AO22" s="355"/>
      <c r="AP22" s="355"/>
      <c r="AQ22" s="356"/>
      <c r="AR22" s="357"/>
      <c r="AS22" s="358"/>
      <c r="AT22" s="357"/>
      <c r="AU22" s="359"/>
      <c r="AV22" s="360"/>
      <c r="AW22" s="355"/>
      <c r="AX22" s="355"/>
      <c r="AY22" s="355"/>
      <c r="AZ22" s="356"/>
      <c r="BA22" s="357"/>
      <c r="BB22" s="358"/>
      <c r="BC22" s="357"/>
      <c r="BD22" s="359"/>
      <c r="BE22" s="360"/>
      <c r="BF22" s="355"/>
      <c r="BG22" s="355"/>
      <c r="BH22" s="355"/>
      <c r="BI22" s="356"/>
      <c r="BJ22" s="357"/>
      <c r="BK22" s="358"/>
      <c r="BL22" s="357"/>
      <c r="BM22" s="359"/>
      <c r="BN22" s="360"/>
      <c r="BO22" s="355"/>
      <c r="BP22" s="355"/>
      <c r="BQ22" s="355"/>
      <c r="BR22" s="356"/>
      <c r="BS22" s="357"/>
      <c r="BT22" s="358"/>
      <c r="BU22" s="357"/>
      <c r="BV22" s="359"/>
      <c r="BW22" s="360"/>
      <c r="BX22" s="355"/>
      <c r="BY22" s="355"/>
      <c r="BZ22" s="355"/>
      <c r="CA22" s="356"/>
      <c r="CB22" s="357"/>
      <c r="CC22" s="358"/>
      <c r="CD22" s="357"/>
      <c r="CE22" s="359"/>
      <c r="CF22" s="360"/>
      <c r="CG22" s="355"/>
      <c r="CH22" s="355"/>
      <c r="CI22" s="355"/>
      <c r="CJ22" s="356"/>
      <c r="CK22" s="357"/>
      <c r="CL22" s="358"/>
      <c r="CM22" s="357"/>
      <c r="CN22" s="359"/>
      <c r="CO22" s="360"/>
      <c r="CP22" s="355"/>
      <c r="CQ22" s="355"/>
      <c r="CR22" s="355"/>
      <c r="CS22" s="356"/>
      <c r="CT22" s="357"/>
      <c r="CU22" s="358"/>
      <c r="CV22" s="361"/>
      <c r="CW22" s="359"/>
      <c r="CX22" s="360"/>
      <c r="CY22" s="355"/>
      <c r="CZ22" s="355"/>
      <c r="DA22" s="355"/>
      <c r="DB22" s="356"/>
      <c r="DC22" s="357"/>
      <c r="DD22" s="358"/>
      <c r="DE22" s="357"/>
      <c r="DF22" s="359"/>
      <c r="DG22" s="360"/>
      <c r="DH22" s="355"/>
      <c r="DI22" s="355"/>
      <c r="DJ22" s="355"/>
      <c r="DK22" s="356"/>
      <c r="DL22" s="357"/>
      <c r="DM22" s="358"/>
      <c r="DN22" s="357"/>
      <c r="DO22" s="359"/>
      <c r="DP22" s="360"/>
      <c r="DQ22" s="355"/>
      <c r="DR22" s="355"/>
      <c r="DS22" s="355"/>
      <c r="DT22" s="356"/>
      <c r="DU22" s="357"/>
      <c r="DV22" s="358"/>
      <c r="DW22" s="357"/>
      <c r="DX22" s="359"/>
      <c r="DY22" s="360"/>
      <c r="DZ22" s="355"/>
      <c r="EA22" s="355"/>
      <c r="EB22" s="355"/>
      <c r="EC22" s="356"/>
      <c r="ED22" s="357"/>
      <c r="EE22" s="358"/>
      <c r="EF22" s="357"/>
      <c r="EG22" s="359"/>
      <c r="EH22" s="360"/>
      <c r="EI22" s="355"/>
      <c r="EJ22" s="355"/>
      <c r="EK22" s="355"/>
      <c r="EL22" s="356"/>
      <c r="EM22" s="357"/>
      <c r="EN22" s="358"/>
      <c r="EO22" s="357"/>
      <c r="EP22" s="359"/>
      <c r="EQ22" s="360"/>
      <c r="ER22" s="355"/>
      <c r="ES22" s="355"/>
      <c r="ET22" s="355"/>
      <c r="EU22" s="356"/>
      <c r="EV22" s="357"/>
      <c r="EW22" s="358"/>
      <c r="EX22" s="357"/>
      <c r="EY22" s="359"/>
      <c r="EZ22" s="360"/>
      <c r="FA22" s="355"/>
      <c r="FB22" s="355"/>
      <c r="FC22" s="355"/>
      <c r="FD22" s="356"/>
      <c r="FE22" s="357"/>
      <c r="FF22" s="358"/>
      <c r="FG22" s="357"/>
      <c r="FH22" s="359"/>
      <c r="FI22" s="360"/>
      <c r="FJ22" s="355"/>
      <c r="FK22" s="355"/>
      <c r="FL22" s="355"/>
      <c r="FM22" s="356"/>
      <c r="FN22" s="357"/>
      <c r="FO22" s="358"/>
      <c r="FP22" s="357"/>
      <c r="FQ22" s="359"/>
      <c r="FR22" s="360"/>
      <c r="FS22" s="355"/>
      <c r="FT22" s="355"/>
      <c r="FU22" s="355"/>
      <c r="FV22" s="356"/>
      <c r="FW22" s="357"/>
      <c r="FX22" s="358"/>
      <c r="FY22" s="357"/>
      <c r="FZ22" s="359"/>
      <c r="GA22" s="360"/>
      <c r="GB22" s="355"/>
      <c r="GC22" s="355"/>
      <c r="GD22" s="355"/>
      <c r="GE22" s="356"/>
      <c r="GF22" s="357"/>
      <c r="GG22" s="358"/>
      <c r="GH22" s="357"/>
      <c r="GI22" s="359"/>
      <c r="GJ22" s="360"/>
      <c r="GK22" s="355"/>
      <c r="GL22" s="355"/>
      <c r="GM22" s="355"/>
      <c r="GN22" s="356"/>
      <c r="GO22" s="357"/>
      <c r="GP22" s="358"/>
      <c r="GQ22" s="357"/>
      <c r="GR22" s="359"/>
      <c r="GS22" s="360"/>
      <c r="GT22" s="362">
        <v>42835</v>
      </c>
      <c r="GU22" s="98"/>
      <c r="GV22" s="65">
        <v>17584</v>
      </c>
      <c r="GW22" s="74" t="s">
        <v>266</v>
      </c>
      <c r="GX22" s="74"/>
      <c r="GY22" s="66">
        <v>42843</v>
      </c>
      <c r="GZ22" s="86">
        <v>2088</v>
      </c>
    </row>
    <row r="23" spans="1:209" x14ac:dyDescent="0.25">
      <c r="C23" s="87"/>
      <c r="D23" s="35"/>
      <c r="E23" s="36"/>
      <c r="F23" s="37"/>
      <c r="G23" s="38"/>
      <c r="H23" s="39"/>
      <c r="I23" s="40"/>
      <c r="J23" s="68" t="s">
        <v>153</v>
      </c>
      <c r="K23" s="69" t="s">
        <v>37</v>
      </c>
      <c r="L23" s="70">
        <v>20720</v>
      </c>
      <c r="M23" s="71">
        <v>42808</v>
      </c>
      <c r="N23" s="380" t="s">
        <v>289</v>
      </c>
      <c r="O23" s="72">
        <v>25430</v>
      </c>
      <c r="P23" s="113">
        <f t="shared" si="3"/>
        <v>4710</v>
      </c>
      <c r="Q23" s="64">
        <v>24.5</v>
      </c>
      <c r="R23" s="64"/>
      <c r="S23" s="64"/>
      <c r="T23" s="39">
        <f t="shared" si="2"/>
        <v>623035</v>
      </c>
      <c r="U23" s="363" t="s">
        <v>72</v>
      </c>
      <c r="V23" s="353">
        <v>42832</v>
      </c>
      <c r="W23" s="364">
        <v>15080</v>
      </c>
      <c r="X23" s="355"/>
      <c r="Y23" s="356"/>
      <c r="Z23" s="357"/>
      <c r="AA23" s="358"/>
      <c r="AB23" s="357"/>
      <c r="AC23" s="359"/>
      <c r="AD23" s="360"/>
      <c r="AE23" s="355"/>
      <c r="AF23" s="355"/>
      <c r="AG23" s="355"/>
      <c r="AH23" s="356"/>
      <c r="AI23" s="357"/>
      <c r="AJ23" s="358"/>
      <c r="AK23" s="357"/>
      <c r="AL23" s="359"/>
      <c r="AM23" s="360"/>
      <c r="AN23" s="355"/>
      <c r="AO23" s="355"/>
      <c r="AP23" s="355"/>
      <c r="AQ23" s="356"/>
      <c r="AR23" s="357"/>
      <c r="AS23" s="358"/>
      <c r="AT23" s="357"/>
      <c r="AU23" s="359"/>
      <c r="AV23" s="360"/>
      <c r="AW23" s="355"/>
      <c r="AX23" s="355"/>
      <c r="AY23" s="355"/>
      <c r="AZ23" s="356"/>
      <c r="BA23" s="357"/>
      <c r="BB23" s="358"/>
      <c r="BC23" s="357"/>
      <c r="BD23" s="359"/>
      <c r="BE23" s="360"/>
      <c r="BF23" s="355"/>
      <c r="BG23" s="355"/>
      <c r="BH23" s="355"/>
      <c r="BI23" s="356"/>
      <c r="BJ23" s="357"/>
      <c r="BK23" s="358"/>
      <c r="BL23" s="357"/>
      <c r="BM23" s="359"/>
      <c r="BN23" s="360"/>
      <c r="BO23" s="355"/>
      <c r="BP23" s="355"/>
      <c r="BQ23" s="355"/>
      <c r="BR23" s="356"/>
      <c r="BS23" s="357"/>
      <c r="BT23" s="358"/>
      <c r="BU23" s="357"/>
      <c r="BV23" s="359"/>
      <c r="BW23" s="360"/>
      <c r="BX23" s="355"/>
      <c r="BY23" s="355"/>
      <c r="BZ23" s="355"/>
      <c r="CA23" s="356"/>
      <c r="CB23" s="357"/>
      <c r="CC23" s="358"/>
      <c r="CD23" s="357"/>
      <c r="CE23" s="359"/>
      <c r="CF23" s="360"/>
      <c r="CG23" s="355"/>
      <c r="CH23" s="355"/>
      <c r="CI23" s="355"/>
      <c r="CJ23" s="356"/>
      <c r="CK23" s="357"/>
      <c r="CL23" s="358"/>
      <c r="CM23" s="357"/>
      <c r="CN23" s="359"/>
      <c r="CO23" s="360"/>
      <c r="CP23" s="355"/>
      <c r="CQ23" s="355"/>
      <c r="CR23" s="355"/>
      <c r="CS23" s="356"/>
      <c r="CT23" s="357"/>
      <c r="CU23" s="358"/>
      <c r="CV23" s="361"/>
      <c r="CW23" s="359"/>
      <c r="CX23" s="360"/>
      <c r="CY23" s="355"/>
      <c r="CZ23" s="355"/>
      <c r="DA23" s="355"/>
      <c r="DB23" s="356"/>
      <c r="DC23" s="357"/>
      <c r="DD23" s="358"/>
      <c r="DE23" s="357"/>
      <c r="DF23" s="359"/>
      <c r="DG23" s="360"/>
      <c r="DH23" s="355"/>
      <c r="DI23" s="355"/>
      <c r="DJ23" s="355"/>
      <c r="DK23" s="356"/>
      <c r="DL23" s="357"/>
      <c r="DM23" s="358"/>
      <c r="DN23" s="357"/>
      <c r="DO23" s="359"/>
      <c r="DP23" s="360"/>
      <c r="DQ23" s="355"/>
      <c r="DR23" s="355"/>
      <c r="DS23" s="355"/>
      <c r="DT23" s="356"/>
      <c r="DU23" s="357"/>
      <c r="DV23" s="358"/>
      <c r="DW23" s="357"/>
      <c r="DX23" s="359"/>
      <c r="DY23" s="360"/>
      <c r="DZ23" s="355"/>
      <c r="EA23" s="355"/>
      <c r="EB23" s="355"/>
      <c r="EC23" s="356"/>
      <c r="ED23" s="357"/>
      <c r="EE23" s="358"/>
      <c r="EF23" s="357"/>
      <c r="EG23" s="359"/>
      <c r="EH23" s="360"/>
      <c r="EI23" s="355"/>
      <c r="EJ23" s="355"/>
      <c r="EK23" s="355"/>
      <c r="EL23" s="356"/>
      <c r="EM23" s="357"/>
      <c r="EN23" s="358"/>
      <c r="EO23" s="357"/>
      <c r="EP23" s="359"/>
      <c r="EQ23" s="360"/>
      <c r="ER23" s="355"/>
      <c r="ES23" s="355"/>
      <c r="ET23" s="355"/>
      <c r="EU23" s="356"/>
      <c r="EV23" s="357"/>
      <c r="EW23" s="358"/>
      <c r="EX23" s="357"/>
      <c r="EY23" s="359"/>
      <c r="EZ23" s="360"/>
      <c r="FA23" s="355"/>
      <c r="FB23" s="355"/>
      <c r="FC23" s="355"/>
      <c r="FD23" s="356"/>
      <c r="FE23" s="357"/>
      <c r="FF23" s="358"/>
      <c r="FG23" s="357"/>
      <c r="FH23" s="359"/>
      <c r="FI23" s="360"/>
      <c r="FJ23" s="355"/>
      <c r="FK23" s="355"/>
      <c r="FL23" s="355"/>
      <c r="FM23" s="356"/>
      <c r="FN23" s="357"/>
      <c r="FO23" s="358"/>
      <c r="FP23" s="357"/>
      <c r="FQ23" s="359"/>
      <c r="FR23" s="360"/>
      <c r="FS23" s="355"/>
      <c r="FT23" s="355"/>
      <c r="FU23" s="355"/>
      <c r="FV23" s="356"/>
      <c r="FW23" s="357"/>
      <c r="FX23" s="358"/>
      <c r="FY23" s="357"/>
      <c r="FZ23" s="359"/>
      <c r="GA23" s="360"/>
      <c r="GB23" s="355"/>
      <c r="GC23" s="355"/>
      <c r="GD23" s="355"/>
      <c r="GE23" s="356"/>
      <c r="GF23" s="357"/>
      <c r="GG23" s="358"/>
      <c r="GH23" s="357"/>
      <c r="GI23" s="359"/>
      <c r="GJ23" s="360"/>
      <c r="GK23" s="355"/>
      <c r="GL23" s="355"/>
      <c r="GM23" s="355"/>
      <c r="GN23" s="356"/>
      <c r="GO23" s="357"/>
      <c r="GP23" s="358"/>
      <c r="GQ23" s="357"/>
      <c r="GR23" s="359"/>
      <c r="GS23" s="360"/>
      <c r="GT23" s="365">
        <v>42832</v>
      </c>
      <c r="GU23" s="98"/>
      <c r="GV23" s="65"/>
      <c r="GW23" s="74"/>
      <c r="GX23" s="74"/>
      <c r="GY23" s="66">
        <v>42843</v>
      </c>
      <c r="GZ23" s="86">
        <v>3712</v>
      </c>
    </row>
    <row r="24" spans="1:209" x14ac:dyDescent="0.25">
      <c r="C24" s="87"/>
      <c r="D24" s="35"/>
      <c r="E24" s="36"/>
      <c r="F24" s="37"/>
      <c r="G24" s="38"/>
      <c r="H24" s="39"/>
      <c r="I24" s="40"/>
      <c r="J24" s="68" t="s">
        <v>96</v>
      </c>
      <c r="K24" s="69" t="s">
        <v>35</v>
      </c>
      <c r="L24" s="70">
        <v>11970</v>
      </c>
      <c r="M24" s="71">
        <v>42809</v>
      </c>
      <c r="N24" s="380" t="s">
        <v>302</v>
      </c>
      <c r="O24" s="72">
        <v>14865</v>
      </c>
      <c r="P24" s="113">
        <f t="shared" si="3"/>
        <v>2895</v>
      </c>
      <c r="Q24" s="64">
        <v>24.5</v>
      </c>
      <c r="R24" s="64"/>
      <c r="S24" s="64"/>
      <c r="T24" s="39">
        <f t="shared" si="2"/>
        <v>364192.5</v>
      </c>
      <c r="U24" s="363" t="s">
        <v>72</v>
      </c>
      <c r="V24" s="353">
        <v>42835</v>
      </c>
      <c r="W24" s="364">
        <v>9802</v>
      </c>
      <c r="X24" s="355"/>
      <c r="Y24" s="356"/>
      <c r="Z24" s="357"/>
      <c r="AA24" s="358"/>
      <c r="AB24" s="357"/>
      <c r="AC24" s="359"/>
      <c r="AD24" s="360"/>
      <c r="AE24" s="355"/>
      <c r="AF24" s="355"/>
      <c r="AG24" s="355"/>
      <c r="AH24" s="356"/>
      <c r="AI24" s="357"/>
      <c r="AJ24" s="358"/>
      <c r="AK24" s="357"/>
      <c r="AL24" s="359"/>
      <c r="AM24" s="360"/>
      <c r="AN24" s="355"/>
      <c r="AO24" s="355"/>
      <c r="AP24" s="355"/>
      <c r="AQ24" s="356"/>
      <c r="AR24" s="357"/>
      <c r="AS24" s="358"/>
      <c r="AT24" s="357"/>
      <c r="AU24" s="359"/>
      <c r="AV24" s="360"/>
      <c r="AW24" s="355"/>
      <c r="AX24" s="355"/>
      <c r="AY24" s="355"/>
      <c r="AZ24" s="356"/>
      <c r="BA24" s="357"/>
      <c r="BB24" s="358"/>
      <c r="BC24" s="357"/>
      <c r="BD24" s="359"/>
      <c r="BE24" s="360"/>
      <c r="BF24" s="355"/>
      <c r="BG24" s="355"/>
      <c r="BH24" s="355"/>
      <c r="BI24" s="356"/>
      <c r="BJ24" s="357"/>
      <c r="BK24" s="358"/>
      <c r="BL24" s="357"/>
      <c r="BM24" s="359"/>
      <c r="BN24" s="360"/>
      <c r="BO24" s="355"/>
      <c r="BP24" s="355"/>
      <c r="BQ24" s="355"/>
      <c r="BR24" s="356"/>
      <c r="BS24" s="357"/>
      <c r="BT24" s="358"/>
      <c r="BU24" s="357"/>
      <c r="BV24" s="359"/>
      <c r="BW24" s="360"/>
      <c r="BX24" s="355"/>
      <c r="BY24" s="355"/>
      <c r="BZ24" s="355"/>
      <c r="CA24" s="356"/>
      <c r="CB24" s="357"/>
      <c r="CC24" s="358"/>
      <c r="CD24" s="357"/>
      <c r="CE24" s="359"/>
      <c r="CF24" s="360"/>
      <c r="CG24" s="355"/>
      <c r="CH24" s="355"/>
      <c r="CI24" s="355"/>
      <c r="CJ24" s="356"/>
      <c r="CK24" s="357"/>
      <c r="CL24" s="358"/>
      <c r="CM24" s="357"/>
      <c r="CN24" s="359"/>
      <c r="CO24" s="360"/>
      <c r="CP24" s="355"/>
      <c r="CQ24" s="355"/>
      <c r="CR24" s="355"/>
      <c r="CS24" s="356"/>
      <c r="CT24" s="357"/>
      <c r="CU24" s="358"/>
      <c r="CV24" s="361"/>
      <c r="CW24" s="359"/>
      <c r="CX24" s="360"/>
      <c r="CY24" s="355"/>
      <c r="CZ24" s="355"/>
      <c r="DA24" s="355"/>
      <c r="DB24" s="356"/>
      <c r="DC24" s="357"/>
      <c r="DD24" s="358"/>
      <c r="DE24" s="357"/>
      <c r="DF24" s="359"/>
      <c r="DG24" s="360"/>
      <c r="DH24" s="355"/>
      <c r="DI24" s="355"/>
      <c r="DJ24" s="355"/>
      <c r="DK24" s="356"/>
      <c r="DL24" s="357"/>
      <c r="DM24" s="358"/>
      <c r="DN24" s="357"/>
      <c r="DO24" s="359"/>
      <c r="DP24" s="360"/>
      <c r="DQ24" s="355"/>
      <c r="DR24" s="355"/>
      <c r="DS24" s="355"/>
      <c r="DT24" s="356"/>
      <c r="DU24" s="357"/>
      <c r="DV24" s="358"/>
      <c r="DW24" s="357"/>
      <c r="DX24" s="359"/>
      <c r="DY24" s="360"/>
      <c r="DZ24" s="355"/>
      <c r="EA24" s="355"/>
      <c r="EB24" s="355"/>
      <c r="EC24" s="356"/>
      <c r="ED24" s="357"/>
      <c r="EE24" s="358"/>
      <c r="EF24" s="357"/>
      <c r="EG24" s="359"/>
      <c r="EH24" s="360"/>
      <c r="EI24" s="355"/>
      <c r="EJ24" s="355"/>
      <c r="EK24" s="355"/>
      <c r="EL24" s="356"/>
      <c r="EM24" s="357"/>
      <c r="EN24" s="358"/>
      <c r="EO24" s="357"/>
      <c r="EP24" s="359"/>
      <c r="EQ24" s="360"/>
      <c r="ER24" s="355"/>
      <c r="ES24" s="355"/>
      <c r="ET24" s="355"/>
      <c r="EU24" s="356"/>
      <c r="EV24" s="357"/>
      <c r="EW24" s="358"/>
      <c r="EX24" s="357"/>
      <c r="EY24" s="359"/>
      <c r="EZ24" s="360"/>
      <c r="FA24" s="355"/>
      <c r="FB24" s="355"/>
      <c r="FC24" s="355"/>
      <c r="FD24" s="356"/>
      <c r="FE24" s="357"/>
      <c r="FF24" s="358"/>
      <c r="FG24" s="357"/>
      <c r="FH24" s="359"/>
      <c r="FI24" s="360"/>
      <c r="FJ24" s="355"/>
      <c r="FK24" s="355"/>
      <c r="FL24" s="355"/>
      <c r="FM24" s="356"/>
      <c r="FN24" s="357"/>
      <c r="FO24" s="358"/>
      <c r="FP24" s="357"/>
      <c r="FQ24" s="359"/>
      <c r="FR24" s="360"/>
      <c r="FS24" s="355"/>
      <c r="FT24" s="355"/>
      <c r="FU24" s="355"/>
      <c r="FV24" s="356"/>
      <c r="FW24" s="357"/>
      <c r="FX24" s="358"/>
      <c r="FY24" s="357"/>
      <c r="FZ24" s="359"/>
      <c r="GA24" s="360"/>
      <c r="GB24" s="355"/>
      <c r="GC24" s="355"/>
      <c r="GD24" s="355"/>
      <c r="GE24" s="356"/>
      <c r="GF24" s="357"/>
      <c r="GG24" s="358"/>
      <c r="GH24" s="357"/>
      <c r="GI24" s="359"/>
      <c r="GJ24" s="360"/>
      <c r="GK24" s="355"/>
      <c r="GL24" s="355"/>
      <c r="GM24" s="355"/>
      <c r="GN24" s="356"/>
      <c r="GO24" s="357"/>
      <c r="GP24" s="358"/>
      <c r="GQ24" s="357"/>
      <c r="GR24" s="359"/>
      <c r="GS24" s="360"/>
      <c r="GT24" s="362">
        <v>42835</v>
      </c>
      <c r="GU24" s="98"/>
      <c r="GV24" s="65">
        <v>17584</v>
      </c>
      <c r="GW24" s="74" t="s">
        <v>267</v>
      </c>
      <c r="GX24" s="74"/>
      <c r="GY24" s="66">
        <v>42843</v>
      </c>
      <c r="GZ24" s="86"/>
      <c r="HA24">
        <v>2088</v>
      </c>
    </row>
    <row r="25" spans="1:209" x14ac:dyDescent="0.25">
      <c r="A25" s="1">
        <v>23</v>
      </c>
      <c r="B25" t="e">
        <f>#REF!</f>
        <v>#REF!</v>
      </c>
      <c r="C25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76" t="s">
        <v>301</v>
      </c>
      <c r="K25" s="69" t="s">
        <v>211</v>
      </c>
      <c r="L25" s="70">
        <v>11760</v>
      </c>
      <c r="M25" s="71">
        <v>42810</v>
      </c>
      <c r="N25" s="380" t="s">
        <v>305</v>
      </c>
      <c r="O25" s="72">
        <v>12170</v>
      </c>
      <c r="P25" s="113">
        <f t="shared" si="3"/>
        <v>410</v>
      </c>
      <c r="Q25" s="64">
        <v>24.5</v>
      </c>
      <c r="R25" s="64"/>
      <c r="S25" s="64"/>
      <c r="T25" s="39">
        <f t="shared" si="2"/>
        <v>298165</v>
      </c>
      <c r="U25" s="363" t="s">
        <v>72</v>
      </c>
      <c r="V25" s="366">
        <v>42836</v>
      </c>
      <c r="W25" s="367">
        <v>7464.5</v>
      </c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57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362">
        <v>42836</v>
      </c>
      <c r="GU25" s="98"/>
      <c r="GV25" s="84">
        <v>17584</v>
      </c>
      <c r="GW25" s="74" t="s">
        <v>269</v>
      </c>
      <c r="GX25" s="74"/>
      <c r="GY25" s="482">
        <v>42851</v>
      </c>
      <c r="GZ25" s="483">
        <v>2088</v>
      </c>
    </row>
    <row r="26" spans="1:209" x14ac:dyDescent="0.25">
      <c r="D26" s="35"/>
      <c r="E26" s="36"/>
      <c r="F26" s="37"/>
      <c r="G26" s="38"/>
      <c r="H26" s="39"/>
      <c r="I26" s="40"/>
      <c r="J26" s="68" t="s">
        <v>212</v>
      </c>
      <c r="K26" s="69" t="s">
        <v>106</v>
      </c>
      <c r="L26" s="70">
        <v>18960</v>
      </c>
      <c r="M26" s="71">
        <v>42810</v>
      </c>
      <c r="N26" s="380" t="s">
        <v>300</v>
      </c>
      <c r="O26" s="72">
        <v>26235</v>
      </c>
      <c r="P26" s="113">
        <f t="shared" si="3"/>
        <v>7275</v>
      </c>
      <c r="Q26" s="117">
        <v>24.5</v>
      </c>
      <c r="R26" s="117"/>
      <c r="S26" s="117"/>
      <c r="T26" s="39">
        <f t="shared" si="2"/>
        <v>642757.5</v>
      </c>
      <c r="U26" s="363" t="s">
        <v>72</v>
      </c>
      <c r="V26" s="353">
        <v>42835</v>
      </c>
      <c r="W26" s="368">
        <v>17342</v>
      </c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57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362">
        <v>42835</v>
      </c>
      <c r="GU26" s="98"/>
      <c r="GV26" s="65">
        <v>22176</v>
      </c>
      <c r="GW26" s="74" t="s">
        <v>268</v>
      </c>
      <c r="GX26" s="74"/>
      <c r="GY26" s="482">
        <v>42851</v>
      </c>
      <c r="GZ26" s="483">
        <v>3712</v>
      </c>
    </row>
    <row r="27" spans="1:209" x14ac:dyDescent="0.25">
      <c r="D27" s="35"/>
      <c r="E27" s="36"/>
      <c r="F27" s="37"/>
      <c r="G27" s="38"/>
      <c r="H27" s="39"/>
      <c r="I27" s="40"/>
      <c r="J27" s="68" t="s">
        <v>213</v>
      </c>
      <c r="K27" s="69" t="s">
        <v>37</v>
      </c>
      <c r="L27" s="70">
        <v>18400</v>
      </c>
      <c r="M27" s="71">
        <v>42811</v>
      </c>
      <c r="N27" s="380" t="s">
        <v>304</v>
      </c>
      <c r="O27" s="72">
        <v>23805</v>
      </c>
      <c r="P27" s="113">
        <f t="shared" si="3"/>
        <v>5405</v>
      </c>
      <c r="Q27" s="64">
        <v>24.5</v>
      </c>
      <c r="R27" s="64"/>
      <c r="S27" s="64"/>
      <c r="T27" s="39">
        <f t="shared" si="2"/>
        <v>583222.5</v>
      </c>
      <c r="U27" s="363" t="s">
        <v>72</v>
      </c>
      <c r="V27" s="353">
        <v>42836</v>
      </c>
      <c r="W27" s="368">
        <v>15080</v>
      </c>
      <c r="X27" s="355"/>
      <c r="Y27" s="356"/>
      <c r="Z27" s="357"/>
      <c r="AA27" s="358"/>
      <c r="AB27" s="357"/>
      <c r="AC27" s="359"/>
      <c r="AD27" s="360"/>
      <c r="AE27" s="355"/>
      <c r="AF27" s="355"/>
      <c r="AG27" s="355"/>
      <c r="AH27" s="356"/>
      <c r="AI27" s="357"/>
      <c r="AJ27" s="358"/>
      <c r="AK27" s="357"/>
      <c r="AL27" s="359"/>
      <c r="AM27" s="360"/>
      <c r="AN27" s="355"/>
      <c r="AO27" s="355"/>
      <c r="AP27" s="355"/>
      <c r="AQ27" s="356"/>
      <c r="AR27" s="357"/>
      <c r="AS27" s="358"/>
      <c r="AT27" s="357"/>
      <c r="AU27" s="359"/>
      <c r="AV27" s="360"/>
      <c r="AW27" s="355"/>
      <c r="AX27" s="355"/>
      <c r="AY27" s="355"/>
      <c r="AZ27" s="356"/>
      <c r="BA27" s="357"/>
      <c r="BB27" s="358"/>
      <c r="BC27" s="357"/>
      <c r="BD27" s="359"/>
      <c r="BE27" s="360"/>
      <c r="BF27" s="355"/>
      <c r="BG27" s="355"/>
      <c r="BH27" s="355"/>
      <c r="BI27" s="356"/>
      <c r="BJ27" s="357"/>
      <c r="BK27" s="358"/>
      <c r="BL27" s="357"/>
      <c r="BM27" s="359"/>
      <c r="BN27" s="360"/>
      <c r="BO27" s="355"/>
      <c r="BP27" s="355"/>
      <c r="BQ27" s="355"/>
      <c r="BR27" s="356"/>
      <c r="BS27" s="357"/>
      <c r="BT27" s="358"/>
      <c r="BU27" s="357"/>
      <c r="BV27" s="359"/>
      <c r="BW27" s="360"/>
      <c r="BX27" s="355"/>
      <c r="BY27" s="355"/>
      <c r="BZ27" s="355"/>
      <c r="CA27" s="356"/>
      <c r="CB27" s="357"/>
      <c r="CC27" s="358"/>
      <c r="CD27" s="357"/>
      <c r="CE27" s="359"/>
      <c r="CF27" s="360"/>
      <c r="CG27" s="355"/>
      <c r="CH27" s="355"/>
      <c r="CI27" s="355"/>
      <c r="CJ27" s="356"/>
      <c r="CK27" s="357"/>
      <c r="CL27" s="358"/>
      <c r="CM27" s="357"/>
      <c r="CN27" s="359"/>
      <c r="CO27" s="360"/>
      <c r="CP27" s="355"/>
      <c r="CQ27" s="355"/>
      <c r="CR27" s="355"/>
      <c r="CS27" s="356"/>
      <c r="CT27" s="357"/>
      <c r="CU27" s="358"/>
      <c r="CV27" s="357"/>
      <c r="CW27" s="359"/>
      <c r="CX27" s="360"/>
      <c r="CY27" s="355"/>
      <c r="CZ27" s="355"/>
      <c r="DA27" s="355"/>
      <c r="DB27" s="356"/>
      <c r="DC27" s="357"/>
      <c r="DD27" s="358"/>
      <c r="DE27" s="357"/>
      <c r="DF27" s="359"/>
      <c r="DG27" s="360"/>
      <c r="DH27" s="355"/>
      <c r="DI27" s="355"/>
      <c r="DJ27" s="355"/>
      <c r="DK27" s="356"/>
      <c r="DL27" s="357"/>
      <c r="DM27" s="358"/>
      <c r="DN27" s="357"/>
      <c r="DO27" s="359"/>
      <c r="DP27" s="360"/>
      <c r="DQ27" s="355"/>
      <c r="DR27" s="355"/>
      <c r="DS27" s="355"/>
      <c r="DT27" s="356"/>
      <c r="DU27" s="357"/>
      <c r="DV27" s="358"/>
      <c r="DW27" s="357"/>
      <c r="DX27" s="359"/>
      <c r="DY27" s="360"/>
      <c r="DZ27" s="355"/>
      <c r="EA27" s="355"/>
      <c r="EB27" s="355"/>
      <c r="EC27" s="356"/>
      <c r="ED27" s="357"/>
      <c r="EE27" s="358"/>
      <c r="EF27" s="357"/>
      <c r="EG27" s="359"/>
      <c r="EH27" s="360"/>
      <c r="EI27" s="355"/>
      <c r="EJ27" s="355"/>
      <c r="EK27" s="355"/>
      <c r="EL27" s="356"/>
      <c r="EM27" s="357"/>
      <c r="EN27" s="358"/>
      <c r="EO27" s="357"/>
      <c r="EP27" s="359"/>
      <c r="EQ27" s="360"/>
      <c r="ER27" s="355"/>
      <c r="ES27" s="355"/>
      <c r="ET27" s="355"/>
      <c r="EU27" s="356"/>
      <c r="EV27" s="357"/>
      <c r="EW27" s="358"/>
      <c r="EX27" s="357"/>
      <c r="EY27" s="359"/>
      <c r="EZ27" s="360"/>
      <c r="FA27" s="355"/>
      <c r="FB27" s="355"/>
      <c r="FC27" s="355"/>
      <c r="FD27" s="356"/>
      <c r="FE27" s="357"/>
      <c r="FF27" s="358"/>
      <c r="FG27" s="357"/>
      <c r="FH27" s="359"/>
      <c r="FI27" s="360"/>
      <c r="FJ27" s="355"/>
      <c r="FK27" s="355"/>
      <c r="FL27" s="355"/>
      <c r="FM27" s="356"/>
      <c r="FN27" s="357"/>
      <c r="FO27" s="358"/>
      <c r="FP27" s="357"/>
      <c r="FQ27" s="359"/>
      <c r="FR27" s="360"/>
      <c r="FS27" s="355"/>
      <c r="FT27" s="355"/>
      <c r="FU27" s="355"/>
      <c r="FV27" s="356"/>
      <c r="FW27" s="357"/>
      <c r="FX27" s="358"/>
      <c r="FY27" s="357"/>
      <c r="FZ27" s="359"/>
      <c r="GA27" s="360"/>
      <c r="GB27" s="355"/>
      <c r="GC27" s="355"/>
      <c r="GD27" s="355"/>
      <c r="GE27" s="356"/>
      <c r="GF27" s="357"/>
      <c r="GG27" s="358"/>
      <c r="GH27" s="357"/>
      <c r="GI27" s="359"/>
      <c r="GJ27" s="360"/>
      <c r="GK27" s="355"/>
      <c r="GL27" s="355"/>
      <c r="GM27" s="355"/>
      <c r="GN27" s="356"/>
      <c r="GO27" s="357"/>
      <c r="GP27" s="358"/>
      <c r="GQ27" s="357"/>
      <c r="GR27" s="359"/>
      <c r="GS27" s="360"/>
      <c r="GT27" s="362">
        <v>42836</v>
      </c>
      <c r="GU27" s="98"/>
      <c r="GV27" s="65">
        <v>22176</v>
      </c>
      <c r="GW27" s="74" t="s">
        <v>271</v>
      </c>
      <c r="GX27" s="74"/>
      <c r="GY27" s="482">
        <v>42851</v>
      </c>
      <c r="GZ27" s="483">
        <v>3712</v>
      </c>
    </row>
    <row r="28" spans="1:209" x14ac:dyDescent="0.25">
      <c r="D28" s="35"/>
      <c r="E28" s="36"/>
      <c r="F28" s="37"/>
      <c r="G28" s="38"/>
      <c r="H28" s="39"/>
      <c r="I28" s="40"/>
      <c r="J28" s="68" t="s">
        <v>38</v>
      </c>
      <c r="K28" s="69" t="s">
        <v>35</v>
      </c>
      <c r="L28" s="70">
        <v>12150</v>
      </c>
      <c r="M28" s="71">
        <v>42811</v>
      </c>
      <c r="N28" s="381" t="s">
        <v>306</v>
      </c>
      <c r="O28" s="72">
        <v>14605</v>
      </c>
      <c r="P28" s="113">
        <f t="shared" si="3"/>
        <v>2455</v>
      </c>
      <c r="Q28" s="117">
        <v>24.5</v>
      </c>
      <c r="R28" s="64"/>
      <c r="S28" s="120"/>
      <c r="T28" s="39">
        <f t="shared" si="2"/>
        <v>357822.5</v>
      </c>
      <c r="U28" s="363" t="s">
        <v>72</v>
      </c>
      <c r="V28" s="353">
        <v>42837</v>
      </c>
      <c r="W28" s="369">
        <v>9802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370">
        <v>42837</v>
      </c>
      <c r="GU28" s="98"/>
      <c r="GV28" s="84">
        <v>17584</v>
      </c>
      <c r="GW28" s="74" t="s">
        <v>270</v>
      </c>
      <c r="GX28" s="74"/>
      <c r="GY28" s="482">
        <v>42851</v>
      </c>
      <c r="GZ28" s="483">
        <v>2088</v>
      </c>
    </row>
    <row r="29" spans="1:209" x14ac:dyDescent="0.25">
      <c r="D29" s="35"/>
      <c r="E29" s="36"/>
      <c r="F29" s="37"/>
      <c r="G29" s="38"/>
      <c r="H29" s="39"/>
      <c r="I29" s="40"/>
      <c r="J29" s="383" t="s">
        <v>209</v>
      </c>
      <c r="K29" s="69" t="s">
        <v>206</v>
      </c>
      <c r="L29" s="70">
        <v>813</v>
      </c>
      <c r="M29" s="71">
        <v>42811</v>
      </c>
      <c r="N29" s="446">
        <v>5502</v>
      </c>
      <c r="O29" s="72">
        <v>813</v>
      </c>
      <c r="P29" s="113">
        <f t="shared" si="3"/>
        <v>0</v>
      </c>
      <c r="Q29" s="117">
        <v>66</v>
      </c>
      <c r="R29" s="64"/>
      <c r="S29" s="120"/>
      <c r="T29" s="39">
        <f t="shared" si="2"/>
        <v>53658</v>
      </c>
      <c r="U29" s="115" t="s">
        <v>72</v>
      </c>
      <c r="V29" s="112">
        <v>42829</v>
      </c>
      <c r="W29" s="145"/>
      <c r="X29" s="146"/>
      <c r="Y29" s="147"/>
      <c r="Z29" s="148"/>
      <c r="AA29" s="149"/>
      <c r="AB29" s="148"/>
      <c r="AC29" s="150"/>
      <c r="AD29" s="151"/>
      <c r="AE29" s="146"/>
      <c r="AF29" s="146"/>
      <c r="AG29" s="146"/>
      <c r="AH29" s="147"/>
      <c r="AI29" s="148"/>
      <c r="AJ29" s="149"/>
      <c r="AK29" s="148"/>
      <c r="AL29" s="150"/>
      <c r="AM29" s="151"/>
      <c r="AN29" s="146"/>
      <c r="AO29" s="146"/>
      <c r="AP29" s="146"/>
      <c r="AQ29" s="147"/>
      <c r="AR29" s="148"/>
      <c r="AS29" s="149"/>
      <c r="AT29" s="148"/>
      <c r="AU29" s="150"/>
      <c r="AV29" s="151"/>
      <c r="AW29" s="146"/>
      <c r="AX29" s="146"/>
      <c r="AY29" s="146"/>
      <c r="AZ29" s="147"/>
      <c r="BA29" s="148"/>
      <c r="BB29" s="149"/>
      <c r="BC29" s="148"/>
      <c r="BD29" s="150"/>
      <c r="BE29" s="151"/>
      <c r="BF29" s="146"/>
      <c r="BG29" s="146"/>
      <c r="BH29" s="146"/>
      <c r="BI29" s="147"/>
      <c r="BJ29" s="148"/>
      <c r="BK29" s="149"/>
      <c r="BL29" s="148"/>
      <c r="BM29" s="150"/>
      <c r="BN29" s="151"/>
      <c r="BO29" s="146"/>
      <c r="BP29" s="146"/>
      <c r="BQ29" s="146"/>
      <c r="BR29" s="147"/>
      <c r="BS29" s="148"/>
      <c r="BT29" s="149"/>
      <c r="BU29" s="148"/>
      <c r="BV29" s="150"/>
      <c r="BW29" s="151"/>
      <c r="BX29" s="146"/>
      <c r="BY29" s="146"/>
      <c r="BZ29" s="146"/>
      <c r="CA29" s="147"/>
      <c r="CB29" s="148"/>
      <c r="CC29" s="149"/>
      <c r="CD29" s="148"/>
      <c r="CE29" s="150"/>
      <c r="CF29" s="151"/>
      <c r="CG29" s="146"/>
      <c r="CH29" s="146"/>
      <c r="CI29" s="146"/>
      <c r="CJ29" s="147"/>
      <c r="CK29" s="148"/>
      <c r="CL29" s="149"/>
      <c r="CM29" s="148"/>
      <c r="CN29" s="150"/>
      <c r="CO29" s="151"/>
      <c r="CP29" s="146"/>
      <c r="CQ29" s="146"/>
      <c r="CR29" s="146"/>
      <c r="CS29" s="147"/>
      <c r="CT29" s="148"/>
      <c r="CU29" s="149"/>
      <c r="CV29" s="148"/>
      <c r="CW29" s="150"/>
      <c r="CX29" s="151"/>
      <c r="CY29" s="146"/>
      <c r="CZ29" s="146"/>
      <c r="DA29" s="146"/>
      <c r="DB29" s="147"/>
      <c r="DC29" s="148"/>
      <c r="DD29" s="149"/>
      <c r="DE29" s="148"/>
      <c r="DF29" s="150"/>
      <c r="DG29" s="151"/>
      <c r="DH29" s="146"/>
      <c r="DI29" s="146"/>
      <c r="DJ29" s="146"/>
      <c r="DK29" s="147"/>
      <c r="DL29" s="148"/>
      <c r="DM29" s="149"/>
      <c r="DN29" s="148"/>
      <c r="DO29" s="150"/>
      <c r="DP29" s="151"/>
      <c r="DQ29" s="146"/>
      <c r="DR29" s="146"/>
      <c r="DS29" s="146"/>
      <c r="DT29" s="147"/>
      <c r="DU29" s="148"/>
      <c r="DV29" s="149"/>
      <c r="DW29" s="148"/>
      <c r="DX29" s="150"/>
      <c r="DY29" s="151"/>
      <c r="DZ29" s="146"/>
      <c r="EA29" s="146"/>
      <c r="EB29" s="146"/>
      <c r="EC29" s="147"/>
      <c r="ED29" s="148"/>
      <c r="EE29" s="149"/>
      <c r="EF29" s="148"/>
      <c r="EG29" s="150"/>
      <c r="EH29" s="151"/>
      <c r="EI29" s="146"/>
      <c r="EJ29" s="146"/>
      <c r="EK29" s="146"/>
      <c r="EL29" s="147"/>
      <c r="EM29" s="148"/>
      <c r="EN29" s="149"/>
      <c r="EO29" s="148"/>
      <c r="EP29" s="150"/>
      <c r="EQ29" s="151"/>
      <c r="ER29" s="146"/>
      <c r="ES29" s="146"/>
      <c r="ET29" s="146"/>
      <c r="EU29" s="147"/>
      <c r="EV29" s="148"/>
      <c r="EW29" s="149"/>
      <c r="EX29" s="148"/>
      <c r="EY29" s="150"/>
      <c r="EZ29" s="151"/>
      <c r="FA29" s="146"/>
      <c r="FB29" s="146"/>
      <c r="FC29" s="146"/>
      <c r="FD29" s="147"/>
      <c r="FE29" s="148"/>
      <c r="FF29" s="149"/>
      <c r="FG29" s="148"/>
      <c r="FH29" s="150"/>
      <c r="FI29" s="151"/>
      <c r="FJ29" s="146"/>
      <c r="FK29" s="146"/>
      <c r="FL29" s="146"/>
      <c r="FM29" s="147"/>
      <c r="FN29" s="148"/>
      <c r="FO29" s="149"/>
      <c r="FP29" s="148"/>
      <c r="FQ29" s="150"/>
      <c r="FR29" s="151"/>
      <c r="FS29" s="146"/>
      <c r="FT29" s="146"/>
      <c r="FU29" s="146"/>
      <c r="FV29" s="147"/>
      <c r="FW29" s="148"/>
      <c r="FX29" s="149"/>
      <c r="FY29" s="148"/>
      <c r="FZ29" s="150"/>
      <c r="GA29" s="151"/>
      <c r="GB29" s="146"/>
      <c r="GC29" s="146"/>
      <c r="GD29" s="146"/>
      <c r="GE29" s="147"/>
      <c r="GF29" s="148"/>
      <c r="GG29" s="149"/>
      <c r="GH29" s="148"/>
      <c r="GI29" s="150"/>
      <c r="GJ29" s="151"/>
      <c r="GK29" s="146"/>
      <c r="GL29" s="146"/>
      <c r="GM29" s="146"/>
      <c r="GN29" s="147"/>
      <c r="GO29" s="148"/>
      <c r="GP29" s="149"/>
      <c r="GQ29" s="148"/>
      <c r="GR29" s="150"/>
      <c r="GS29" s="151"/>
      <c r="GT29" s="378"/>
      <c r="GU29" s="98"/>
      <c r="GV29" s="84"/>
      <c r="GW29" s="74"/>
      <c r="GX29" s="74"/>
      <c r="GY29" s="482"/>
      <c r="GZ29" s="484">
        <v>0</v>
      </c>
    </row>
    <row r="30" spans="1:209" x14ac:dyDescent="0.25">
      <c r="D30" s="35"/>
      <c r="E30" s="36"/>
      <c r="F30" s="37"/>
      <c r="G30" s="38"/>
      <c r="H30" s="39"/>
      <c r="I30" s="40"/>
      <c r="J30" s="68" t="s">
        <v>213</v>
      </c>
      <c r="K30" s="123" t="s">
        <v>214</v>
      </c>
      <c r="L30" s="70">
        <v>11920</v>
      </c>
      <c r="M30" s="71">
        <v>42813</v>
      </c>
      <c r="N30" s="380" t="s">
        <v>308</v>
      </c>
      <c r="O30" s="72">
        <v>14830</v>
      </c>
      <c r="P30" s="113">
        <f t="shared" si="3"/>
        <v>2910</v>
      </c>
      <c r="Q30" s="117">
        <v>24</v>
      </c>
      <c r="R30" s="117"/>
      <c r="S30" s="89"/>
      <c r="T30" s="39">
        <f t="shared" si="2"/>
        <v>355920</v>
      </c>
      <c r="U30" s="363" t="s">
        <v>72</v>
      </c>
      <c r="V30" s="353">
        <v>42842</v>
      </c>
      <c r="W30" s="368">
        <v>9877.4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362">
        <v>42842</v>
      </c>
      <c r="GU30" s="98"/>
      <c r="GV30" s="65">
        <v>17584</v>
      </c>
      <c r="GW30" s="74" t="s">
        <v>290</v>
      </c>
      <c r="GX30" s="74"/>
      <c r="GY30" s="482">
        <v>42851</v>
      </c>
      <c r="GZ30" s="483">
        <v>2088</v>
      </c>
    </row>
    <row r="31" spans="1:209" x14ac:dyDescent="0.25">
      <c r="D31" s="35"/>
      <c r="E31" s="36"/>
      <c r="F31" s="37"/>
      <c r="G31" s="38"/>
      <c r="H31" s="39"/>
      <c r="I31" s="40"/>
      <c r="J31" s="68" t="s">
        <v>250</v>
      </c>
      <c r="K31" s="435" t="s">
        <v>143</v>
      </c>
      <c r="L31" s="70"/>
      <c r="M31" s="71">
        <v>42813</v>
      </c>
      <c r="N31" s="56" t="s">
        <v>251</v>
      </c>
      <c r="O31" s="72">
        <v>120</v>
      </c>
      <c r="P31" s="113">
        <f t="shared" si="3"/>
        <v>120</v>
      </c>
      <c r="Q31" s="117">
        <v>165</v>
      </c>
      <c r="R31" s="117" t="s">
        <v>249</v>
      </c>
      <c r="S31" s="89"/>
      <c r="T31" s="39">
        <f t="shared" si="2"/>
        <v>19800</v>
      </c>
      <c r="U31" s="115" t="s">
        <v>72</v>
      </c>
      <c r="V31" s="112">
        <v>42825</v>
      </c>
      <c r="W31" s="118"/>
      <c r="X31" s="17"/>
      <c r="Y31" s="20"/>
      <c r="Z31" s="92"/>
      <c r="AA31" s="93"/>
      <c r="AB31" s="92"/>
      <c r="AC31" s="94"/>
      <c r="AD31" s="95"/>
      <c r="AE31" s="17"/>
      <c r="AF31" s="17"/>
      <c r="AG31" s="17"/>
      <c r="AH31" s="20"/>
      <c r="AI31" s="92"/>
      <c r="AJ31" s="93"/>
      <c r="AK31" s="92"/>
      <c r="AL31" s="94"/>
      <c r="AM31" s="95"/>
      <c r="AN31" s="17"/>
      <c r="AO31" s="17"/>
      <c r="AP31" s="17"/>
      <c r="AQ31" s="20"/>
      <c r="AR31" s="92"/>
      <c r="AS31" s="93"/>
      <c r="AT31" s="92"/>
      <c r="AU31" s="94"/>
      <c r="AV31" s="95"/>
      <c r="AW31" s="17"/>
      <c r="AX31" s="17"/>
      <c r="AY31" s="17"/>
      <c r="AZ31" s="20"/>
      <c r="BA31" s="92"/>
      <c r="BB31" s="93"/>
      <c r="BC31" s="92"/>
      <c r="BD31" s="94"/>
      <c r="BE31" s="95"/>
      <c r="BF31" s="17"/>
      <c r="BG31" s="17"/>
      <c r="BH31" s="17"/>
      <c r="BI31" s="20"/>
      <c r="BJ31" s="92"/>
      <c r="BK31" s="93"/>
      <c r="BL31" s="92"/>
      <c r="BM31" s="94"/>
      <c r="BN31" s="95"/>
      <c r="BO31" s="17"/>
      <c r="BP31" s="17"/>
      <c r="BQ31" s="17"/>
      <c r="BR31" s="20"/>
      <c r="BS31" s="92"/>
      <c r="BT31" s="93"/>
      <c r="BU31" s="92"/>
      <c r="BV31" s="94"/>
      <c r="BW31" s="95"/>
      <c r="BX31" s="17"/>
      <c r="BY31" s="17"/>
      <c r="BZ31" s="17"/>
      <c r="CA31" s="20"/>
      <c r="CB31" s="92"/>
      <c r="CC31" s="93"/>
      <c r="CD31" s="92"/>
      <c r="CE31" s="94"/>
      <c r="CF31" s="95"/>
      <c r="CG31" s="17"/>
      <c r="CH31" s="17"/>
      <c r="CI31" s="17"/>
      <c r="CJ31" s="20"/>
      <c r="CK31" s="92"/>
      <c r="CL31" s="93"/>
      <c r="CM31" s="92"/>
      <c r="CN31" s="94"/>
      <c r="CO31" s="95"/>
      <c r="CP31" s="17"/>
      <c r="CQ31" s="17"/>
      <c r="CR31" s="17"/>
      <c r="CS31" s="20"/>
      <c r="CT31" s="92"/>
      <c r="CU31" s="93"/>
      <c r="CV31" s="92"/>
      <c r="CW31" s="94"/>
      <c r="CX31" s="95"/>
      <c r="CY31" s="17"/>
      <c r="CZ31" s="17"/>
      <c r="DA31" s="17"/>
      <c r="DB31" s="20"/>
      <c r="DC31" s="92"/>
      <c r="DD31" s="93"/>
      <c r="DE31" s="92"/>
      <c r="DF31" s="94"/>
      <c r="DG31" s="95"/>
      <c r="DH31" s="17"/>
      <c r="DI31" s="17"/>
      <c r="DJ31" s="17"/>
      <c r="DK31" s="20"/>
      <c r="DL31" s="92"/>
      <c r="DM31" s="93"/>
      <c r="DN31" s="92"/>
      <c r="DO31" s="94"/>
      <c r="DP31" s="95"/>
      <c r="DQ31" s="17"/>
      <c r="DR31" s="17"/>
      <c r="DS31" s="17"/>
      <c r="DT31" s="20"/>
      <c r="DU31" s="92"/>
      <c r="DV31" s="93"/>
      <c r="DW31" s="92"/>
      <c r="DX31" s="94"/>
      <c r="DY31" s="95"/>
      <c r="DZ31" s="17"/>
      <c r="EA31" s="17"/>
      <c r="EB31" s="17"/>
      <c r="EC31" s="20"/>
      <c r="ED31" s="92"/>
      <c r="EE31" s="93"/>
      <c r="EF31" s="92"/>
      <c r="EG31" s="94"/>
      <c r="EH31" s="95"/>
      <c r="EI31" s="17"/>
      <c r="EJ31" s="17"/>
      <c r="EK31" s="17"/>
      <c r="EL31" s="20"/>
      <c r="EM31" s="92"/>
      <c r="EN31" s="93"/>
      <c r="EO31" s="92"/>
      <c r="EP31" s="94"/>
      <c r="EQ31" s="95"/>
      <c r="ER31" s="17"/>
      <c r="ES31" s="17"/>
      <c r="ET31" s="17"/>
      <c r="EU31" s="20"/>
      <c r="EV31" s="92"/>
      <c r="EW31" s="93"/>
      <c r="EX31" s="92"/>
      <c r="EY31" s="94"/>
      <c r="EZ31" s="95"/>
      <c r="FA31" s="17"/>
      <c r="FB31" s="17"/>
      <c r="FC31" s="17"/>
      <c r="FD31" s="20"/>
      <c r="FE31" s="92"/>
      <c r="FF31" s="93"/>
      <c r="FG31" s="92"/>
      <c r="FH31" s="94"/>
      <c r="FI31" s="95"/>
      <c r="FJ31" s="17"/>
      <c r="FK31" s="17"/>
      <c r="FL31" s="17"/>
      <c r="FM31" s="20"/>
      <c r="FN31" s="92"/>
      <c r="FO31" s="93"/>
      <c r="FP31" s="92"/>
      <c r="FQ31" s="94"/>
      <c r="FR31" s="95"/>
      <c r="FS31" s="17"/>
      <c r="FT31" s="17"/>
      <c r="FU31" s="17"/>
      <c r="FV31" s="20"/>
      <c r="FW31" s="92"/>
      <c r="FX31" s="93"/>
      <c r="FY31" s="92"/>
      <c r="FZ31" s="94"/>
      <c r="GA31" s="95"/>
      <c r="GB31" s="17"/>
      <c r="GC31" s="17"/>
      <c r="GD31" s="17"/>
      <c r="GE31" s="20"/>
      <c r="GF31" s="92"/>
      <c r="GG31" s="93"/>
      <c r="GH31" s="92"/>
      <c r="GI31" s="94"/>
      <c r="GJ31" s="95"/>
      <c r="GK31" s="17"/>
      <c r="GL31" s="17"/>
      <c r="GM31" s="17"/>
      <c r="GN31" s="20"/>
      <c r="GO31" s="92"/>
      <c r="GP31" s="93"/>
      <c r="GQ31" s="92"/>
      <c r="GR31" s="94"/>
      <c r="GS31" s="95"/>
      <c r="GT31" s="97"/>
      <c r="GU31" s="98"/>
      <c r="GV31" s="65"/>
      <c r="GW31" s="74"/>
      <c r="GX31" s="74"/>
      <c r="GY31" s="482"/>
      <c r="GZ31" s="484">
        <v>0</v>
      </c>
    </row>
    <row r="32" spans="1:209" x14ac:dyDescent="0.25">
      <c r="D32" s="35"/>
      <c r="E32" s="36"/>
      <c r="F32" s="37"/>
      <c r="G32" s="38"/>
      <c r="H32" s="39"/>
      <c r="I32" s="40"/>
      <c r="J32" s="68" t="s">
        <v>212</v>
      </c>
      <c r="K32" s="69" t="s">
        <v>37</v>
      </c>
      <c r="L32" s="70">
        <v>19550</v>
      </c>
      <c r="M32" s="71">
        <v>42814</v>
      </c>
      <c r="N32" s="380" t="s">
        <v>307</v>
      </c>
      <c r="O32" s="72">
        <v>24175</v>
      </c>
      <c r="P32" s="113">
        <f t="shared" si="3"/>
        <v>4625</v>
      </c>
      <c r="Q32" s="64">
        <v>24</v>
      </c>
      <c r="R32" s="124"/>
      <c r="S32" s="117"/>
      <c r="T32" s="39">
        <f t="shared" si="2"/>
        <v>580200</v>
      </c>
      <c r="U32" s="363" t="s">
        <v>72</v>
      </c>
      <c r="V32" s="353">
        <v>42842</v>
      </c>
      <c r="W32" s="371">
        <v>15080</v>
      </c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370">
        <v>42842</v>
      </c>
      <c r="GU32" s="98"/>
      <c r="GV32" s="65"/>
      <c r="GW32" s="74"/>
      <c r="GX32" s="74"/>
      <c r="GY32" s="482">
        <v>42851</v>
      </c>
      <c r="GZ32" s="483">
        <v>3480</v>
      </c>
      <c r="HA32" t="s">
        <v>361</v>
      </c>
    </row>
    <row r="33" spans="1:209" x14ac:dyDescent="0.25">
      <c r="D33" s="35"/>
      <c r="E33" s="36"/>
      <c r="F33" s="37"/>
      <c r="G33" s="38"/>
      <c r="H33" s="39"/>
      <c r="I33" s="40"/>
      <c r="J33" s="68" t="s">
        <v>96</v>
      </c>
      <c r="K33" s="69" t="s">
        <v>35</v>
      </c>
      <c r="L33" s="70">
        <v>13160</v>
      </c>
      <c r="M33" s="71">
        <v>42815</v>
      </c>
      <c r="N33" s="380" t="s">
        <v>339</v>
      </c>
      <c r="O33" s="72">
        <v>16230</v>
      </c>
      <c r="P33" s="113">
        <f t="shared" si="3"/>
        <v>3070</v>
      </c>
      <c r="Q33" s="64">
        <v>24</v>
      </c>
      <c r="R33" s="124"/>
      <c r="S33" s="125"/>
      <c r="T33" s="39">
        <f t="shared" si="2"/>
        <v>389520</v>
      </c>
      <c r="U33" s="363" t="s">
        <v>72</v>
      </c>
      <c r="V33" s="353">
        <v>42844</v>
      </c>
      <c r="W33" s="371">
        <v>9802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370">
        <v>42844</v>
      </c>
      <c r="GU33" s="98"/>
      <c r="GV33" s="65">
        <v>17584</v>
      </c>
      <c r="GW33" s="74" t="s">
        <v>291</v>
      </c>
      <c r="GX33" s="74"/>
      <c r="GY33" s="482">
        <v>42851</v>
      </c>
      <c r="GZ33" s="483">
        <v>2088</v>
      </c>
    </row>
    <row r="34" spans="1:209" x14ac:dyDescent="0.25">
      <c r="A34"/>
      <c r="D34" s="35"/>
      <c r="E34" s="36"/>
      <c r="F34" s="37"/>
      <c r="G34" s="38"/>
      <c r="H34" s="39"/>
      <c r="I34" s="40"/>
      <c r="J34" s="68" t="s">
        <v>254</v>
      </c>
      <c r="K34" s="69" t="s">
        <v>215</v>
      </c>
      <c r="L34" s="70">
        <v>18310</v>
      </c>
      <c r="M34" s="71">
        <v>42816</v>
      </c>
      <c r="N34" s="380" t="s">
        <v>341</v>
      </c>
      <c r="O34" s="72">
        <v>22630</v>
      </c>
      <c r="P34" s="113">
        <f t="shared" si="3"/>
        <v>4320</v>
      </c>
      <c r="Q34" s="126">
        <v>24</v>
      </c>
      <c r="R34" s="127"/>
      <c r="S34" s="127"/>
      <c r="T34" s="39">
        <f t="shared" si="2"/>
        <v>543120</v>
      </c>
      <c r="U34" s="363" t="s">
        <v>72</v>
      </c>
      <c r="V34" s="353">
        <v>42845</v>
      </c>
      <c r="W34" s="368">
        <v>14326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362">
        <v>42845</v>
      </c>
      <c r="GU34" s="98"/>
      <c r="GV34" s="65"/>
      <c r="GW34" s="74"/>
      <c r="GX34" s="74"/>
      <c r="GY34" s="482">
        <v>42851</v>
      </c>
      <c r="GZ34" s="483">
        <v>3480</v>
      </c>
      <c r="HA34" t="s">
        <v>361</v>
      </c>
    </row>
    <row r="35" spans="1:209" x14ac:dyDescent="0.25">
      <c r="A35"/>
      <c r="D35" s="35"/>
      <c r="E35" s="36"/>
      <c r="F35" s="37"/>
      <c r="G35" s="38"/>
      <c r="H35" s="39"/>
      <c r="I35" s="40"/>
      <c r="J35" s="68" t="s">
        <v>344</v>
      </c>
      <c r="K35" s="69" t="s">
        <v>59</v>
      </c>
      <c r="L35" s="70">
        <v>19040</v>
      </c>
      <c r="M35" s="71">
        <v>42817</v>
      </c>
      <c r="N35" s="380" t="s">
        <v>343</v>
      </c>
      <c r="O35" s="72">
        <v>27515</v>
      </c>
      <c r="P35" s="113">
        <f t="shared" si="3"/>
        <v>8475</v>
      </c>
      <c r="Q35" s="117">
        <v>24</v>
      </c>
      <c r="R35" s="127"/>
      <c r="S35" s="127"/>
      <c r="T35" s="39">
        <f t="shared" si="2"/>
        <v>660360</v>
      </c>
      <c r="U35" s="363" t="s">
        <v>72</v>
      </c>
      <c r="V35" s="353">
        <v>42846</v>
      </c>
      <c r="W35" s="368">
        <v>17342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362">
        <v>42846</v>
      </c>
      <c r="GU35" s="98"/>
      <c r="GV35" s="65">
        <v>22176</v>
      </c>
      <c r="GW35" s="74" t="s">
        <v>293</v>
      </c>
      <c r="GX35" s="74"/>
      <c r="GY35" s="482">
        <v>42851</v>
      </c>
      <c r="GZ35" s="483">
        <v>3480</v>
      </c>
    </row>
    <row r="36" spans="1:209" x14ac:dyDescent="0.25">
      <c r="A36"/>
      <c r="D36" s="35"/>
      <c r="E36" s="36"/>
      <c r="F36" s="37"/>
      <c r="G36" s="38"/>
      <c r="H36" s="39"/>
      <c r="I36" s="40"/>
      <c r="J36" s="68" t="s">
        <v>345</v>
      </c>
      <c r="K36" s="69" t="s">
        <v>85</v>
      </c>
      <c r="L36" s="70">
        <v>18670</v>
      </c>
      <c r="M36" s="71">
        <v>42818</v>
      </c>
      <c r="N36" s="380" t="s">
        <v>348</v>
      </c>
      <c r="O36" s="72">
        <v>26605</v>
      </c>
      <c r="P36" s="113">
        <f t="shared" si="3"/>
        <v>7935</v>
      </c>
      <c r="Q36" s="117">
        <v>24</v>
      </c>
      <c r="R36" s="117"/>
      <c r="S36" s="117"/>
      <c r="T36" s="39">
        <f>Q36*O36</f>
        <v>638520</v>
      </c>
      <c r="U36" s="363" t="s">
        <v>72</v>
      </c>
      <c r="V36" s="353">
        <v>42849</v>
      </c>
      <c r="W36" s="368">
        <v>17266.599999999999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384">
        <v>42849</v>
      </c>
      <c r="GU36" s="98"/>
      <c r="GV36" s="65"/>
      <c r="GW36" s="74"/>
      <c r="GX36" s="74"/>
      <c r="GY36" s="482">
        <v>42851</v>
      </c>
      <c r="GZ36" s="483">
        <v>3480</v>
      </c>
      <c r="HA36" t="s">
        <v>361</v>
      </c>
    </row>
    <row r="37" spans="1:209" x14ac:dyDescent="0.25">
      <c r="A37"/>
      <c r="D37" s="35"/>
      <c r="E37" s="36"/>
      <c r="F37" s="37"/>
      <c r="G37" s="38"/>
      <c r="H37" s="39"/>
      <c r="I37" s="40"/>
      <c r="J37" s="68" t="s">
        <v>346</v>
      </c>
      <c r="K37" s="69" t="s">
        <v>46</v>
      </c>
      <c r="L37" s="70">
        <v>11920</v>
      </c>
      <c r="M37" s="71">
        <v>42818</v>
      </c>
      <c r="N37" s="380" t="s">
        <v>353</v>
      </c>
      <c r="O37" s="72">
        <v>11950</v>
      </c>
      <c r="P37" s="113">
        <f t="shared" si="3"/>
        <v>30</v>
      </c>
      <c r="Q37" s="117">
        <v>24</v>
      </c>
      <c r="R37" s="117"/>
      <c r="S37" s="117"/>
      <c r="T37" s="39">
        <f>Q37*O37</f>
        <v>286800</v>
      </c>
      <c r="U37" s="363" t="s">
        <v>72</v>
      </c>
      <c r="V37" s="353">
        <v>42849</v>
      </c>
      <c r="W37" s="368">
        <v>7540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362">
        <v>42849</v>
      </c>
      <c r="GU37" s="98"/>
      <c r="GV37" s="65">
        <v>17584</v>
      </c>
      <c r="GW37" s="74" t="s">
        <v>292</v>
      </c>
      <c r="GX37" s="74"/>
      <c r="GY37" s="482">
        <v>42851</v>
      </c>
      <c r="GZ37" s="483">
        <v>2088</v>
      </c>
    </row>
    <row r="38" spans="1:209" x14ac:dyDescent="0.25">
      <c r="A38"/>
      <c r="D38" s="35"/>
      <c r="E38" s="36"/>
      <c r="F38" s="37"/>
      <c r="G38" s="38"/>
      <c r="H38" s="39"/>
      <c r="I38" s="40"/>
      <c r="J38" s="68" t="s">
        <v>347</v>
      </c>
      <c r="K38" s="123" t="s">
        <v>46</v>
      </c>
      <c r="L38" s="70">
        <v>12000</v>
      </c>
      <c r="M38" s="71">
        <v>42818</v>
      </c>
      <c r="N38" s="380" t="s">
        <v>342</v>
      </c>
      <c r="O38" s="72">
        <v>11575</v>
      </c>
      <c r="P38" s="113">
        <f t="shared" si="3"/>
        <v>-425</v>
      </c>
      <c r="Q38" s="64">
        <v>24</v>
      </c>
      <c r="R38" s="117"/>
      <c r="S38" s="117"/>
      <c r="T38" s="39">
        <f>Q38*O38</f>
        <v>277800</v>
      </c>
      <c r="U38" s="363" t="s">
        <v>72</v>
      </c>
      <c r="V38" s="353">
        <v>42846</v>
      </c>
      <c r="W38" s="368">
        <v>7540</v>
      </c>
      <c r="X38" s="355"/>
      <c r="Y38" s="356"/>
      <c r="Z38" s="357"/>
      <c r="AA38" s="358"/>
      <c r="AB38" s="357"/>
      <c r="AC38" s="359"/>
      <c r="AD38" s="360"/>
      <c r="AE38" s="355"/>
      <c r="AF38" s="355"/>
      <c r="AG38" s="355"/>
      <c r="AH38" s="356"/>
      <c r="AI38" s="357"/>
      <c r="AJ38" s="358"/>
      <c r="AK38" s="357"/>
      <c r="AL38" s="359"/>
      <c r="AM38" s="360"/>
      <c r="AN38" s="355"/>
      <c r="AO38" s="355"/>
      <c r="AP38" s="355"/>
      <c r="AQ38" s="356"/>
      <c r="AR38" s="357"/>
      <c r="AS38" s="358"/>
      <c r="AT38" s="357"/>
      <c r="AU38" s="359"/>
      <c r="AV38" s="360"/>
      <c r="AW38" s="355"/>
      <c r="AX38" s="355"/>
      <c r="AY38" s="355"/>
      <c r="AZ38" s="356"/>
      <c r="BA38" s="357"/>
      <c r="BB38" s="358"/>
      <c r="BC38" s="357"/>
      <c r="BD38" s="359"/>
      <c r="BE38" s="360"/>
      <c r="BF38" s="355"/>
      <c r="BG38" s="355"/>
      <c r="BH38" s="355"/>
      <c r="BI38" s="356"/>
      <c r="BJ38" s="357"/>
      <c r="BK38" s="358"/>
      <c r="BL38" s="357"/>
      <c r="BM38" s="359"/>
      <c r="BN38" s="360"/>
      <c r="BO38" s="355"/>
      <c r="BP38" s="355"/>
      <c r="BQ38" s="355"/>
      <c r="BR38" s="356"/>
      <c r="BS38" s="357"/>
      <c r="BT38" s="358"/>
      <c r="BU38" s="357"/>
      <c r="BV38" s="359"/>
      <c r="BW38" s="360"/>
      <c r="BX38" s="355"/>
      <c r="BY38" s="355"/>
      <c r="BZ38" s="355"/>
      <c r="CA38" s="356"/>
      <c r="CB38" s="357"/>
      <c r="CC38" s="358"/>
      <c r="CD38" s="357"/>
      <c r="CE38" s="359"/>
      <c r="CF38" s="360"/>
      <c r="CG38" s="355"/>
      <c r="CH38" s="355"/>
      <c r="CI38" s="355"/>
      <c r="CJ38" s="356"/>
      <c r="CK38" s="357"/>
      <c r="CL38" s="358"/>
      <c r="CM38" s="357"/>
      <c r="CN38" s="359"/>
      <c r="CO38" s="360"/>
      <c r="CP38" s="355"/>
      <c r="CQ38" s="355"/>
      <c r="CR38" s="355"/>
      <c r="CS38" s="356"/>
      <c r="CT38" s="357"/>
      <c r="CU38" s="358"/>
      <c r="CV38" s="357"/>
      <c r="CW38" s="359"/>
      <c r="CX38" s="360"/>
      <c r="CY38" s="355"/>
      <c r="CZ38" s="355"/>
      <c r="DA38" s="355"/>
      <c r="DB38" s="356"/>
      <c r="DC38" s="357"/>
      <c r="DD38" s="358"/>
      <c r="DE38" s="357"/>
      <c r="DF38" s="359"/>
      <c r="DG38" s="360"/>
      <c r="DH38" s="355"/>
      <c r="DI38" s="355"/>
      <c r="DJ38" s="355"/>
      <c r="DK38" s="356"/>
      <c r="DL38" s="357"/>
      <c r="DM38" s="358"/>
      <c r="DN38" s="357"/>
      <c r="DO38" s="359"/>
      <c r="DP38" s="360"/>
      <c r="DQ38" s="355"/>
      <c r="DR38" s="355"/>
      <c r="DS38" s="355"/>
      <c r="DT38" s="356"/>
      <c r="DU38" s="357"/>
      <c r="DV38" s="358"/>
      <c r="DW38" s="357"/>
      <c r="DX38" s="359"/>
      <c r="DY38" s="360"/>
      <c r="DZ38" s="355"/>
      <c r="EA38" s="355"/>
      <c r="EB38" s="355"/>
      <c r="EC38" s="356"/>
      <c r="ED38" s="357"/>
      <c r="EE38" s="358"/>
      <c r="EF38" s="357"/>
      <c r="EG38" s="359"/>
      <c r="EH38" s="360"/>
      <c r="EI38" s="355"/>
      <c r="EJ38" s="355"/>
      <c r="EK38" s="355"/>
      <c r="EL38" s="356"/>
      <c r="EM38" s="357"/>
      <c r="EN38" s="358"/>
      <c r="EO38" s="357"/>
      <c r="EP38" s="359"/>
      <c r="EQ38" s="360"/>
      <c r="ER38" s="355"/>
      <c r="ES38" s="355"/>
      <c r="ET38" s="355"/>
      <c r="EU38" s="356"/>
      <c r="EV38" s="357"/>
      <c r="EW38" s="358"/>
      <c r="EX38" s="357"/>
      <c r="EY38" s="359"/>
      <c r="EZ38" s="360"/>
      <c r="FA38" s="355"/>
      <c r="FB38" s="355"/>
      <c r="FC38" s="355"/>
      <c r="FD38" s="356"/>
      <c r="FE38" s="357"/>
      <c r="FF38" s="358"/>
      <c r="FG38" s="357"/>
      <c r="FH38" s="359"/>
      <c r="FI38" s="360"/>
      <c r="FJ38" s="355"/>
      <c r="FK38" s="355"/>
      <c r="FL38" s="355"/>
      <c r="FM38" s="356"/>
      <c r="FN38" s="357"/>
      <c r="FO38" s="358"/>
      <c r="FP38" s="357"/>
      <c r="FQ38" s="359"/>
      <c r="FR38" s="360"/>
      <c r="FS38" s="355"/>
      <c r="FT38" s="355"/>
      <c r="FU38" s="355"/>
      <c r="FV38" s="356"/>
      <c r="FW38" s="357"/>
      <c r="FX38" s="358"/>
      <c r="FY38" s="357"/>
      <c r="FZ38" s="359"/>
      <c r="GA38" s="360"/>
      <c r="GB38" s="355"/>
      <c r="GC38" s="355"/>
      <c r="GD38" s="355"/>
      <c r="GE38" s="356"/>
      <c r="GF38" s="357"/>
      <c r="GG38" s="358"/>
      <c r="GH38" s="357"/>
      <c r="GI38" s="359"/>
      <c r="GJ38" s="360"/>
      <c r="GK38" s="355"/>
      <c r="GL38" s="355"/>
      <c r="GM38" s="355"/>
      <c r="GN38" s="356"/>
      <c r="GO38" s="357"/>
      <c r="GP38" s="358"/>
      <c r="GQ38" s="357"/>
      <c r="GR38" s="359"/>
      <c r="GS38" s="360"/>
      <c r="GT38" s="384">
        <v>42846</v>
      </c>
      <c r="GU38" s="98"/>
      <c r="GV38" s="129">
        <v>17584</v>
      </c>
      <c r="GW38" s="74" t="s">
        <v>294</v>
      </c>
      <c r="GX38" s="74"/>
      <c r="GY38" s="482">
        <v>42851</v>
      </c>
      <c r="GZ38" s="483">
        <v>2088</v>
      </c>
    </row>
    <row r="39" spans="1:209" x14ac:dyDescent="0.25">
      <c r="A39"/>
      <c r="D39" s="35"/>
      <c r="E39" s="36"/>
      <c r="F39" s="37"/>
      <c r="G39" s="38"/>
      <c r="H39" s="39"/>
      <c r="I39" s="40"/>
      <c r="J39" s="68" t="s">
        <v>254</v>
      </c>
      <c r="K39" s="69" t="s">
        <v>252</v>
      </c>
      <c r="L39" s="70">
        <v>25510</v>
      </c>
      <c r="M39" s="71">
        <v>42820</v>
      </c>
      <c r="N39" s="381" t="s">
        <v>351</v>
      </c>
      <c r="O39" s="72">
        <v>31405</v>
      </c>
      <c r="P39" s="113">
        <f t="shared" si="3"/>
        <v>5895</v>
      </c>
      <c r="Q39" s="117">
        <v>23.8</v>
      </c>
      <c r="R39" s="117"/>
      <c r="S39" s="111"/>
      <c r="T39" s="39">
        <f>Q39*O39+S39+0</f>
        <v>747439</v>
      </c>
      <c r="U39" s="363" t="s">
        <v>72</v>
      </c>
      <c r="V39" s="353">
        <v>42849</v>
      </c>
      <c r="W39" s="368">
        <v>19604</v>
      </c>
      <c r="X39" s="355"/>
      <c r="Y39" s="356"/>
      <c r="Z39" s="357"/>
      <c r="AA39" s="358"/>
      <c r="AB39" s="357"/>
      <c r="AC39" s="359"/>
      <c r="AD39" s="360"/>
      <c r="AE39" s="355"/>
      <c r="AF39" s="355"/>
      <c r="AG39" s="355"/>
      <c r="AH39" s="356"/>
      <c r="AI39" s="357"/>
      <c r="AJ39" s="358"/>
      <c r="AK39" s="357"/>
      <c r="AL39" s="359"/>
      <c r="AM39" s="360"/>
      <c r="AN39" s="355"/>
      <c r="AO39" s="355"/>
      <c r="AP39" s="355"/>
      <c r="AQ39" s="356"/>
      <c r="AR39" s="357"/>
      <c r="AS39" s="358"/>
      <c r="AT39" s="357"/>
      <c r="AU39" s="359"/>
      <c r="AV39" s="360"/>
      <c r="AW39" s="355"/>
      <c r="AX39" s="355"/>
      <c r="AY39" s="355"/>
      <c r="AZ39" s="356"/>
      <c r="BA39" s="357"/>
      <c r="BB39" s="358"/>
      <c r="BC39" s="357"/>
      <c r="BD39" s="359"/>
      <c r="BE39" s="360"/>
      <c r="BF39" s="355"/>
      <c r="BG39" s="355"/>
      <c r="BH39" s="355"/>
      <c r="BI39" s="356"/>
      <c r="BJ39" s="357"/>
      <c r="BK39" s="358"/>
      <c r="BL39" s="357"/>
      <c r="BM39" s="359"/>
      <c r="BN39" s="360"/>
      <c r="BO39" s="355"/>
      <c r="BP39" s="355"/>
      <c r="BQ39" s="355"/>
      <c r="BR39" s="356"/>
      <c r="BS39" s="357"/>
      <c r="BT39" s="358"/>
      <c r="BU39" s="357"/>
      <c r="BV39" s="359"/>
      <c r="BW39" s="360"/>
      <c r="BX39" s="355"/>
      <c r="BY39" s="355"/>
      <c r="BZ39" s="355"/>
      <c r="CA39" s="356"/>
      <c r="CB39" s="357"/>
      <c r="CC39" s="358"/>
      <c r="CD39" s="357"/>
      <c r="CE39" s="359"/>
      <c r="CF39" s="360"/>
      <c r="CG39" s="355"/>
      <c r="CH39" s="355"/>
      <c r="CI39" s="355"/>
      <c r="CJ39" s="356"/>
      <c r="CK39" s="357"/>
      <c r="CL39" s="358"/>
      <c r="CM39" s="357"/>
      <c r="CN39" s="359"/>
      <c r="CO39" s="360"/>
      <c r="CP39" s="355"/>
      <c r="CQ39" s="355"/>
      <c r="CR39" s="355"/>
      <c r="CS39" s="356"/>
      <c r="CT39" s="357"/>
      <c r="CU39" s="358"/>
      <c r="CV39" s="357"/>
      <c r="CW39" s="359"/>
      <c r="CX39" s="360"/>
      <c r="CY39" s="355"/>
      <c r="CZ39" s="355"/>
      <c r="DA39" s="355"/>
      <c r="DB39" s="356"/>
      <c r="DC39" s="357"/>
      <c r="DD39" s="358"/>
      <c r="DE39" s="357"/>
      <c r="DF39" s="359"/>
      <c r="DG39" s="360"/>
      <c r="DH39" s="355"/>
      <c r="DI39" s="355"/>
      <c r="DJ39" s="355"/>
      <c r="DK39" s="356"/>
      <c r="DL39" s="357"/>
      <c r="DM39" s="358"/>
      <c r="DN39" s="357"/>
      <c r="DO39" s="359"/>
      <c r="DP39" s="360"/>
      <c r="DQ39" s="355"/>
      <c r="DR39" s="355"/>
      <c r="DS39" s="355"/>
      <c r="DT39" s="356"/>
      <c r="DU39" s="357"/>
      <c r="DV39" s="358"/>
      <c r="DW39" s="357"/>
      <c r="DX39" s="359"/>
      <c r="DY39" s="360"/>
      <c r="DZ39" s="355"/>
      <c r="EA39" s="355"/>
      <c r="EB39" s="355"/>
      <c r="EC39" s="356"/>
      <c r="ED39" s="357"/>
      <c r="EE39" s="358"/>
      <c r="EF39" s="357"/>
      <c r="EG39" s="359"/>
      <c r="EH39" s="360"/>
      <c r="EI39" s="355"/>
      <c r="EJ39" s="355"/>
      <c r="EK39" s="355"/>
      <c r="EL39" s="356"/>
      <c r="EM39" s="357"/>
      <c r="EN39" s="358"/>
      <c r="EO39" s="357"/>
      <c r="EP39" s="359"/>
      <c r="EQ39" s="360"/>
      <c r="ER39" s="355"/>
      <c r="ES39" s="355"/>
      <c r="ET39" s="355"/>
      <c r="EU39" s="356"/>
      <c r="EV39" s="357"/>
      <c r="EW39" s="358"/>
      <c r="EX39" s="357"/>
      <c r="EY39" s="359"/>
      <c r="EZ39" s="360"/>
      <c r="FA39" s="355"/>
      <c r="FB39" s="355"/>
      <c r="FC39" s="355"/>
      <c r="FD39" s="356"/>
      <c r="FE39" s="357"/>
      <c r="FF39" s="358"/>
      <c r="FG39" s="357"/>
      <c r="FH39" s="359"/>
      <c r="FI39" s="360"/>
      <c r="FJ39" s="355"/>
      <c r="FK39" s="355"/>
      <c r="FL39" s="355"/>
      <c r="FM39" s="356"/>
      <c r="FN39" s="357"/>
      <c r="FO39" s="358"/>
      <c r="FP39" s="357"/>
      <c r="FQ39" s="359"/>
      <c r="FR39" s="360"/>
      <c r="FS39" s="355"/>
      <c r="FT39" s="355"/>
      <c r="FU39" s="355"/>
      <c r="FV39" s="356"/>
      <c r="FW39" s="357"/>
      <c r="FX39" s="358"/>
      <c r="FY39" s="357"/>
      <c r="FZ39" s="359"/>
      <c r="GA39" s="360"/>
      <c r="GB39" s="355"/>
      <c r="GC39" s="355"/>
      <c r="GD39" s="355"/>
      <c r="GE39" s="356"/>
      <c r="GF39" s="357"/>
      <c r="GG39" s="358"/>
      <c r="GH39" s="357"/>
      <c r="GI39" s="359"/>
      <c r="GJ39" s="360"/>
      <c r="GK39" s="355"/>
      <c r="GL39" s="355"/>
      <c r="GM39" s="355"/>
      <c r="GN39" s="356"/>
      <c r="GO39" s="357"/>
      <c r="GP39" s="358"/>
      <c r="GQ39" s="357"/>
      <c r="GR39" s="359"/>
      <c r="GS39" s="360"/>
      <c r="GT39" s="362">
        <v>42849</v>
      </c>
      <c r="GU39" s="98"/>
      <c r="GV39" s="130"/>
      <c r="GW39" s="74"/>
      <c r="GX39" s="74"/>
      <c r="GY39" s="482">
        <v>42851</v>
      </c>
      <c r="GZ39" s="483">
        <v>3480</v>
      </c>
      <c r="HA39" t="s">
        <v>361</v>
      </c>
    </row>
    <row r="40" spans="1:209" x14ac:dyDescent="0.25">
      <c r="A40"/>
      <c r="D40" s="35"/>
      <c r="E40" s="36"/>
      <c r="F40" s="37"/>
      <c r="G40" s="38"/>
      <c r="H40" s="39"/>
      <c r="I40" s="40"/>
      <c r="J40" s="68" t="s">
        <v>253</v>
      </c>
      <c r="K40" s="69" t="s">
        <v>37</v>
      </c>
      <c r="L40" s="70">
        <v>20850</v>
      </c>
      <c r="M40" s="71">
        <v>42821</v>
      </c>
      <c r="N40" s="381" t="s">
        <v>352</v>
      </c>
      <c r="O40" s="72">
        <v>25895</v>
      </c>
      <c r="P40" s="113">
        <f t="shared" si="3"/>
        <v>5045</v>
      </c>
      <c r="Q40" s="117">
        <v>23.8</v>
      </c>
      <c r="R40" s="117"/>
      <c r="S40" s="111"/>
      <c r="T40" s="39">
        <f>Q40*O40+S40+0</f>
        <v>616301</v>
      </c>
      <c r="U40" s="472" t="s">
        <v>72</v>
      </c>
      <c r="V40" s="473">
        <v>42850</v>
      </c>
      <c r="W40" s="474">
        <f>16193.6-960</f>
        <v>15233.6</v>
      </c>
      <c r="X40" s="475"/>
      <c r="Y40" s="476"/>
      <c r="Z40" s="477"/>
      <c r="AA40" s="478"/>
      <c r="AB40" s="477"/>
      <c r="AC40" s="479"/>
      <c r="AD40" s="480"/>
      <c r="AE40" s="475"/>
      <c r="AF40" s="475"/>
      <c r="AG40" s="475"/>
      <c r="AH40" s="476"/>
      <c r="AI40" s="477"/>
      <c r="AJ40" s="478"/>
      <c r="AK40" s="477"/>
      <c r="AL40" s="479"/>
      <c r="AM40" s="480"/>
      <c r="AN40" s="475"/>
      <c r="AO40" s="475"/>
      <c r="AP40" s="475"/>
      <c r="AQ40" s="476"/>
      <c r="AR40" s="477"/>
      <c r="AS40" s="478"/>
      <c r="AT40" s="477"/>
      <c r="AU40" s="479"/>
      <c r="AV40" s="480"/>
      <c r="AW40" s="475"/>
      <c r="AX40" s="475"/>
      <c r="AY40" s="475"/>
      <c r="AZ40" s="476"/>
      <c r="BA40" s="477"/>
      <c r="BB40" s="478"/>
      <c r="BC40" s="477"/>
      <c r="BD40" s="479"/>
      <c r="BE40" s="480"/>
      <c r="BF40" s="475"/>
      <c r="BG40" s="475"/>
      <c r="BH40" s="475"/>
      <c r="BI40" s="476"/>
      <c r="BJ40" s="477"/>
      <c r="BK40" s="478"/>
      <c r="BL40" s="477"/>
      <c r="BM40" s="479"/>
      <c r="BN40" s="480"/>
      <c r="BO40" s="475"/>
      <c r="BP40" s="475"/>
      <c r="BQ40" s="475"/>
      <c r="BR40" s="476"/>
      <c r="BS40" s="477"/>
      <c r="BT40" s="478"/>
      <c r="BU40" s="477"/>
      <c r="BV40" s="479"/>
      <c r="BW40" s="480"/>
      <c r="BX40" s="475"/>
      <c r="BY40" s="475"/>
      <c r="BZ40" s="475"/>
      <c r="CA40" s="476"/>
      <c r="CB40" s="477"/>
      <c r="CC40" s="478"/>
      <c r="CD40" s="477"/>
      <c r="CE40" s="479"/>
      <c r="CF40" s="480"/>
      <c r="CG40" s="475"/>
      <c r="CH40" s="475"/>
      <c r="CI40" s="475"/>
      <c r="CJ40" s="476"/>
      <c r="CK40" s="477"/>
      <c r="CL40" s="478"/>
      <c r="CM40" s="477"/>
      <c r="CN40" s="479"/>
      <c r="CO40" s="480"/>
      <c r="CP40" s="475"/>
      <c r="CQ40" s="475"/>
      <c r="CR40" s="475"/>
      <c r="CS40" s="476"/>
      <c r="CT40" s="477"/>
      <c r="CU40" s="478"/>
      <c r="CV40" s="477"/>
      <c r="CW40" s="479"/>
      <c r="CX40" s="480"/>
      <c r="CY40" s="475"/>
      <c r="CZ40" s="475"/>
      <c r="DA40" s="475"/>
      <c r="DB40" s="476"/>
      <c r="DC40" s="477"/>
      <c r="DD40" s="478"/>
      <c r="DE40" s="477"/>
      <c r="DF40" s="479"/>
      <c r="DG40" s="480"/>
      <c r="DH40" s="475"/>
      <c r="DI40" s="475"/>
      <c r="DJ40" s="475"/>
      <c r="DK40" s="476"/>
      <c r="DL40" s="477"/>
      <c r="DM40" s="478"/>
      <c r="DN40" s="477"/>
      <c r="DO40" s="479"/>
      <c r="DP40" s="480"/>
      <c r="DQ40" s="475"/>
      <c r="DR40" s="475"/>
      <c r="DS40" s="475"/>
      <c r="DT40" s="476"/>
      <c r="DU40" s="477"/>
      <c r="DV40" s="478"/>
      <c r="DW40" s="477"/>
      <c r="DX40" s="479"/>
      <c r="DY40" s="480"/>
      <c r="DZ40" s="475"/>
      <c r="EA40" s="475"/>
      <c r="EB40" s="475"/>
      <c r="EC40" s="476"/>
      <c r="ED40" s="477"/>
      <c r="EE40" s="478"/>
      <c r="EF40" s="477"/>
      <c r="EG40" s="479"/>
      <c r="EH40" s="480"/>
      <c r="EI40" s="475"/>
      <c r="EJ40" s="475"/>
      <c r="EK40" s="475"/>
      <c r="EL40" s="476"/>
      <c r="EM40" s="477"/>
      <c r="EN40" s="478"/>
      <c r="EO40" s="477"/>
      <c r="EP40" s="479"/>
      <c r="EQ40" s="480"/>
      <c r="ER40" s="475"/>
      <c r="ES40" s="475"/>
      <c r="ET40" s="475"/>
      <c r="EU40" s="476"/>
      <c r="EV40" s="477"/>
      <c r="EW40" s="478"/>
      <c r="EX40" s="477"/>
      <c r="EY40" s="479"/>
      <c r="EZ40" s="480"/>
      <c r="FA40" s="475"/>
      <c r="FB40" s="475"/>
      <c r="FC40" s="475"/>
      <c r="FD40" s="476"/>
      <c r="FE40" s="477"/>
      <c r="FF40" s="478"/>
      <c r="FG40" s="477"/>
      <c r="FH40" s="479"/>
      <c r="FI40" s="480"/>
      <c r="FJ40" s="475"/>
      <c r="FK40" s="475"/>
      <c r="FL40" s="475"/>
      <c r="FM40" s="476"/>
      <c r="FN40" s="477"/>
      <c r="FO40" s="478"/>
      <c r="FP40" s="477"/>
      <c r="FQ40" s="479"/>
      <c r="FR40" s="480"/>
      <c r="FS40" s="475"/>
      <c r="FT40" s="475"/>
      <c r="FU40" s="475"/>
      <c r="FV40" s="476"/>
      <c r="FW40" s="477"/>
      <c r="FX40" s="478"/>
      <c r="FY40" s="477"/>
      <c r="FZ40" s="479"/>
      <c r="GA40" s="480"/>
      <c r="GB40" s="475"/>
      <c r="GC40" s="475"/>
      <c r="GD40" s="475"/>
      <c r="GE40" s="476"/>
      <c r="GF40" s="477"/>
      <c r="GG40" s="478"/>
      <c r="GH40" s="477"/>
      <c r="GI40" s="479"/>
      <c r="GJ40" s="480"/>
      <c r="GK40" s="475"/>
      <c r="GL40" s="475"/>
      <c r="GM40" s="475"/>
      <c r="GN40" s="476"/>
      <c r="GO40" s="477"/>
      <c r="GP40" s="478"/>
      <c r="GQ40" s="477"/>
      <c r="GR40" s="479"/>
      <c r="GS40" s="480"/>
      <c r="GT40" s="481">
        <v>42850</v>
      </c>
      <c r="GU40" s="131"/>
      <c r="GV40" s="130">
        <v>22176</v>
      </c>
      <c r="GW40" s="74" t="s">
        <v>295</v>
      </c>
      <c r="GX40" s="74"/>
      <c r="GY40" s="482">
        <v>42851</v>
      </c>
      <c r="GZ40" s="483">
        <v>3480</v>
      </c>
    </row>
    <row r="41" spans="1:209" x14ac:dyDescent="0.25">
      <c r="A41"/>
      <c r="D41" s="35"/>
      <c r="E41" s="36"/>
      <c r="F41" s="37"/>
      <c r="G41" s="38"/>
      <c r="H41" s="39"/>
      <c r="I41" s="40"/>
      <c r="J41" s="68" t="s">
        <v>42</v>
      </c>
      <c r="K41" s="69" t="s">
        <v>37</v>
      </c>
      <c r="L41" s="70">
        <v>18830</v>
      </c>
      <c r="M41" s="71">
        <v>42822</v>
      </c>
      <c r="N41" s="381" t="s">
        <v>356</v>
      </c>
      <c r="O41" s="72">
        <v>23700</v>
      </c>
      <c r="P41" s="113">
        <f t="shared" si="3"/>
        <v>4870</v>
      </c>
      <c r="Q41" s="117">
        <v>23.8</v>
      </c>
      <c r="R41" s="893"/>
      <c r="S41" s="894"/>
      <c r="T41" s="39">
        <f>Q41*O41</f>
        <v>564060</v>
      </c>
      <c r="U41" s="363" t="s">
        <v>72</v>
      </c>
      <c r="V41" s="353">
        <v>42851</v>
      </c>
      <c r="W41" s="368">
        <v>15080</v>
      </c>
      <c r="X41" s="355"/>
      <c r="Y41" s="356"/>
      <c r="Z41" s="357"/>
      <c r="AA41" s="358"/>
      <c r="AB41" s="357"/>
      <c r="AC41" s="359"/>
      <c r="AD41" s="360"/>
      <c r="AE41" s="355"/>
      <c r="AF41" s="355"/>
      <c r="AG41" s="355"/>
      <c r="AH41" s="356"/>
      <c r="AI41" s="357"/>
      <c r="AJ41" s="358"/>
      <c r="AK41" s="357"/>
      <c r="AL41" s="359"/>
      <c r="AM41" s="360"/>
      <c r="AN41" s="355"/>
      <c r="AO41" s="355"/>
      <c r="AP41" s="355"/>
      <c r="AQ41" s="356"/>
      <c r="AR41" s="357"/>
      <c r="AS41" s="358"/>
      <c r="AT41" s="357"/>
      <c r="AU41" s="359"/>
      <c r="AV41" s="360"/>
      <c r="AW41" s="355"/>
      <c r="AX41" s="355"/>
      <c r="AY41" s="355"/>
      <c r="AZ41" s="356"/>
      <c r="BA41" s="357"/>
      <c r="BB41" s="358"/>
      <c r="BC41" s="357"/>
      <c r="BD41" s="359"/>
      <c r="BE41" s="360"/>
      <c r="BF41" s="355"/>
      <c r="BG41" s="355"/>
      <c r="BH41" s="355"/>
      <c r="BI41" s="356"/>
      <c r="BJ41" s="357"/>
      <c r="BK41" s="358"/>
      <c r="BL41" s="357"/>
      <c r="BM41" s="359"/>
      <c r="BN41" s="360"/>
      <c r="BO41" s="355"/>
      <c r="BP41" s="355"/>
      <c r="BQ41" s="355"/>
      <c r="BR41" s="356"/>
      <c r="BS41" s="357"/>
      <c r="BT41" s="358"/>
      <c r="BU41" s="357"/>
      <c r="BV41" s="359"/>
      <c r="BW41" s="360"/>
      <c r="BX41" s="355"/>
      <c r="BY41" s="355"/>
      <c r="BZ41" s="355"/>
      <c r="CA41" s="356"/>
      <c r="CB41" s="357"/>
      <c r="CC41" s="358"/>
      <c r="CD41" s="357"/>
      <c r="CE41" s="359"/>
      <c r="CF41" s="360"/>
      <c r="CG41" s="355"/>
      <c r="CH41" s="355"/>
      <c r="CI41" s="355"/>
      <c r="CJ41" s="356"/>
      <c r="CK41" s="357"/>
      <c r="CL41" s="358"/>
      <c r="CM41" s="357"/>
      <c r="CN41" s="359"/>
      <c r="CO41" s="360"/>
      <c r="CP41" s="355"/>
      <c r="CQ41" s="355"/>
      <c r="CR41" s="355"/>
      <c r="CS41" s="356"/>
      <c r="CT41" s="357"/>
      <c r="CU41" s="358"/>
      <c r="CV41" s="357"/>
      <c r="CW41" s="359"/>
      <c r="CX41" s="360"/>
      <c r="CY41" s="355"/>
      <c r="CZ41" s="355"/>
      <c r="DA41" s="355"/>
      <c r="DB41" s="356"/>
      <c r="DC41" s="357"/>
      <c r="DD41" s="358"/>
      <c r="DE41" s="357"/>
      <c r="DF41" s="359"/>
      <c r="DG41" s="360"/>
      <c r="DH41" s="355"/>
      <c r="DI41" s="355"/>
      <c r="DJ41" s="355"/>
      <c r="DK41" s="356"/>
      <c r="DL41" s="357"/>
      <c r="DM41" s="358"/>
      <c r="DN41" s="357"/>
      <c r="DO41" s="359"/>
      <c r="DP41" s="360"/>
      <c r="DQ41" s="355"/>
      <c r="DR41" s="355"/>
      <c r="DS41" s="355"/>
      <c r="DT41" s="356"/>
      <c r="DU41" s="357"/>
      <c r="DV41" s="358"/>
      <c r="DW41" s="357"/>
      <c r="DX41" s="359"/>
      <c r="DY41" s="360"/>
      <c r="DZ41" s="355"/>
      <c r="EA41" s="355"/>
      <c r="EB41" s="355"/>
      <c r="EC41" s="356"/>
      <c r="ED41" s="357"/>
      <c r="EE41" s="358"/>
      <c r="EF41" s="357"/>
      <c r="EG41" s="359"/>
      <c r="EH41" s="360"/>
      <c r="EI41" s="355"/>
      <c r="EJ41" s="355"/>
      <c r="EK41" s="355"/>
      <c r="EL41" s="356"/>
      <c r="EM41" s="357"/>
      <c r="EN41" s="358"/>
      <c r="EO41" s="357"/>
      <c r="EP41" s="359"/>
      <c r="EQ41" s="360"/>
      <c r="ER41" s="355"/>
      <c r="ES41" s="355"/>
      <c r="ET41" s="355"/>
      <c r="EU41" s="356"/>
      <c r="EV41" s="357"/>
      <c r="EW41" s="358"/>
      <c r="EX41" s="357"/>
      <c r="EY41" s="359"/>
      <c r="EZ41" s="360"/>
      <c r="FA41" s="355"/>
      <c r="FB41" s="355"/>
      <c r="FC41" s="355"/>
      <c r="FD41" s="356"/>
      <c r="FE41" s="357"/>
      <c r="FF41" s="358"/>
      <c r="FG41" s="357"/>
      <c r="FH41" s="359"/>
      <c r="FI41" s="360"/>
      <c r="FJ41" s="355"/>
      <c r="FK41" s="355"/>
      <c r="FL41" s="355"/>
      <c r="FM41" s="356"/>
      <c r="FN41" s="357"/>
      <c r="FO41" s="358"/>
      <c r="FP41" s="357"/>
      <c r="FQ41" s="359"/>
      <c r="FR41" s="360"/>
      <c r="FS41" s="355"/>
      <c r="FT41" s="355"/>
      <c r="FU41" s="355"/>
      <c r="FV41" s="356"/>
      <c r="FW41" s="357"/>
      <c r="FX41" s="358"/>
      <c r="FY41" s="357"/>
      <c r="FZ41" s="359"/>
      <c r="GA41" s="360"/>
      <c r="GB41" s="355"/>
      <c r="GC41" s="355"/>
      <c r="GD41" s="355"/>
      <c r="GE41" s="356"/>
      <c r="GF41" s="357"/>
      <c r="GG41" s="358"/>
      <c r="GH41" s="357"/>
      <c r="GI41" s="359"/>
      <c r="GJ41" s="360"/>
      <c r="GK41" s="355"/>
      <c r="GL41" s="355"/>
      <c r="GM41" s="355"/>
      <c r="GN41" s="356"/>
      <c r="GO41" s="357"/>
      <c r="GP41" s="358"/>
      <c r="GQ41" s="357"/>
      <c r="GR41" s="359"/>
      <c r="GS41" s="360"/>
      <c r="GT41" s="362">
        <v>42851</v>
      </c>
      <c r="GU41" s="131"/>
      <c r="GV41" s="130"/>
      <c r="GW41" s="74"/>
      <c r="GX41" s="74"/>
      <c r="GY41" s="482">
        <v>42851</v>
      </c>
      <c r="GZ41" s="483">
        <v>3480</v>
      </c>
      <c r="HA41" t="s">
        <v>361</v>
      </c>
    </row>
    <row r="42" spans="1:209" x14ac:dyDescent="0.25">
      <c r="A42"/>
      <c r="D42" s="35"/>
      <c r="E42" s="36"/>
      <c r="F42" s="37"/>
      <c r="G42" s="38"/>
      <c r="H42" s="39"/>
      <c r="I42" s="40"/>
      <c r="J42" s="68" t="s">
        <v>42</v>
      </c>
      <c r="K42" s="69" t="s">
        <v>37</v>
      </c>
      <c r="L42" s="70">
        <v>18300</v>
      </c>
      <c r="M42" s="71">
        <v>42823</v>
      </c>
      <c r="N42" s="380" t="s">
        <v>362</v>
      </c>
      <c r="O42" s="72">
        <v>23130</v>
      </c>
      <c r="P42" s="113">
        <f t="shared" si="3"/>
        <v>4830</v>
      </c>
      <c r="Q42" s="117">
        <v>23.8</v>
      </c>
      <c r="R42" s="117"/>
      <c r="S42" s="117"/>
      <c r="T42" s="39">
        <f t="shared" ref="T42:T49" si="4">Q42*O42+S42+0</f>
        <v>550494</v>
      </c>
      <c r="U42" s="363" t="s">
        <v>72</v>
      </c>
      <c r="V42" s="353">
        <v>42852</v>
      </c>
      <c r="W42" s="368">
        <v>15080</v>
      </c>
      <c r="X42" s="355"/>
      <c r="Y42" s="356"/>
      <c r="Z42" s="357"/>
      <c r="AA42" s="358"/>
      <c r="AB42" s="357"/>
      <c r="AC42" s="359"/>
      <c r="AD42" s="360"/>
      <c r="AE42" s="355"/>
      <c r="AF42" s="355"/>
      <c r="AG42" s="355"/>
      <c r="AH42" s="356"/>
      <c r="AI42" s="357"/>
      <c r="AJ42" s="358"/>
      <c r="AK42" s="357"/>
      <c r="AL42" s="359"/>
      <c r="AM42" s="360"/>
      <c r="AN42" s="355"/>
      <c r="AO42" s="355"/>
      <c r="AP42" s="355"/>
      <c r="AQ42" s="356"/>
      <c r="AR42" s="357"/>
      <c r="AS42" s="358"/>
      <c r="AT42" s="357"/>
      <c r="AU42" s="359"/>
      <c r="AV42" s="360"/>
      <c r="AW42" s="355"/>
      <c r="AX42" s="355"/>
      <c r="AY42" s="355"/>
      <c r="AZ42" s="356"/>
      <c r="BA42" s="357"/>
      <c r="BB42" s="358"/>
      <c r="BC42" s="357"/>
      <c r="BD42" s="359"/>
      <c r="BE42" s="360"/>
      <c r="BF42" s="355"/>
      <c r="BG42" s="355"/>
      <c r="BH42" s="355"/>
      <c r="BI42" s="356"/>
      <c r="BJ42" s="357"/>
      <c r="BK42" s="358"/>
      <c r="BL42" s="357"/>
      <c r="BM42" s="359"/>
      <c r="BN42" s="360"/>
      <c r="BO42" s="355"/>
      <c r="BP42" s="355"/>
      <c r="BQ42" s="355"/>
      <c r="BR42" s="356"/>
      <c r="BS42" s="357"/>
      <c r="BT42" s="358"/>
      <c r="BU42" s="357"/>
      <c r="BV42" s="359"/>
      <c r="BW42" s="360"/>
      <c r="BX42" s="355"/>
      <c r="BY42" s="355"/>
      <c r="BZ42" s="355"/>
      <c r="CA42" s="356"/>
      <c r="CB42" s="357"/>
      <c r="CC42" s="358"/>
      <c r="CD42" s="357"/>
      <c r="CE42" s="359"/>
      <c r="CF42" s="360"/>
      <c r="CG42" s="355"/>
      <c r="CH42" s="355"/>
      <c r="CI42" s="355"/>
      <c r="CJ42" s="356"/>
      <c r="CK42" s="357"/>
      <c r="CL42" s="358"/>
      <c r="CM42" s="357"/>
      <c r="CN42" s="359"/>
      <c r="CO42" s="360"/>
      <c r="CP42" s="355"/>
      <c r="CQ42" s="355"/>
      <c r="CR42" s="355"/>
      <c r="CS42" s="356"/>
      <c r="CT42" s="357"/>
      <c r="CU42" s="358"/>
      <c r="CV42" s="357"/>
      <c r="CW42" s="359"/>
      <c r="CX42" s="360"/>
      <c r="CY42" s="355"/>
      <c r="CZ42" s="355"/>
      <c r="DA42" s="355"/>
      <c r="DB42" s="356"/>
      <c r="DC42" s="357"/>
      <c r="DD42" s="358"/>
      <c r="DE42" s="357"/>
      <c r="DF42" s="359"/>
      <c r="DG42" s="360"/>
      <c r="DH42" s="355"/>
      <c r="DI42" s="355"/>
      <c r="DJ42" s="355"/>
      <c r="DK42" s="356"/>
      <c r="DL42" s="357"/>
      <c r="DM42" s="358"/>
      <c r="DN42" s="357"/>
      <c r="DO42" s="359"/>
      <c r="DP42" s="360"/>
      <c r="DQ42" s="355"/>
      <c r="DR42" s="355"/>
      <c r="DS42" s="355"/>
      <c r="DT42" s="356"/>
      <c r="DU42" s="357"/>
      <c r="DV42" s="358"/>
      <c r="DW42" s="357"/>
      <c r="DX42" s="359"/>
      <c r="DY42" s="360"/>
      <c r="DZ42" s="355"/>
      <c r="EA42" s="355"/>
      <c r="EB42" s="355"/>
      <c r="EC42" s="356"/>
      <c r="ED42" s="357"/>
      <c r="EE42" s="358"/>
      <c r="EF42" s="357"/>
      <c r="EG42" s="359"/>
      <c r="EH42" s="360"/>
      <c r="EI42" s="355"/>
      <c r="EJ42" s="355"/>
      <c r="EK42" s="355"/>
      <c r="EL42" s="356"/>
      <c r="EM42" s="357"/>
      <c r="EN42" s="358"/>
      <c r="EO42" s="357"/>
      <c r="EP42" s="359"/>
      <c r="EQ42" s="360"/>
      <c r="ER42" s="355"/>
      <c r="ES42" s="355"/>
      <c r="ET42" s="355"/>
      <c r="EU42" s="356"/>
      <c r="EV42" s="357"/>
      <c r="EW42" s="358"/>
      <c r="EX42" s="357"/>
      <c r="EY42" s="359"/>
      <c r="EZ42" s="360"/>
      <c r="FA42" s="355"/>
      <c r="FB42" s="355"/>
      <c r="FC42" s="355"/>
      <c r="FD42" s="356"/>
      <c r="FE42" s="357"/>
      <c r="FF42" s="358"/>
      <c r="FG42" s="357"/>
      <c r="FH42" s="359"/>
      <c r="FI42" s="360"/>
      <c r="FJ42" s="355"/>
      <c r="FK42" s="355"/>
      <c r="FL42" s="355"/>
      <c r="FM42" s="356"/>
      <c r="FN42" s="357"/>
      <c r="FO42" s="358"/>
      <c r="FP42" s="357"/>
      <c r="FQ42" s="359"/>
      <c r="FR42" s="360"/>
      <c r="FS42" s="355"/>
      <c r="FT42" s="355"/>
      <c r="FU42" s="355"/>
      <c r="FV42" s="356"/>
      <c r="FW42" s="357"/>
      <c r="FX42" s="358"/>
      <c r="FY42" s="357"/>
      <c r="FZ42" s="359"/>
      <c r="GA42" s="360"/>
      <c r="GB42" s="355"/>
      <c r="GC42" s="355"/>
      <c r="GD42" s="355"/>
      <c r="GE42" s="356"/>
      <c r="GF42" s="357"/>
      <c r="GG42" s="358"/>
      <c r="GH42" s="357"/>
      <c r="GI42" s="359"/>
      <c r="GJ42" s="360"/>
      <c r="GK42" s="355"/>
      <c r="GL42" s="355"/>
      <c r="GM42" s="355"/>
      <c r="GN42" s="356"/>
      <c r="GO42" s="357"/>
      <c r="GP42" s="358"/>
      <c r="GQ42" s="357"/>
      <c r="GR42" s="359"/>
      <c r="GS42" s="360"/>
      <c r="GT42" s="362">
        <v>42852</v>
      </c>
      <c r="GU42" s="98"/>
      <c r="GV42" s="130">
        <v>22176</v>
      </c>
      <c r="GW42" s="74" t="s">
        <v>296</v>
      </c>
      <c r="GX42" s="132"/>
      <c r="GY42" s="482">
        <v>42851</v>
      </c>
      <c r="GZ42" s="483">
        <v>3480</v>
      </c>
    </row>
    <row r="43" spans="1:209" x14ac:dyDescent="0.25">
      <c r="A43"/>
      <c r="D43" s="35"/>
      <c r="E43" s="36"/>
      <c r="F43" s="37"/>
      <c r="G43" s="38"/>
      <c r="H43" s="39"/>
      <c r="I43" s="40"/>
      <c r="J43" s="436" t="s">
        <v>256</v>
      </c>
      <c r="K43" s="69" t="s">
        <v>257</v>
      </c>
      <c r="L43" s="70"/>
      <c r="M43" s="71">
        <v>42823</v>
      </c>
      <c r="N43" s="445" t="s">
        <v>280</v>
      </c>
      <c r="O43" s="72">
        <v>2298.8000000000002</v>
      </c>
      <c r="P43" s="113">
        <f t="shared" si="3"/>
        <v>2298.8000000000002</v>
      </c>
      <c r="Q43" s="117">
        <v>70</v>
      </c>
      <c r="R43" s="117" t="s">
        <v>249</v>
      </c>
      <c r="S43" s="117"/>
      <c r="T43" s="437">
        <f t="shared" si="4"/>
        <v>160916</v>
      </c>
      <c r="U43" s="115" t="s">
        <v>72</v>
      </c>
      <c r="V43" s="112">
        <v>42823</v>
      </c>
      <c r="W43" s="377"/>
      <c r="X43" s="146"/>
      <c r="Y43" s="147"/>
      <c r="Z43" s="148"/>
      <c r="AA43" s="149"/>
      <c r="AB43" s="148"/>
      <c r="AC43" s="150"/>
      <c r="AD43" s="151"/>
      <c r="AE43" s="146"/>
      <c r="AF43" s="146"/>
      <c r="AG43" s="146"/>
      <c r="AH43" s="147"/>
      <c r="AI43" s="148"/>
      <c r="AJ43" s="149"/>
      <c r="AK43" s="148"/>
      <c r="AL43" s="150"/>
      <c r="AM43" s="151"/>
      <c r="AN43" s="146"/>
      <c r="AO43" s="146"/>
      <c r="AP43" s="146"/>
      <c r="AQ43" s="147"/>
      <c r="AR43" s="148"/>
      <c r="AS43" s="149"/>
      <c r="AT43" s="148"/>
      <c r="AU43" s="150"/>
      <c r="AV43" s="151"/>
      <c r="AW43" s="146"/>
      <c r="AX43" s="146"/>
      <c r="AY43" s="146"/>
      <c r="AZ43" s="147"/>
      <c r="BA43" s="148"/>
      <c r="BB43" s="149"/>
      <c r="BC43" s="148"/>
      <c r="BD43" s="150"/>
      <c r="BE43" s="151"/>
      <c r="BF43" s="146"/>
      <c r="BG43" s="146"/>
      <c r="BH43" s="146"/>
      <c r="BI43" s="147"/>
      <c r="BJ43" s="148"/>
      <c r="BK43" s="149"/>
      <c r="BL43" s="148"/>
      <c r="BM43" s="150"/>
      <c r="BN43" s="151"/>
      <c r="BO43" s="146"/>
      <c r="BP43" s="146"/>
      <c r="BQ43" s="146"/>
      <c r="BR43" s="147"/>
      <c r="BS43" s="148"/>
      <c r="BT43" s="149"/>
      <c r="BU43" s="148"/>
      <c r="BV43" s="150"/>
      <c r="BW43" s="151"/>
      <c r="BX43" s="146"/>
      <c r="BY43" s="146"/>
      <c r="BZ43" s="146"/>
      <c r="CA43" s="147"/>
      <c r="CB43" s="148"/>
      <c r="CC43" s="149"/>
      <c r="CD43" s="148"/>
      <c r="CE43" s="150"/>
      <c r="CF43" s="151"/>
      <c r="CG43" s="146"/>
      <c r="CH43" s="146"/>
      <c r="CI43" s="146"/>
      <c r="CJ43" s="147"/>
      <c r="CK43" s="148"/>
      <c r="CL43" s="149"/>
      <c r="CM43" s="148"/>
      <c r="CN43" s="150"/>
      <c r="CO43" s="151"/>
      <c r="CP43" s="146"/>
      <c r="CQ43" s="146"/>
      <c r="CR43" s="146"/>
      <c r="CS43" s="147"/>
      <c r="CT43" s="148"/>
      <c r="CU43" s="149"/>
      <c r="CV43" s="148"/>
      <c r="CW43" s="150"/>
      <c r="CX43" s="151"/>
      <c r="CY43" s="146"/>
      <c r="CZ43" s="146"/>
      <c r="DA43" s="146"/>
      <c r="DB43" s="147"/>
      <c r="DC43" s="148"/>
      <c r="DD43" s="149"/>
      <c r="DE43" s="148"/>
      <c r="DF43" s="150"/>
      <c r="DG43" s="151"/>
      <c r="DH43" s="146"/>
      <c r="DI43" s="146"/>
      <c r="DJ43" s="146"/>
      <c r="DK43" s="147"/>
      <c r="DL43" s="148"/>
      <c r="DM43" s="149"/>
      <c r="DN43" s="148"/>
      <c r="DO43" s="150"/>
      <c r="DP43" s="151"/>
      <c r="DQ43" s="146"/>
      <c r="DR43" s="146"/>
      <c r="DS43" s="146"/>
      <c r="DT43" s="147"/>
      <c r="DU43" s="148"/>
      <c r="DV43" s="149"/>
      <c r="DW43" s="148"/>
      <c r="DX43" s="150"/>
      <c r="DY43" s="151"/>
      <c r="DZ43" s="146"/>
      <c r="EA43" s="146"/>
      <c r="EB43" s="146"/>
      <c r="EC43" s="147"/>
      <c r="ED43" s="148"/>
      <c r="EE43" s="149"/>
      <c r="EF43" s="148"/>
      <c r="EG43" s="150"/>
      <c r="EH43" s="151"/>
      <c r="EI43" s="146"/>
      <c r="EJ43" s="146"/>
      <c r="EK43" s="146"/>
      <c r="EL43" s="147"/>
      <c r="EM43" s="148"/>
      <c r="EN43" s="149"/>
      <c r="EO43" s="148"/>
      <c r="EP43" s="150"/>
      <c r="EQ43" s="151"/>
      <c r="ER43" s="146"/>
      <c r="ES43" s="146"/>
      <c r="ET43" s="146"/>
      <c r="EU43" s="147"/>
      <c r="EV43" s="148"/>
      <c r="EW43" s="149"/>
      <c r="EX43" s="148"/>
      <c r="EY43" s="150"/>
      <c r="EZ43" s="151"/>
      <c r="FA43" s="146"/>
      <c r="FB43" s="146"/>
      <c r="FC43" s="146"/>
      <c r="FD43" s="147"/>
      <c r="FE43" s="148"/>
      <c r="FF43" s="149"/>
      <c r="FG43" s="148"/>
      <c r="FH43" s="150"/>
      <c r="FI43" s="151"/>
      <c r="FJ43" s="146"/>
      <c r="FK43" s="146"/>
      <c r="FL43" s="146"/>
      <c r="FM43" s="147"/>
      <c r="FN43" s="148"/>
      <c r="FO43" s="149"/>
      <c r="FP43" s="148"/>
      <c r="FQ43" s="150"/>
      <c r="FR43" s="151"/>
      <c r="FS43" s="146"/>
      <c r="FT43" s="146"/>
      <c r="FU43" s="146"/>
      <c r="FV43" s="147"/>
      <c r="FW43" s="148"/>
      <c r="FX43" s="149"/>
      <c r="FY43" s="148"/>
      <c r="FZ43" s="150"/>
      <c r="GA43" s="151"/>
      <c r="GB43" s="146"/>
      <c r="GC43" s="146"/>
      <c r="GD43" s="146"/>
      <c r="GE43" s="147"/>
      <c r="GF43" s="148"/>
      <c r="GG43" s="149"/>
      <c r="GH43" s="148"/>
      <c r="GI43" s="150"/>
      <c r="GJ43" s="151"/>
      <c r="GK43" s="146"/>
      <c r="GL43" s="146"/>
      <c r="GM43" s="146"/>
      <c r="GN43" s="147"/>
      <c r="GO43" s="148"/>
      <c r="GP43" s="149"/>
      <c r="GQ43" s="148"/>
      <c r="GR43" s="150"/>
      <c r="GS43" s="151"/>
      <c r="GT43" s="152"/>
      <c r="GU43" s="98"/>
      <c r="GV43" s="620">
        <v>0</v>
      </c>
      <c r="GW43" s="621"/>
      <c r="GX43" s="132"/>
      <c r="GY43" s="482"/>
      <c r="GZ43" s="484">
        <v>0</v>
      </c>
    </row>
    <row r="44" spans="1:209" x14ac:dyDescent="0.25">
      <c r="A44"/>
      <c r="D44" s="35"/>
      <c r="E44" s="36"/>
      <c r="F44" s="37"/>
      <c r="G44" s="38"/>
      <c r="H44" s="39"/>
      <c r="I44" s="40"/>
      <c r="J44" s="436" t="s">
        <v>256</v>
      </c>
      <c r="K44" s="69" t="s">
        <v>258</v>
      </c>
      <c r="L44" s="70"/>
      <c r="M44" s="71">
        <v>42823</v>
      </c>
      <c r="N44" s="445" t="s">
        <v>280</v>
      </c>
      <c r="O44" s="72">
        <v>346.4</v>
      </c>
      <c r="P44" s="113">
        <f t="shared" si="3"/>
        <v>346.4</v>
      </c>
      <c r="Q44" s="117">
        <v>64</v>
      </c>
      <c r="R44" s="117" t="s">
        <v>249</v>
      </c>
      <c r="S44" s="117"/>
      <c r="T44" s="437">
        <f t="shared" si="4"/>
        <v>22169.599999999999</v>
      </c>
      <c r="U44" s="115" t="s">
        <v>72</v>
      </c>
      <c r="V44" s="112">
        <v>42823</v>
      </c>
      <c r="W44" s="377"/>
      <c r="X44" s="146"/>
      <c r="Y44" s="147"/>
      <c r="Z44" s="148"/>
      <c r="AA44" s="149"/>
      <c r="AB44" s="148"/>
      <c r="AC44" s="150"/>
      <c r="AD44" s="151"/>
      <c r="AE44" s="146"/>
      <c r="AF44" s="146"/>
      <c r="AG44" s="146"/>
      <c r="AH44" s="147"/>
      <c r="AI44" s="148"/>
      <c r="AJ44" s="149"/>
      <c r="AK44" s="148"/>
      <c r="AL44" s="150"/>
      <c r="AM44" s="151"/>
      <c r="AN44" s="146"/>
      <c r="AO44" s="146"/>
      <c r="AP44" s="146"/>
      <c r="AQ44" s="147"/>
      <c r="AR44" s="148"/>
      <c r="AS44" s="149"/>
      <c r="AT44" s="148"/>
      <c r="AU44" s="150"/>
      <c r="AV44" s="151"/>
      <c r="AW44" s="146"/>
      <c r="AX44" s="146"/>
      <c r="AY44" s="146"/>
      <c r="AZ44" s="147"/>
      <c r="BA44" s="148"/>
      <c r="BB44" s="149"/>
      <c r="BC44" s="148"/>
      <c r="BD44" s="150"/>
      <c r="BE44" s="151"/>
      <c r="BF44" s="146"/>
      <c r="BG44" s="146"/>
      <c r="BH44" s="146"/>
      <c r="BI44" s="147"/>
      <c r="BJ44" s="148"/>
      <c r="BK44" s="149"/>
      <c r="BL44" s="148"/>
      <c r="BM44" s="150"/>
      <c r="BN44" s="151"/>
      <c r="BO44" s="146"/>
      <c r="BP44" s="146"/>
      <c r="BQ44" s="146"/>
      <c r="BR44" s="147"/>
      <c r="BS44" s="148"/>
      <c r="BT44" s="149"/>
      <c r="BU44" s="148"/>
      <c r="BV44" s="150"/>
      <c r="BW44" s="151"/>
      <c r="BX44" s="146"/>
      <c r="BY44" s="146"/>
      <c r="BZ44" s="146"/>
      <c r="CA44" s="147"/>
      <c r="CB44" s="148"/>
      <c r="CC44" s="149"/>
      <c r="CD44" s="148"/>
      <c r="CE44" s="150"/>
      <c r="CF44" s="151"/>
      <c r="CG44" s="146"/>
      <c r="CH44" s="146"/>
      <c r="CI44" s="146"/>
      <c r="CJ44" s="147"/>
      <c r="CK44" s="148"/>
      <c r="CL44" s="149"/>
      <c r="CM44" s="148"/>
      <c r="CN44" s="150"/>
      <c r="CO44" s="151"/>
      <c r="CP44" s="146"/>
      <c r="CQ44" s="146"/>
      <c r="CR44" s="146"/>
      <c r="CS44" s="147"/>
      <c r="CT44" s="148"/>
      <c r="CU44" s="149"/>
      <c r="CV44" s="148"/>
      <c r="CW44" s="150"/>
      <c r="CX44" s="151"/>
      <c r="CY44" s="146"/>
      <c r="CZ44" s="146"/>
      <c r="DA44" s="146"/>
      <c r="DB44" s="147"/>
      <c r="DC44" s="148"/>
      <c r="DD44" s="149"/>
      <c r="DE44" s="148"/>
      <c r="DF44" s="150"/>
      <c r="DG44" s="151"/>
      <c r="DH44" s="146"/>
      <c r="DI44" s="146"/>
      <c r="DJ44" s="146"/>
      <c r="DK44" s="147"/>
      <c r="DL44" s="148"/>
      <c r="DM44" s="149"/>
      <c r="DN44" s="148"/>
      <c r="DO44" s="150"/>
      <c r="DP44" s="151"/>
      <c r="DQ44" s="146"/>
      <c r="DR44" s="146"/>
      <c r="DS44" s="146"/>
      <c r="DT44" s="147"/>
      <c r="DU44" s="148"/>
      <c r="DV44" s="149"/>
      <c r="DW44" s="148"/>
      <c r="DX44" s="150"/>
      <c r="DY44" s="151"/>
      <c r="DZ44" s="146"/>
      <c r="EA44" s="146"/>
      <c r="EB44" s="146"/>
      <c r="EC44" s="147"/>
      <c r="ED44" s="148"/>
      <c r="EE44" s="149"/>
      <c r="EF44" s="148"/>
      <c r="EG44" s="150"/>
      <c r="EH44" s="151"/>
      <c r="EI44" s="146"/>
      <c r="EJ44" s="146"/>
      <c r="EK44" s="146"/>
      <c r="EL44" s="147"/>
      <c r="EM44" s="148"/>
      <c r="EN44" s="149"/>
      <c r="EO44" s="148"/>
      <c r="EP44" s="150"/>
      <c r="EQ44" s="151"/>
      <c r="ER44" s="146"/>
      <c r="ES44" s="146"/>
      <c r="ET44" s="146"/>
      <c r="EU44" s="147"/>
      <c r="EV44" s="148"/>
      <c r="EW44" s="149"/>
      <c r="EX44" s="148"/>
      <c r="EY44" s="150"/>
      <c r="EZ44" s="151"/>
      <c r="FA44" s="146"/>
      <c r="FB44" s="146"/>
      <c r="FC44" s="146"/>
      <c r="FD44" s="147"/>
      <c r="FE44" s="148"/>
      <c r="FF44" s="149"/>
      <c r="FG44" s="148"/>
      <c r="FH44" s="150"/>
      <c r="FI44" s="151"/>
      <c r="FJ44" s="146"/>
      <c r="FK44" s="146"/>
      <c r="FL44" s="146"/>
      <c r="FM44" s="147"/>
      <c r="FN44" s="148"/>
      <c r="FO44" s="149"/>
      <c r="FP44" s="148"/>
      <c r="FQ44" s="150"/>
      <c r="FR44" s="151"/>
      <c r="FS44" s="146"/>
      <c r="FT44" s="146"/>
      <c r="FU44" s="146"/>
      <c r="FV44" s="147"/>
      <c r="FW44" s="148"/>
      <c r="FX44" s="149"/>
      <c r="FY44" s="148"/>
      <c r="FZ44" s="150"/>
      <c r="GA44" s="151"/>
      <c r="GB44" s="146"/>
      <c r="GC44" s="146"/>
      <c r="GD44" s="146"/>
      <c r="GE44" s="147"/>
      <c r="GF44" s="148"/>
      <c r="GG44" s="149"/>
      <c r="GH44" s="148"/>
      <c r="GI44" s="150"/>
      <c r="GJ44" s="151"/>
      <c r="GK44" s="146"/>
      <c r="GL44" s="146"/>
      <c r="GM44" s="146"/>
      <c r="GN44" s="147"/>
      <c r="GO44" s="148"/>
      <c r="GP44" s="149"/>
      <c r="GQ44" s="148"/>
      <c r="GR44" s="150"/>
      <c r="GS44" s="151"/>
      <c r="GT44" s="152"/>
      <c r="GU44" s="98"/>
      <c r="GV44" s="620">
        <v>0</v>
      </c>
      <c r="GW44" s="621"/>
      <c r="GX44" s="132"/>
      <c r="GY44" s="482"/>
      <c r="GZ44" s="484">
        <v>0</v>
      </c>
    </row>
    <row r="45" spans="1:209" x14ac:dyDescent="0.25">
      <c r="A45"/>
      <c r="D45" s="35"/>
      <c r="E45" s="36"/>
      <c r="F45" s="37"/>
      <c r="G45" s="38"/>
      <c r="H45" s="39"/>
      <c r="I45" s="40"/>
      <c r="J45" s="436" t="s">
        <v>256</v>
      </c>
      <c r="K45" s="69" t="s">
        <v>259</v>
      </c>
      <c r="L45" s="70"/>
      <c r="M45" s="71">
        <v>42823</v>
      </c>
      <c r="N45" s="445" t="s">
        <v>280</v>
      </c>
      <c r="O45" s="72">
        <v>105</v>
      </c>
      <c r="P45" s="113">
        <f t="shared" si="3"/>
        <v>105</v>
      </c>
      <c r="Q45" s="117">
        <v>139</v>
      </c>
      <c r="R45" s="117" t="s">
        <v>249</v>
      </c>
      <c r="S45" s="117"/>
      <c r="T45" s="437">
        <f t="shared" si="4"/>
        <v>14595</v>
      </c>
      <c r="U45" s="115" t="s">
        <v>72</v>
      </c>
      <c r="V45" s="112">
        <v>42823</v>
      </c>
      <c r="W45" s="377"/>
      <c r="X45" s="146"/>
      <c r="Y45" s="147"/>
      <c r="Z45" s="148"/>
      <c r="AA45" s="149"/>
      <c r="AB45" s="148"/>
      <c r="AC45" s="150"/>
      <c r="AD45" s="151"/>
      <c r="AE45" s="146"/>
      <c r="AF45" s="146"/>
      <c r="AG45" s="146"/>
      <c r="AH45" s="147"/>
      <c r="AI45" s="148"/>
      <c r="AJ45" s="149"/>
      <c r="AK45" s="148"/>
      <c r="AL45" s="150"/>
      <c r="AM45" s="151"/>
      <c r="AN45" s="146"/>
      <c r="AO45" s="146"/>
      <c r="AP45" s="146"/>
      <c r="AQ45" s="147"/>
      <c r="AR45" s="148"/>
      <c r="AS45" s="149"/>
      <c r="AT45" s="148"/>
      <c r="AU45" s="150"/>
      <c r="AV45" s="151"/>
      <c r="AW45" s="146"/>
      <c r="AX45" s="146"/>
      <c r="AY45" s="146"/>
      <c r="AZ45" s="147"/>
      <c r="BA45" s="148"/>
      <c r="BB45" s="149"/>
      <c r="BC45" s="148"/>
      <c r="BD45" s="150"/>
      <c r="BE45" s="151"/>
      <c r="BF45" s="146"/>
      <c r="BG45" s="146"/>
      <c r="BH45" s="146"/>
      <c r="BI45" s="147"/>
      <c r="BJ45" s="148"/>
      <c r="BK45" s="149"/>
      <c r="BL45" s="148"/>
      <c r="BM45" s="150"/>
      <c r="BN45" s="151"/>
      <c r="BO45" s="146"/>
      <c r="BP45" s="146"/>
      <c r="BQ45" s="146"/>
      <c r="BR45" s="147"/>
      <c r="BS45" s="148"/>
      <c r="BT45" s="149"/>
      <c r="BU45" s="148"/>
      <c r="BV45" s="150"/>
      <c r="BW45" s="151"/>
      <c r="BX45" s="146"/>
      <c r="BY45" s="146"/>
      <c r="BZ45" s="146"/>
      <c r="CA45" s="147"/>
      <c r="CB45" s="148"/>
      <c r="CC45" s="149"/>
      <c r="CD45" s="148"/>
      <c r="CE45" s="150"/>
      <c r="CF45" s="151"/>
      <c r="CG45" s="146"/>
      <c r="CH45" s="146"/>
      <c r="CI45" s="146"/>
      <c r="CJ45" s="147"/>
      <c r="CK45" s="148"/>
      <c r="CL45" s="149"/>
      <c r="CM45" s="148"/>
      <c r="CN45" s="150"/>
      <c r="CO45" s="151"/>
      <c r="CP45" s="146"/>
      <c r="CQ45" s="146"/>
      <c r="CR45" s="146"/>
      <c r="CS45" s="147"/>
      <c r="CT45" s="148"/>
      <c r="CU45" s="149"/>
      <c r="CV45" s="148"/>
      <c r="CW45" s="150"/>
      <c r="CX45" s="151"/>
      <c r="CY45" s="146"/>
      <c r="CZ45" s="146"/>
      <c r="DA45" s="146"/>
      <c r="DB45" s="147"/>
      <c r="DC45" s="148"/>
      <c r="DD45" s="149"/>
      <c r="DE45" s="148"/>
      <c r="DF45" s="150"/>
      <c r="DG45" s="151"/>
      <c r="DH45" s="146"/>
      <c r="DI45" s="146"/>
      <c r="DJ45" s="146"/>
      <c r="DK45" s="147"/>
      <c r="DL45" s="148"/>
      <c r="DM45" s="149"/>
      <c r="DN45" s="148"/>
      <c r="DO45" s="150"/>
      <c r="DP45" s="151"/>
      <c r="DQ45" s="146"/>
      <c r="DR45" s="146"/>
      <c r="DS45" s="146"/>
      <c r="DT45" s="147"/>
      <c r="DU45" s="148"/>
      <c r="DV45" s="149"/>
      <c r="DW45" s="148"/>
      <c r="DX45" s="150"/>
      <c r="DY45" s="151"/>
      <c r="DZ45" s="146"/>
      <c r="EA45" s="146"/>
      <c r="EB45" s="146"/>
      <c r="EC45" s="147"/>
      <c r="ED45" s="148"/>
      <c r="EE45" s="149"/>
      <c r="EF45" s="148"/>
      <c r="EG45" s="150"/>
      <c r="EH45" s="151"/>
      <c r="EI45" s="146"/>
      <c r="EJ45" s="146"/>
      <c r="EK45" s="146"/>
      <c r="EL45" s="147"/>
      <c r="EM45" s="148"/>
      <c r="EN45" s="149"/>
      <c r="EO45" s="148"/>
      <c r="EP45" s="150"/>
      <c r="EQ45" s="151"/>
      <c r="ER45" s="146"/>
      <c r="ES45" s="146"/>
      <c r="ET45" s="146"/>
      <c r="EU45" s="147"/>
      <c r="EV45" s="148"/>
      <c r="EW45" s="149"/>
      <c r="EX45" s="148"/>
      <c r="EY45" s="150"/>
      <c r="EZ45" s="151"/>
      <c r="FA45" s="146"/>
      <c r="FB45" s="146"/>
      <c r="FC45" s="146"/>
      <c r="FD45" s="147"/>
      <c r="FE45" s="148"/>
      <c r="FF45" s="149"/>
      <c r="FG45" s="148"/>
      <c r="FH45" s="150"/>
      <c r="FI45" s="151"/>
      <c r="FJ45" s="146"/>
      <c r="FK45" s="146"/>
      <c r="FL45" s="146"/>
      <c r="FM45" s="147"/>
      <c r="FN45" s="148"/>
      <c r="FO45" s="149"/>
      <c r="FP45" s="148"/>
      <c r="FQ45" s="150"/>
      <c r="FR45" s="151"/>
      <c r="FS45" s="146"/>
      <c r="FT45" s="146"/>
      <c r="FU45" s="146"/>
      <c r="FV45" s="147"/>
      <c r="FW45" s="148"/>
      <c r="FX45" s="149"/>
      <c r="FY45" s="148"/>
      <c r="FZ45" s="150"/>
      <c r="GA45" s="151"/>
      <c r="GB45" s="146"/>
      <c r="GC45" s="146"/>
      <c r="GD45" s="146"/>
      <c r="GE45" s="147"/>
      <c r="GF45" s="148"/>
      <c r="GG45" s="149"/>
      <c r="GH45" s="148"/>
      <c r="GI45" s="150"/>
      <c r="GJ45" s="151"/>
      <c r="GK45" s="146"/>
      <c r="GL45" s="146"/>
      <c r="GM45" s="146"/>
      <c r="GN45" s="147"/>
      <c r="GO45" s="148"/>
      <c r="GP45" s="149"/>
      <c r="GQ45" s="148"/>
      <c r="GR45" s="150"/>
      <c r="GS45" s="151"/>
      <c r="GT45" s="152"/>
      <c r="GU45" s="98"/>
      <c r="GV45" s="620">
        <v>0</v>
      </c>
      <c r="GW45" s="621"/>
      <c r="GX45" s="132"/>
      <c r="GY45" s="482"/>
      <c r="GZ45" s="484">
        <v>0</v>
      </c>
    </row>
    <row r="46" spans="1:209" x14ac:dyDescent="0.25">
      <c r="A46"/>
      <c r="D46" s="35"/>
      <c r="E46" s="36"/>
      <c r="F46" s="37"/>
      <c r="G46" s="38"/>
      <c r="H46" s="39"/>
      <c r="I46" s="40"/>
      <c r="J46" s="436" t="s">
        <v>256</v>
      </c>
      <c r="K46" s="69" t="s">
        <v>260</v>
      </c>
      <c r="L46" s="70"/>
      <c r="M46" s="71">
        <v>42823</v>
      </c>
      <c r="N46" s="445" t="s">
        <v>280</v>
      </c>
      <c r="O46" s="72">
        <v>2007</v>
      </c>
      <c r="P46" s="113">
        <f t="shared" si="3"/>
        <v>2007</v>
      </c>
      <c r="Q46" s="117">
        <v>23</v>
      </c>
      <c r="R46" s="117" t="s">
        <v>249</v>
      </c>
      <c r="S46" s="117"/>
      <c r="T46" s="437">
        <f t="shared" si="4"/>
        <v>46161</v>
      </c>
      <c r="U46" s="115" t="s">
        <v>72</v>
      </c>
      <c r="V46" s="112">
        <v>42823</v>
      </c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152"/>
      <c r="GU46" s="98"/>
      <c r="GV46" s="620">
        <v>0</v>
      </c>
      <c r="GW46" s="621"/>
      <c r="GX46" s="132"/>
      <c r="GY46" s="482"/>
      <c r="GZ46" s="484">
        <v>0</v>
      </c>
    </row>
    <row r="47" spans="1:209" ht="26.25" x14ac:dyDescent="0.25">
      <c r="A47"/>
      <c r="D47" s="35"/>
      <c r="E47" s="36"/>
      <c r="F47" s="37"/>
      <c r="G47" s="38"/>
      <c r="H47" s="39"/>
      <c r="I47" s="40"/>
      <c r="J47" s="76" t="s">
        <v>367</v>
      </c>
      <c r="K47" s="69" t="s">
        <v>59</v>
      </c>
      <c r="L47" s="70">
        <v>18400</v>
      </c>
      <c r="M47" s="71">
        <v>42824</v>
      </c>
      <c r="N47" s="381" t="s">
        <v>366</v>
      </c>
      <c r="O47" s="72">
        <v>25185</v>
      </c>
      <c r="P47" s="113">
        <f t="shared" si="3"/>
        <v>6785</v>
      </c>
      <c r="Q47" s="117">
        <v>23.8</v>
      </c>
      <c r="R47" s="117"/>
      <c r="S47" s="117"/>
      <c r="T47" s="39">
        <f t="shared" si="4"/>
        <v>599403</v>
      </c>
      <c r="U47" s="363" t="s">
        <v>72</v>
      </c>
      <c r="V47" s="353">
        <v>42853</v>
      </c>
      <c r="W47" s="368">
        <v>17342</v>
      </c>
      <c r="X47" s="355"/>
      <c r="Y47" s="356"/>
      <c r="Z47" s="357"/>
      <c r="AA47" s="358"/>
      <c r="AB47" s="357"/>
      <c r="AC47" s="359"/>
      <c r="AD47" s="360"/>
      <c r="AE47" s="355"/>
      <c r="AF47" s="355"/>
      <c r="AG47" s="355"/>
      <c r="AH47" s="356"/>
      <c r="AI47" s="357"/>
      <c r="AJ47" s="358"/>
      <c r="AK47" s="357"/>
      <c r="AL47" s="359"/>
      <c r="AM47" s="360"/>
      <c r="AN47" s="355"/>
      <c r="AO47" s="355"/>
      <c r="AP47" s="355"/>
      <c r="AQ47" s="356"/>
      <c r="AR47" s="357"/>
      <c r="AS47" s="358"/>
      <c r="AT47" s="357"/>
      <c r="AU47" s="359"/>
      <c r="AV47" s="360"/>
      <c r="AW47" s="355"/>
      <c r="AX47" s="355"/>
      <c r="AY47" s="355"/>
      <c r="AZ47" s="356"/>
      <c r="BA47" s="357"/>
      <c r="BB47" s="358"/>
      <c r="BC47" s="357"/>
      <c r="BD47" s="359"/>
      <c r="BE47" s="360"/>
      <c r="BF47" s="355"/>
      <c r="BG47" s="355"/>
      <c r="BH47" s="355"/>
      <c r="BI47" s="356"/>
      <c r="BJ47" s="357"/>
      <c r="BK47" s="358"/>
      <c r="BL47" s="357"/>
      <c r="BM47" s="359"/>
      <c r="BN47" s="360"/>
      <c r="BO47" s="355"/>
      <c r="BP47" s="355"/>
      <c r="BQ47" s="355"/>
      <c r="BR47" s="356"/>
      <c r="BS47" s="357"/>
      <c r="BT47" s="358"/>
      <c r="BU47" s="357"/>
      <c r="BV47" s="359"/>
      <c r="BW47" s="360"/>
      <c r="BX47" s="355"/>
      <c r="BY47" s="355"/>
      <c r="BZ47" s="355"/>
      <c r="CA47" s="356"/>
      <c r="CB47" s="357"/>
      <c r="CC47" s="358"/>
      <c r="CD47" s="357"/>
      <c r="CE47" s="359"/>
      <c r="CF47" s="360"/>
      <c r="CG47" s="355"/>
      <c r="CH47" s="355"/>
      <c r="CI47" s="355"/>
      <c r="CJ47" s="356"/>
      <c r="CK47" s="357"/>
      <c r="CL47" s="358"/>
      <c r="CM47" s="357"/>
      <c r="CN47" s="359"/>
      <c r="CO47" s="360"/>
      <c r="CP47" s="355"/>
      <c r="CQ47" s="355"/>
      <c r="CR47" s="355"/>
      <c r="CS47" s="356"/>
      <c r="CT47" s="357"/>
      <c r="CU47" s="358"/>
      <c r="CV47" s="357"/>
      <c r="CW47" s="359"/>
      <c r="CX47" s="360"/>
      <c r="CY47" s="355"/>
      <c r="CZ47" s="355"/>
      <c r="DA47" s="355"/>
      <c r="DB47" s="356"/>
      <c r="DC47" s="357"/>
      <c r="DD47" s="358"/>
      <c r="DE47" s="357"/>
      <c r="DF47" s="359"/>
      <c r="DG47" s="360"/>
      <c r="DH47" s="355"/>
      <c r="DI47" s="355"/>
      <c r="DJ47" s="355"/>
      <c r="DK47" s="356"/>
      <c r="DL47" s="357"/>
      <c r="DM47" s="358"/>
      <c r="DN47" s="357"/>
      <c r="DO47" s="359"/>
      <c r="DP47" s="360"/>
      <c r="DQ47" s="355"/>
      <c r="DR47" s="355"/>
      <c r="DS47" s="355"/>
      <c r="DT47" s="356"/>
      <c r="DU47" s="357"/>
      <c r="DV47" s="358"/>
      <c r="DW47" s="357"/>
      <c r="DX47" s="359"/>
      <c r="DY47" s="360"/>
      <c r="DZ47" s="355"/>
      <c r="EA47" s="355"/>
      <c r="EB47" s="355"/>
      <c r="EC47" s="356"/>
      <c r="ED47" s="357"/>
      <c r="EE47" s="358"/>
      <c r="EF47" s="357"/>
      <c r="EG47" s="359"/>
      <c r="EH47" s="360"/>
      <c r="EI47" s="355"/>
      <c r="EJ47" s="355"/>
      <c r="EK47" s="355"/>
      <c r="EL47" s="356"/>
      <c r="EM47" s="357"/>
      <c r="EN47" s="358"/>
      <c r="EO47" s="357"/>
      <c r="EP47" s="359"/>
      <c r="EQ47" s="360"/>
      <c r="ER47" s="355"/>
      <c r="ES47" s="355"/>
      <c r="ET47" s="355"/>
      <c r="EU47" s="356"/>
      <c r="EV47" s="357"/>
      <c r="EW47" s="358"/>
      <c r="EX47" s="357"/>
      <c r="EY47" s="359"/>
      <c r="EZ47" s="360"/>
      <c r="FA47" s="355"/>
      <c r="FB47" s="355"/>
      <c r="FC47" s="355"/>
      <c r="FD47" s="356"/>
      <c r="FE47" s="357"/>
      <c r="FF47" s="358"/>
      <c r="FG47" s="357"/>
      <c r="FH47" s="359"/>
      <c r="FI47" s="360"/>
      <c r="FJ47" s="355"/>
      <c r="FK47" s="355"/>
      <c r="FL47" s="355"/>
      <c r="FM47" s="356"/>
      <c r="FN47" s="357"/>
      <c r="FO47" s="358"/>
      <c r="FP47" s="357"/>
      <c r="FQ47" s="359"/>
      <c r="FR47" s="360"/>
      <c r="FS47" s="355"/>
      <c r="FT47" s="355"/>
      <c r="FU47" s="355"/>
      <c r="FV47" s="356"/>
      <c r="FW47" s="357"/>
      <c r="FX47" s="358"/>
      <c r="FY47" s="357"/>
      <c r="FZ47" s="359"/>
      <c r="GA47" s="360"/>
      <c r="GB47" s="355"/>
      <c r="GC47" s="355"/>
      <c r="GD47" s="355"/>
      <c r="GE47" s="356"/>
      <c r="GF47" s="357"/>
      <c r="GG47" s="358"/>
      <c r="GH47" s="357"/>
      <c r="GI47" s="359"/>
      <c r="GJ47" s="360"/>
      <c r="GK47" s="355"/>
      <c r="GL47" s="355"/>
      <c r="GM47" s="355"/>
      <c r="GN47" s="356"/>
      <c r="GO47" s="357"/>
      <c r="GP47" s="358"/>
      <c r="GQ47" s="357"/>
      <c r="GR47" s="359"/>
      <c r="GS47" s="360"/>
      <c r="GT47" s="370">
        <v>42853</v>
      </c>
      <c r="GU47" s="98"/>
      <c r="GV47" s="130"/>
      <c r="GW47" s="74"/>
      <c r="GX47" s="74"/>
      <c r="GY47" s="482">
        <v>42851</v>
      </c>
      <c r="GZ47" s="483">
        <v>3480</v>
      </c>
      <c r="HA47" t="s">
        <v>361</v>
      </c>
    </row>
    <row r="48" spans="1:209" ht="18.75" x14ac:dyDescent="0.3">
      <c r="A48"/>
      <c r="D48" s="35"/>
      <c r="E48" s="36"/>
      <c r="F48" s="37"/>
      <c r="G48" s="38"/>
      <c r="H48" s="39"/>
      <c r="I48" s="40"/>
      <c r="J48" s="76" t="s">
        <v>355</v>
      </c>
      <c r="K48" s="123" t="s">
        <v>46</v>
      </c>
      <c r="L48" s="70">
        <v>10780</v>
      </c>
      <c r="M48" s="71">
        <v>42824</v>
      </c>
      <c r="N48" s="380" t="s">
        <v>354</v>
      </c>
      <c r="O48" s="72">
        <v>11965</v>
      </c>
      <c r="P48" s="113">
        <f t="shared" si="3"/>
        <v>1185</v>
      </c>
      <c r="Q48" s="117">
        <v>23.8</v>
      </c>
      <c r="R48" s="117"/>
      <c r="S48" s="117"/>
      <c r="T48" s="39">
        <f t="shared" si="4"/>
        <v>284767</v>
      </c>
      <c r="U48" s="363" t="s">
        <v>72</v>
      </c>
      <c r="V48" s="353">
        <v>42850</v>
      </c>
      <c r="W48" s="368">
        <v>7540</v>
      </c>
      <c r="X48" s="355"/>
      <c r="Y48" s="356"/>
      <c r="Z48" s="357"/>
      <c r="AA48" s="358"/>
      <c r="AB48" s="357"/>
      <c r="AC48" s="359"/>
      <c r="AD48" s="360"/>
      <c r="AE48" s="355"/>
      <c r="AF48" s="355"/>
      <c r="AG48" s="355"/>
      <c r="AH48" s="356"/>
      <c r="AI48" s="357"/>
      <c r="AJ48" s="358"/>
      <c r="AK48" s="357"/>
      <c r="AL48" s="359"/>
      <c r="AM48" s="360"/>
      <c r="AN48" s="355"/>
      <c r="AO48" s="355"/>
      <c r="AP48" s="355"/>
      <c r="AQ48" s="356"/>
      <c r="AR48" s="357"/>
      <c r="AS48" s="358"/>
      <c r="AT48" s="357"/>
      <c r="AU48" s="359"/>
      <c r="AV48" s="360"/>
      <c r="AW48" s="355"/>
      <c r="AX48" s="355"/>
      <c r="AY48" s="355"/>
      <c r="AZ48" s="356"/>
      <c r="BA48" s="357"/>
      <c r="BB48" s="358"/>
      <c r="BC48" s="357"/>
      <c r="BD48" s="359"/>
      <c r="BE48" s="360"/>
      <c r="BF48" s="355"/>
      <c r="BG48" s="355"/>
      <c r="BH48" s="355"/>
      <c r="BI48" s="356"/>
      <c r="BJ48" s="357"/>
      <c r="BK48" s="358"/>
      <c r="BL48" s="357"/>
      <c r="BM48" s="359"/>
      <c r="BN48" s="360"/>
      <c r="BO48" s="355"/>
      <c r="BP48" s="355"/>
      <c r="BQ48" s="355"/>
      <c r="BR48" s="356"/>
      <c r="BS48" s="357"/>
      <c r="BT48" s="358"/>
      <c r="BU48" s="357"/>
      <c r="BV48" s="359"/>
      <c r="BW48" s="360"/>
      <c r="BX48" s="355"/>
      <c r="BY48" s="355"/>
      <c r="BZ48" s="355"/>
      <c r="CA48" s="356"/>
      <c r="CB48" s="357"/>
      <c r="CC48" s="358"/>
      <c r="CD48" s="357"/>
      <c r="CE48" s="359"/>
      <c r="CF48" s="360"/>
      <c r="CG48" s="355"/>
      <c r="CH48" s="355"/>
      <c r="CI48" s="355"/>
      <c r="CJ48" s="356"/>
      <c r="CK48" s="357"/>
      <c r="CL48" s="358"/>
      <c r="CM48" s="357"/>
      <c r="CN48" s="359"/>
      <c r="CO48" s="360"/>
      <c r="CP48" s="355"/>
      <c r="CQ48" s="355"/>
      <c r="CR48" s="355"/>
      <c r="CS48" s="356"/>
      <c r="CT48" s="357"/>
      <c r="CU48" s="358"/>
      <c r="CV48" s="357"/>
      <c r="CW48" s="359"/>
      <c r="CX48" s="360"/>
      <c r="CY48" s="355"/>
      <c r="CZ48" s="355"/>
      <c r="DA48" s="355"/>
      <c r="DB48" s="356"/>
      <c r="DC48" s="357"/>
      <c r="DD48" s="358"/>
      <c r="DE48" s="357"/>
      <c r="DF48" s="359"/>
      <c r="DG48" s="360"/>
      <c r="DH48" s="355"/>
      <c r="DI48" s="355"/>
      <c r="DJ48" s="355"/>
      <c r="DK48" s="356"/>
      <c r="DL48" s="357"/>
      <c r="DM48" s="358"/>
      <c r="DN48" s="357"/>
      <c r="DO48" s="359"/>
      <c r="DP48" s="360"/>
      <c r="DQ48" s="355"/>
      <c r="DR48" s="355"/>
      <c r="DS48" s="355"/>
      <c r="DT48" s="356"/>
      <c r="DU48" s="357"/>
      <c r="DV48" s="358"/>
      <c r="DW48" s="357"/>
      <c r="DX48" s="359"/>
      <c r="DY48" s="360"/>
      <c r="DZ48" s="355"/>
      <c r="EA48" s="355"/>
      <c r="EB48" s="355"/>
      <c r="EC48" s="356"/>
      <c r="ED48" s="357"/>
      <c r="EE48" s="358"/>
      <c r="EF48" s="357"/>
      <c r="EG48" s="359"/>
      <c r="EH48" s="360"/>
      <c r="EI48" s="355"/>
      <c r="EJ48" s="355"/>
      <c r="EK48" s="355"/>
      <c r="EL48" s="356"/>
      <c r="EM48" s="357"/>
      <c r="EN48" s="358"/>
      <c r="EO48" s="357"/>
      <c r="EP48" s="359"/>
      <c r="EQ48" s="360"/>
      <c r="ER48" s="355"/>
      <c r="ES48" s="355"/>
      <c r="ET48" s="355"/>
      <c r="EU48" s="356"/>
      <c r="EV48" s="357"/>
      <c r="EW48" s="358"/>
      <c r="EX48" s="357"/>
      <c r="EY48" s="359"/>
      <c r="EZ48" s="360"/>
      <c r="FA48" s="355"/>
      <c r="FB48" s="355"/>
      <c r="FC48" s="355"/>
      <c r="FD48" s="356"/>
      <c r="FE48" s="357"/>
      <c r="FF48" s="358"/>
      <c r="FG48" s="357"/>
      <c r="FH48" s="359"/>
      <c r="FI48" s="360"/>
      <c r="FJ48" s="355"/>
      <c r="FK48" s="355"/>
      <c r="FL48" s="355"/>
      <c r="FM48" s="356"/>
      <c r="FN48" s="357"/>
      <c r="FO48" s="358"/>
      <c r="FP48" s="357"/>
      <c r="FQ48" s="359"/>
      <c r="FR48" s="360"/>
      <c r="FS48" s="355"/>
      <c r="FT48" s="355"/>
      <c r="FU48" s="355"/>
      <c r="FV48" s="356"/>
      <c r="FW48" s="357"/>
      <c r="FX48" s="358"/>
      <c r="FY48" s="357"/>
      <c r="FZ48" s="359"/>
      <c r="GA48" s="360"/>
      <c r="GB48" s="355"/>
      <c r="GC48" s="355"/>
      <c r="GD48" s="355"/>
      <c r="GE48" s="356"/>
      <c r="GF48" s="357"/>
      <c r="GG48" s="358"/>
      <c r="GH48" s="357"/>
      <c r="GI48" s="359"/>
      <c r="GJ48" s="360"/>
      <c r="GK48" s="355"/>
      <c r="GL48" s="355"/>
      <c r="GM48" s="355"/>
      <c r="GN48" s="356"/>
      <c r="GO48" s="357"/>
      <c r="GP48" s="358"/>
      <c r="GQ48" s="357"/>
      <c r="GR48" s="359"/>
      <c r="GS48" s="360"/>
      <c r="GT48" s="370">
        <v>42850</v>
      </c>
      <c r="GU48" s="98"/>
      <c r="GV48" s="133">
        <v>17584</v>
      </c>
      <c r="GW48" s="134" t="s">
        <v>297</v>
      </c>
      <c r="GX48" s="134"/>
      <c r="GY48" s="482">
        <v>42851</v>
      </c>
      <c r="GZ48" s="483">
        <v>2088</v>
      </c>
    </row>
    <row r="49" spans="1:208" x14ac:dyDescent="0.25">
      <c r="A49"/>
      <c r="D49" s="35"/>
      <c r="E49" s="36"/>
      <c r="F49" s="37"/>
      <c r="G49" s="38"/>
      <c r="H49" s="39"/>
      <c r="I49" s="40"/>
      <c r="J49" s="68" t="s">
        <v>369</v>
      </c>
      <c r="K49" s="69" t="s">
        <v>370</v>
      </c>
      <c r="L49" s="70">
        <v>23290</v>
      </c>
      <c r="M49" s="71">
        <v>42825</v>
      </c>
      <c r="N49" s="380" t="s">
        <v>368</v>
      </c>
      <c r="O49" s="72">
        <v>28690</v>
      </c>
      <c r="P49" s="113">
        <f t="shared" si="3"/>
        <v>5400</v>
      </c>
      <c r="Q49" s="117">
        <v>23.8</v>
      </c>
      <c r="R49" s="117"/>
      <c r="S49" s="117"/>
      <c r="T49" s="39">
        <f t="shared" si="4"/>
        <v>682822</v>
      </c>
      <c r="U49" s="363" t="s">
        <v>72</v>
      </c>
      <c r="V49" s="353">
        <v>42853</v>
      </c>
      <c r="W49" s="368"/>
      <c r="X49" s="355"/>
      <c r="Y49" s="356"/>
      <c r="Z49" s="357"/>
      <c r="AA49" s="358"/>
      <c r="AB49" s="357"/>
      <c r="AC49" s="359"/>
      <c r="AD49" s="360"/>
      <c r="AE49" s="355"/>
      <c r="AF49" s="355"/>
      <c r="AG49" s="355"/>
      <c r="AH49" s="356"/>
      <c r="AI49" s="357"/>
      <c r="AJ49" s="358"/>
      <c r="AK49" s="357"/>
      <c r="AL49" s="359"/>
      <c r="AM49" s="360"/>
      <c r="AN49" s="355"/>
      <c r="AO49" s="355"/>
      <c r="AP49" s="355"/>
      <c r="AQ49" s="356"/>
      <c r="AR49" s="357"/>
      <c r="AS49" s="358"/>
      <c r="AT49" s="357"/>
      <c r="AU49" s="359"/>
      <c r="AV49" s="360"/>
      <c r="AW49" s="355"/>
      <c r="AX49" s="355"/>
      <c r="AY49" s="355"/>
      <c r="AZ49" s="356"/>
      <c r="BA49" s="357"/>
      <c r="BB49" s="358"/>
      <c r="BC49" s="357"/>
      <c r="BD49" s="359"/>
      <c r="BE49" s="360"/>
      <c r="BF49" s="355"/>
      <c r="BG49" s="355"/>
      <c r="BH49" s="355"/>
      <c r="BI49" s="356"/>
      <c r="BJ49" s="357"/>
      <c r="BK49" s="358"/>
      <c r="BL49" s="357"/>
      <c r="BM49" s="359"/>
      <c r="BN49" s="360"/>
      <c r="BO49" s="355"/>
      <c r="BP49" s="355"/>
      <c r="BQ49" s="355"/>
      <c r="BR49" s="356"/>
      <c r="BS49" s="357"/>
      <c r="BT49" s="358"/>
      <c r="BU49" s="357"/>
      <c r="BV49" s="359"/>
      <c r="BW49" s="360"/>
      <c r="BX49" s="355"/>
      <c r="BY49" s="355"/>
      <c r="BZ49" s="355"/>
      <c r="CA49" s="356"/>
      <c r="CB49" s="357"/>
      <c r="CC49" s="358"/>
      <c r="CD49" s="357"/>
      <c r="CE49" s="359"/>
      <c r="CF49" s="360"/>
      <c r="CG49" s="355"/>
      <c r="CH49" s="355"/>
      <c r="CI49" s="355"/>
      <c r="CJ49" s="356"/>
      <c r="CK49" s="357"/>
      <c r="CL49" s="358"/>
      <c r="CM49" s="357"/>
      <c r="CN49" s="359"/>
      <c r="CO49" s="360"/>
      <c r="CP49" s="355"/>
      <c r="CQ49" s="355"/>
      <c r="CR49" s="355"/>
      <c r="CS49" s="356"/>
      <c r="CT49" s="357"/>
      <c r="CU49" s="358"/>
      <c r="CV49" s="357"/>
      <c r="CW49" s="359"/>
      <c r="CX49" s="360"/>
      <c r="CY49" s="355"/>
      <c r="CZ49" s="355"/>
      <c r="DA49" s="355"/>
      <c r="DB49" s="356"/>
      <c r="DC49" s="357"/>
      <c r="DD49" s="358"/>
      <c r="DE49" s="357"/>
      <c r="DF49" s="359"/>
      <c r="DG49" s="360"/>
      <c r="DH49" s="355"/>
      <c r="DI49" s="355"/>
      <c r="DJ49" s="355"/>
      <c r="DK49" s="356"/>
      <c r="DL49" s="357"/>
      <c r="DM49" s="358"/>
      <c r="DN49" s="357"/>
      <c r="DO49" s="359"/>
      <c r="DP49" s="360"/>
      <c r="DQ49" s="355"/>
      <c r="DR49" s="355"/>
      <c r="DS49" s="355"/>
      <c r="DT49" s="356"/>
      <c r="DU49" s="357"/>
      <c r="DV49" s="358"/>
      <c r="DW49" s="357"/>
      <c r="DX49" s="359"/>
      <c r="DY49" s="360"/>
      <c r="DZ49" s="355"/>
      <c r="EA49" s="355"/>
      <c r="EB49" s="355"/>
      <c r="EC49" s="356"/>
      <c r="ED49" s="357"/>
      <c r="EE49" s="358"/>
      <c r="EF49" s="357"/>
      <c r="EG49" s="359"/>
      <c r="EH49" s="360"/>
      <c r="EI49" s="355"/>
      <c r="EJ49" s="355"/>
      <c r="EK49" s="355"/>
      <c r="EL49" s="356"/>
      <c r="EM49" s="357"/>
      <c r="EN49" s="358"/>
      <c r="EO49" s="357"/>
      <c r="EP49" s="359"/>
      <c r="EQ49" s="360"/>
      <c r="ER49" s="355"/>
      <c r="ES49" s="355"/>
      <c r="ET49" s="355"/>
      <c r="EU49" s="356"/>
      <c r="EV49" s="357"/>
      <c r="EW49" s="358"/>
      <c r="EX49" s="357"/>
      <c r="EY49" s="359"/>
      <c r="EZ49" s="360"/>
      <c r="FA49" s="355"/>
      <c r="FB49" s="355"/>
      <c r="FC49" s="355"/>
      <c r="FD49" s="356"/>
      <c r="FE49" s="357"/>
      <c r="FF49" s="358"/>
      <c r="FG49" s="357"/>
      <c r="FH49" s="359"/>
      <c r="FI49" s="360"/>
      <c r="FJ49" s="355"/>
      <c r="FK49" s="355"/>
      <c r="FL49" s="355"/>
      <c r="FM49" s="356"/>
      <c r="FN49" s="357"/>
      <c r="FO49" s="358"/>
      <c r="FP49" s="357"/>
      <c r="FQ49" s="359"/>
      <c r="FR49" s="360"/>
      <c r="FS49" s="355"/>
      <c r="FT49" s="355"/>
      <c r="FU49" s="355"/>
      <c r="FV49" s="356"/>
      <c r="FW49" s="357"/>
      <c r="FX49" s="358"/>
      <c r="FY49" s="357"/>
      <c r="FZ49" s="359"/>
      <c r="GA49" s="360"/>
      <c r="GB49" s="355"/>
      <c r="GC49" s="355"/>
      <c r="GD49" s="355"/>
      <c r="GE49" s="356"/>
      <c r="GF49" s="357"/>
      <c r="GG49" s="358"/>
      <c r="GH49" s="357"/>
      <c r="GI49" s="359"/>
      <c r="GJ49" s="360"/>
      <c r="GK49" s="355"/>
      <c r="GL49" s="355"/>
      <c r="GM49" s="355"/>
      <c r="GN49" s="356"/>
      <c r="GO49" s="357"/>
      <c r="GP49" s="358"/>
      <c r="GQ49" s="357"/>
      <c r="GR49" s="359"/>
      <c r="GS49" s="360"/>
      <c r="GT49" s="370"/>
      <c r="GU49" s="98"/>
      <c r="GV49" s="133">
        <v>22176</v>
      </c>
      <c r="GW49" s="134" t="s">
        <v>299</v>
      </c>
      <c r="GX49" s="134"/>
      <c r="GY49" s="482">
        <v>42851</v>
      </c>
      <c r="GZ49" s="483">
        <v>3480</v>
      </c>
    </row>
    <row r="50" spans="1:208" x14ac:dyDescent="0.25">
      <c r="A50"/>
      <c r="D50" s="35"/>
      <c r="E50" s="36"/>
      <c r="F50" s="37"/>
      <c r="G50" s="38"/>
      <c r="H50" s="39"/>
      <c r="I50" s="40"/>
      <c r="J50" s="68" t="s">
        <v>371</v>
      </c>
      <c r="K50" s="69" t="s">
        <v>255</v>
      </c>
      <c r="L50" s="70">
        <v>11630</v>
      </c>
      <c r="M50" s="71">
        <v>42825</v>
      </c>
      <c r="N50" s="506" t="s">
        <v>376</v>
      </c>
      <c r="O50" s="72">
        <v>14980</v>
      </c>
      <c r="P50" s="113">
        <f t="shared" si="3"/>
        <v>3350</v>
      </c>
      <c r="Q50" s="117">
        <v>23.8</v>
      </c>
      <c r="R50" s="117"/>
      <c r="S50" s="117"/>
      <c r="T50" s="39">
        <f t="shared" ref="T50" si="5">Q50*O50</f>
        <v>356524</v>
      </c>
      <c r="U50" s="496" t="s">
        <v>72</v>
      </c>
      <c r="V50" s="497">
        <v>42857</v>
      </c>
      <c r="W50" s="498">
        <v>9726.6</v>
      </c>
      <c r="X50" s="499"/>
      <c r="Y50" s="500"/>
      <c r="Z50" s="501"/>
      <c r="AA50" s="502"/>
      <c r="AB50" s="501"/>
      <c r="AC50" s="503"/>
      <c r="AD50" s="504"/>
      <c r="AE50" s="499"/>
      <c r="AF50" s="499"/>
      <c r="AG50" s="499"/>
      <c r="AH50" s="500"/>
      <c r="AI50" s="501"/>
      <c r="AJ50" s="502"/>
      <c r="AK50" s="501"/>
      <c r="AL50" s="503"/>
      <c r="AM50" s="504"/>
      <c r="AN50" s="499"/>
      <c r="AO50" s="499"/>
      <c r="AP50" s="499"/>
      <c r="AQ50" s="500"/>
      <c r="AR50" s="501"/>
      <c r="AS50" s="502"/>
      <c r="AT50" s="501"/>
      <c r="AU50" s="503"/>
      <c r="AV50" s="504"/>
      <c r="AW50" s="499"/>
      <c r="AX50" s="499"/>
      <c r="AY50" s="499"/>
      <c r="AZ50" s="500"/>
      <c r="BA50" s="501"/>
      <c r="BB50" s="502"/>
      <c r="BC50" s="501"/>
      <c r="BD50" s="503"/>
      <c r="BE50" s="504"/>
      <c r="BF50" s="499"/>
      <c r="BG50" s="499"/>
      <c r="BH50" s="499"/>
      <c r="BI50" s="500"/>
      <c r="BJ50" s="501"/>
      <c r="BK50" s="502"/>
      <c r="BL50" s="501"/>
      <c r="BM50" s="503"/>
      <c r="BN50" s="504"/>
      <c r="BO50" s="499"/>
      <c r="BP50" s="499"/>
      <c r="BQ50" s="499"/>
      <c r="BR50" s="500"/>
      <c r="BS50" s="501"/>
      <c r="BT50" s="502"/>
      <c r="BU50" s="501"/>
      <c r="BV50" s="503"/>
      <c r="BW50" s="504"/>
      <c r="BX50" s="499"/>
      <c r="BY50" s="499"/>
      <c r="BZ50" s="499"/>
      <c r="CA50" s="500"/>
      <c r="CB50" s="501"/>
      <c r="CC50" s="502"/>
      <c r="CD50" s="501"/>
      <c r="CE50" s="503"/>
      <c r="CF50" s="504"/>
      <c r="CG50" s="499"/>
      <c r="CH50" s="499"/>
      <c r="CI50" s="499"/>
      <c r="CJ50" s="500"/>
      <c r="CK50" s="501"/>
      <c r="CL50" s="502"/>
      <c r="CM50" s="501"/>
      <c r="CN50" s="503"/>
      <c r="CO50" s="504"/>
      <c r="CP50" s="499"/>
      <c r="CQ50" s="499"/>
      <c r="CR50" s="499"/>
      <c r="CS50" s="500"/>
      <c r="CT50" s="501"/>
      <c r="CU50" s="502"/>
      <c r="CV50" s="501"/>
      <c r="CW50" s="503"/>
      <c r="CX50" s="504"/>
      <c r="CY50" s="499"/>
      <c r="CZ50" s="499"/>
      <c r="DA50" s="499"/>
      <c r="DB50" s="500"/>
      <c r="DC50" s="501"/>
      <c r="DD50" s="502"/>
      <c r="DE50" s="501"/>
      <c r="DF50" s="503"/>
      <c r="DG50" s="504"/>
      <c r="DH50" s="499"/>
      <c r="DI50" s="499"/>
      <c r="DJ50" s="499"/>
      <c r="DK50" s="500"/>
      <c r="DL50" s="501"/>
      <c r="DM50" s="502"/>
      <c r="DN50" s="501"/>
      <c r="DO50" s="503"/>
      <c r="DP50" s="504"/>
      <c r="DQ50" s="499"/>
      <c r="DR50" s="499"/>
      <c r="DS50" s="499"/>
      <c r="DT50" s="500"/>
      <c r="DU50" s="501"/>
      <c r="DV50" s="502"/>
      <c r="DW50" s="501"/>
      <c r="DX50" s="503"/>
      <c r="DY50" s="504"/>
      <c r="DZ50" s="499"/>
      <c r="EA50" s="499"/>
      <c r="EB50" s="499"/>
      <c r="EC50" s="500"/>
      <c r="ED50" s="501"/>
      <c r="EE50" s="502"/>
      <c r="EF50" s="501"/>
      <c r="EG50" s="503"/>
      <c r="EH50" s="504"/>
      <c r="EI50" s="499"/>
      <c r="EJ50" s="499"/>
      <c r="EK50" s="499"/>
      <c r="EL50" s="500"/>
      <c r="EM50" s="501"/>
      <c r="EN50" s="502"/>
      <c r="EO50" s="501"/>
      <c r="EP50" s="503"/>
      <c r="EQ50" s="504"/>
      <c r="ER50" s="499"/>
      <c r="ES50" s="499"/>
      <c r="ET50" s="499"/>
      <c r="EU50" s="500"/>
      <c r="EV50" s="501"/>
      <c r="EW50" s="502"/>
      <c r="EX50" s="501"/>
      <c r="EY50" s="503"/>
      <c r="EZ50" s="504"/>
      <c r="FA50" s="499"/>
      <c r="FB50" s="499"/>
      <c r="FC50" s="499"/>
      <c r="FD50" s="500"/>
      <c r="FE50" s="501"/>
      <c r="FF50" s="502"/>
      <c r="FG50" s="501"/>
      <c r="FH50" s="503"/>
      <c r="FI50" s="504"/>
      <c r="FJ50" s="499"/>
      <c r="FK50" s="499"/>
      <c r="FL50" s="499"/>
      <c r="FM50" s="500"/>
      <c r="FN50" s="501"/>
      <c r="FO50" s="502"/>
      <c r="FP50" s="501"/>
      <c r="FQ50" s="503"/>
      <c r="FR50" s="504"/>
      <c r="FS50" s="499"/>
      <c r="FT50" s="499"/>
      <c r="FU50" s="499"/>
      <c r="FV50" s="500"/>
      <c r="FW50" s="501"/>
      <c r="FX50" s="502"/>
      <c r="FY50" s="501"/>
      <c r="FZ50" s="503"/>
      <c r="GA50" s="504"/>
      <c r="GB50" s="499"/>
      <c r="GC50" s="499"/>
      <c r="GD50" s="499"/>
      <c r="GE50" s="500"/>
      <c r="GF50" s="501"/>
      <c r="GG50" s="502"/>
      <c r="GH50" s="501"/>
      <c r="GI50" s="503"/>
      <c r="GJ50" s="504"/>
      <c r="GK50" s="499"/>
      <c r="GL50" s="499"/>
      <c r="GM50" s="499"/>
      <c r="GN50" s="500"/>
      <c r="GO50" s="501"/>
      <c r="GP50" s="502"/>
      <c r="GQ50" s="501"/>
      <c r="GR50" s="503"/>
      <c r="GS50" s="504"/>
      <c r="GT50" s="505">
        <v>42857</v>
      </c>
      <c r="GU50" s="98"/>
      <c r="GV50" s="135">
        <v>17584</v>
      </c>
      <c r="GW50" s="134" t="s">
        <v>298</v>
      </c>
      <c r="GX50" s="136"/>
      <c r="GY50" s="482">
        <v>42851</v>
      </c>
      <c r="GZ50" s="483">
        <v>2088</v>
      </c>
    </row>
    <row r="51" spans="1:208" x14ac:dyDescent="0.25">
      <c r="A51"/>
      <c r="D51" s="35"/>
      <c r="E51" s="36"/>
      <c r="F51" s="37"/>
      <c r="G51" s="38"/>
      <c r="H51" s="39"/>
      <c r="I51" s="40"/>
      <c r="J51" s="68"/>
      <c r="K51" s="69"/>
      <c r="L51" s="70"/>
      <c r="M51" s="71"/>
      <c r="N51" s="56"/>
      <c r="O51" s="72"/>
      <c r="P51" s="113">
        <f t="shared" si="3"/>
        <v>0</v>
      </c>
      <c r="Q51" s="64"/>
      <c r="R51" s="117"/>
      <c r="S51" s="117"/>
      <c r="T51" s="39">
        <f>Q51*O51</f>
        <v>0</v>
      </c>
      <c r="U51" s="115"/>
      <c r="V51" s="83"/>
      <c r="W51" s="118"/>
      <c r="X51" s="17"/>
      <c r="Y51" s="20"/>
      <c r="Z51" s="92"/>
      <c r="AA51" s="93"/>
      <c r="AB51" s="92"/>
      <c r="AC51" s="94"/>
      <c r="AD51" s="95"/>
      <c r="AE51" s="17"/>
      <c r="AF51" s="17"/>
      <c r="AG51" s="17"/>
      <c r="AH51" s="20"/>
      <c r="AI51" s="92"/>
      <c r="AJ51" s="93"/>
      <c r="AK51" s="92"/>
      <c r="AL51" s="94"/>
      <c r="AM51" s="95"/>
      <c r="AN51" s="17"/>
      <c r="AO51" s="17"/>
      <c r="AP51" s="17"/>
      <c r="AQ51" s="20"/>
      <c r="AR51" s="92"/>
      <c r="AS51" s="93"/>
      <c r="AT51" s="92"/>
      <c r="AU51" s="94"/>
      <c r="AV51" s="95"/>
      <c r="AW51" s="17"/>
      <c r="AX51" s="17"/>
      <c r="AY51" s="17"/>
      <c r="AZ51" s="20"/>
      <c r="BA51" s="92"/>
      <c r="BB51" s="93"/>
      <c r="BC51" s="92"/>
      <c r="BD51" s="94"/>
      <c r="BE51" s="95"/>
      <c r="BF51" s="17"/>
      <c r="BG51" s="17"/>
      <c r="BH51" s="17"/>
      <c r="BI51" s="20"/>
      <c r="BJ51" s="92"/>
      <c r="BK51" s="93"/>
      <c r="BL51" s="92"/>
      <c r="BM51" s="94"/>
      <c r="BN51" s="95"/>
      <c r="BO51" s="17"/>
      <c r="BP51" s="17"/>
      <c r="BQ51" s="17"/>
      <c r="BR51" s="20"/>
      <c r="BS51" s="92"/>
      <c r="BT51" s="93"/>
      <c r="BU51" s="92"/>
      <c r="BV51" s="94"/>
      <c r="BW51" s="95"/>
      <c r="BX51" s="17"/>
      <c r="BY51" s="17"/>
      <c r="BZ51" s="17"/>
      <c r="CA51" s="20"/>
      <c r="CB51" s="92"/>
      <c r="CC51" s="93"/>
      <c r="CD51" s="92"/>
      <c r="CE51" s="94"/>
      <c r="CF51" s="95"/>
      <c r="CG51" s="17"/>
      <c r="CH51" s="17"/>
      <c r="CI51" s="17"/>
      <c r="CJ51" s="20"/>
      <c r="CK51" s="92"/>
      <c r="CL51" s="93"/>
      <c r="CM51" s="92"/>
      <c r="CN51" s="94"/>
      <c r="CO51" s="95"/>
      <c r="CP51" s="17"/>
      <c r="CQ51" s="17"/>
      <c r="CR51" s="17"/>
      <c r="CS51" s="20"/>
      <c r="CT51" s="92"/>
      <c r="CU51" s="93"/>
      <c r="CV51" s="92"/>
      <c r="CW51" s="94"/>
      <c r="CX51" s="95"/>
      <c r="CY51" s="17"/>
      <c r="CZ51" s="17"/>
      <c r="DA51" s="17"/>
      <c r="DB51" s="20"/>
      <c r="DC51" s="92"/>
      <c r="DD51" s="93"/>
      <c r="DE51" s="92"/>
      <c r="DF51" s="94"/>
      <c r="DG51" s="95"/>
      <c r="DH51" s="17"/>
      <c r="DI51" s="17"/>
      <c r="DJ51" s="17"/>
      <c r="DK51" s="20"/>
      <c r="DL51" s="92"/>
      <c r="DM51" s="93"/>
      <c r="DN51" s="92"/>
      <c r="DO51" s="94"/>
      <c r="DP51" s="95"/>
      <c r="DQ51" s="17"/>
      <c r="DR51" s="17"/>
      <c r="DS51" s="17"/>
      <c r="DT51" s="20"/>
      <c r="DU51" s="92"/>
      <c r="DV51" s="93"/>
      <c r="DW51" s="92"/>
      <c r="DX51" s="94"/>
      <c r="DY51" s="95"/>
      <c r="DZ51" s="17"/>
      <c r="EA51" s="17"/>
      <c r="EB51" s="17"/>
      <c r="EC51" s="20"/>
      <c r="ED51" s="92"/>
      <c r="EE51" s="93"/>
      <c r="EF51" s="92"/>
      <c r="EG51" s="94"/>
      <c r="EH51" s="95"/>
      <c r="EI51" s="17"/>
      <c r="EJ51" s="17"/>
      <c r="EK51" s="17"/>
      <c r="EL51" s="20"/>
      <c r="EM51" s="92"/>
      <c r="EN51" s="93"/>
      <c r="EO51" s="92"/>
      <c r="EP51" s="94"/>
      <c r="EQ51" s="95"/>
      <c r="ER51" s="17"/>
      <c r="ES51" s="17"/>
      <c r="ET51" s="17"/>
      <c r="EU51" s="20"/>
      <c r="EV51" s="92"/>
      <c r="EW51" s="93"/>
      <c r="EX51" s="92"/>
      <c r="EY51" s="94"/>
      <c r="EZ51" s="95"/>
      <c r="FA51" s="17"/>
      <c r="FB51" s="17"/>
      <c r="FC51" s="17"/>
      <c r="FD51" s="20"/>
      <c r="FE51" s="92"/>
      <c r="FF51" s="93"/>
      <c r="FG51" s="92"/>
      <c r="FH51" s="94"/>
      <c r="FI51" s="95"/>
      <c r="FJ51" s="17"/>
      <c r="FK51" s="17"/>
      <c r="FL51" s="17"/>
      <c r="FM51" s="20"/>
      <c r="FN51" s="92"/>
      <c r="FO51" s="93"/>
      <c r="FP51" s="92"/>
      <c r="FQ51" s="94"/>
      <c r="FR51" s="95"/>
      <c r="FS51" s="17"/>
      <c r="FT51" s="17"/>
      <c r="FU51" s="17"/>
      <c r="FV51" s="20"/>
      <c r="FW51" s="92"/>
      <c r="FX51" s="93"/>
      <c r="FY51" s="92"/>
      <c r="FZ51" s="94"/>
      <c r="GA51" s="95"/>
      <c r="GB51" s="17"/>
      <c r="GC51" s="17"/>
      <c r="GD51" s="17"/>
      <c r="GE51" s="20"/>
      <c r="GF51" s="92"/>
      <c r="GG51" s="93"/>
      <c r="GH51" s="92"/>
      <c r="GI51" s="94"/>
      <c r="GJ51" s="95"/>
      <c r="GK51" s="17"/>
      <c r="GL51" s="17"/>
      <c r="GM51" s="17"/>
      <c r="GN51" s="20"/>
      <c r="GO51" s="92"/>
      <c r="GP51" s="93"/>
      <c r="GQ51" s="92"/>
      <c r="GR51" s="94"/>
      <c r="GS51" s="95"/>
      <c r="GT51" s="137"/>
      <c r="GU51" s="98"/>
      <c r="GV51" s="129"/>
      <c r="GW51" s="74"/>
      <c r="GX51" s="74"/>
      <c r="GY51" s="66"/>
      <c r="GZ51" s="86"/>
    </row>
    <row r="52" spans="1:208" x14ac:dyDescent="0.25">
      <c r="A52"/>
      <c r="D52" s="35"/>
      <c r="E52" s="36"/>
      <c r="F52" s="37"/>
      <c r="G52" s="38"/>
      <c r="H52" s="39"/>
      <c r="I52" s="40"/>
      <c r="J52" s="68"/>
      <c r="K52" s="69"/>
      <c r="L52" s="70"/>
      <c r="M52" s="71"/>
      <c r="N52" s="56"/>
      <c r="O52" s="72"/>
      <c r="P52" s="113">
        <f t="shared" si="3"/>
        <v>0</v>
      </c>
      <c r="Q52" s="117"/>
      <c r="R52" s="117"/>
      <c r="S52" s="117"/>
      <c r="T52" s="39">
        <f>Q52*O52</f>
        <v>0</v>
      </c>
      <c r="U52" s="115"/>
      <c r="V52" s="112"/>
      <c r="W52" s="118"/>
      <c r="X52" s="17"/>
      <c r="Y52" s="20"/>
      <c r="Z52" s="92"/>
      <c r="AA52" s="93"/>
      <c r="AB52" s="92"/>
      <c r="AC52" s="94"/>
      <c r="AD52" s="95"/>
      <c r="AE52" s="17"/>
      <c r="AF52" s="17"/>
      <c r="AG52" s="17"/>
      <c r="AH52" s="20"/>
      <c r="AI52" s="92"/>
      <c r="AJ52" s="93"/>
      <c r="AK52" s="92"/>
      <c r="AL52" s="94"/>
      <c r="AM52" s="95"/>
      <c r="AN52" s="17"/>
      <c r="AO52" s="17"/>
      <c r="AP52" s="17"/>
      <c r="AQ52" s="20"/>
      <c r="AR52" s="92"/>
      <c r="AS52" s="93"/>
      <c r="AT52" s="92"/>
      <c r="AU52" s="94"/>
      <c r="AV52" s="95"/>
      <c r="AW52" s="17"/>
      <c r="AX52" s="17"/>
      <c r="AY52" s="17"/>
      <c r="AZ52" s="20"/>
      <c r="BA52" s="92"/>
      <c r="BB52" s="93"/>
      <c r="BC52" s="92"/>
      <c r="BD52" s="94"/>
      <c r="BE52" s="95"/>
      <c r="BF52" s="17"/>
      <c r="BG52" s="17"/>
      <c r="BH52" s="17"/>
      <c r="BI52" s="20"/>
      <c r="BJ52" s="92"/>
      <c r="BK52" s="93"/>
      <c r="BL52" s="92"/>
      <c r="BM52" s="94"/>
      <c r="BN52" s="95"/>
      <c r="BO52" s="17"/>
      <c r="BP52" s="17"/>
      <c r="BQ52" s="17"/>
      <c r="BR52" s="20"/>
      <c r="BS52" s="92"/>
      <c r="BT52" s="93"/>
      <c r="BU52" s="92"/>
      <c r="BV52" s="94"/>
      <c r="BW52" s="95"/>
      <c r="BX52" s="17"/>
      <c r="BY52" s="17"/>
      <c r="BZ52" s="17"/>
      <c r="CA52" s="20"/>
      <c r="CB52" s="92"/>
      <c r="CC52" s="93"/>
      <c r="CD52" s="92"/>
      <c r="CE52" s="94"/>
      <c r="CF52" s="95"/>
      <c r="CG52" s="17"/>
      <c r="CH52" s="17"/>
      <c r="CI52" s="17"/>
      <c r="CJ52" s="20"/>
      <c r="CK52" s="92"/>
      <c r="CL52" s="93"/>
      <c r="CM52" s="92"/>
      <c r="CN52" s="94"/>
      <c r="CO52" s="95"/>
      <c r="CP52" s="17"/>
      <c r="CQ52" s="17"/>
      <c r="CR52" s="17"/>
      <c r="CS52" s="20"/>
      <c r="CT52" s="92"/>
      <c r="CU52" s="93"/>
      <c r="CV52" s="92"/>
      <c r="CW52" s="94"/>
      <c r="CX52" s="95"/>
      <c r="CY52" s="17"/>
      <c r="CZ52" s="17"/>
      <c r="DA52" s="17"/>
      <c r="DB52" s="20"/>
      <c r="DC52" s="92"/>
      <c r="DD52" s="93"/>
      <c r="DE52" s="92"/>
      <c r="DF52" s="94"/>
      <c r="DG52" s="95"/>
      <c r="DH52" s="17"/>
      <c r="DI52" s="17"/>
      <c r="DJ52" s="17"/>
      <c r="DK52" s="20"/>
      <c r="DL52" s="92"/>
      <c r="DM52" s="93"/>
      <c r="DN52" s="92"/>
      <c r="DO52" s="94"/>
      <c r="DP52" s="95"/>
      <c r="DQ52" s="17"/>
      <c r="DR52" s="17"/>
      <c r="DS52" s="17"/>
      <c r="DT52" s="20"/>
      <c r="DU52" s="92"/>
      <c r="DV52" s="93"/>
      <c r="DW52" s="92"/>
      <c r="DX52" s="94"/>
      <c r="DY52" s="95"/>
      <c r="DZ52" s="17"/>
      <c r="EA52" s="17"/>
      <c r="EB52" s="17"/>
      <c r="EC52" s="20"/>
      <c r="ED52" s="92"/>
      <c r="EE52" s="93"/>
      <c r="EF52" s="92"/>
      <c r="EG52" s="94"/>
      <c r="EH52" s="95"/>
      <c r="EI52" s="17"/>
      <c r="EJ52" s="17"/>
      <c r="EK52" s="17"/>
      <c r="EL52" s="20"/>
      <c r="EM52" s="92"/>
      <c r="EN52" s="93"/>
      <c r="EO52" s="92"/>
      <c r="EP52" s="94"/>
      <c r="EQ52" s="95"/>
      <c r="ER52" s="17"/>
      <c r="ES52" s="17"/>
      <c r="ET52" s="17"/>
      <c r="EU52" s="20"/>
      <c r="EV52" s="92"/>
      <c r="EW52" s="93"/>
      <c r="EX52" s="92"/>
      <c r="EY52" s="94"/>
      <c r="EZ52" s="95"/>
      <c r="FA52" s="17"/>
      <c r="FB52" s="17"/>
      <c r="FC52" s="17"/>
      <c r="FD52" s="20"/>
      <c r="FE52" s="92"/>
      <c r="FF52" s="93"/>
      <c r="FG52" s="92"/>
      <c r="FH52" s="94"/>
      <c r="FI52" s="95"/>
      <c r="FJ52" s="17"/>
      <c r="FK52" s="17"/>
      <c r="FL52" s="17"/>
      <c r="FM52" s="20"/>
      <c r="FN52" s="92"/>
      <c r="FO52" s="93"/>
      <c r="FP52" s="92"/>
      <c r="FQ52" s="94"/>
      <c r="FR52" s="95"/>
      <c r="FS52" s="17"/>
      <c r="FT52" s="17"/>
      <c r="FU52" s="17"/>
      <c r="FV52" s="20"/>
      <c r="FW52" s="92"/>
      <c r="FX52" s="93"/>
      <c r="FY52" s="92"/>
      <c r="FZ52" s="94"/>
      <c r="GA52" s="95"/>
      <c r="GB52" s="17"/>
      <c r="GC52" s="17"/>
      <c r="GD52" s="17"/>
      <c r="GE52" s="20"/>
      <c r="GF52" s="92"/>
      <c r="GG52" s="93"/>
      <c r="GH52" s="92"/>
      <c r="GI52" s="94"/>
      <c r="GJ52" s="95"/>
      <c r="GK52" s="17"/>
      <c r="GL52" s="17"/>
      <c r="GM52" s="17"/>
      <c r="GN52" s="20"/>
      <c r="GO52" s="92"/>
      <c r="GP52" s="93"/>
      <c r="GQ52" s="92"/>
      <c r="GR52" s="94"/>
      <c r="GS52" s="95"/>
      <c r="GT52" s="128"/>
      <c r="GU52" s="98"/>
      <c r="GV52" s="129"/>
      <c r="GW52" s="74"/>
      <c r="GX52" s="74"/>
      <c r="GY52" s="66"/>
      <c r="GZ52" s="86"/>
    </row>
    <row r="53" spans="1:208" x14ac:dyDescent="0.25">
      <c r="A53"/>
      <c r="D53" s="35"/>
      <c r="E53" s="36"/>
      <c r="F53" s="37"/>
      <c r="G53" s="38"/>
      <c r="H53" s="39"/>
      <c r="I53" s="40"/>
      <c r="J53" s="68"/>
      <c r="K53" s="69"/>
      <c r="L53" s="70" t="s">
        <v>15</v>
      </c>
      <c r="M53" s="71"/>
      <c r="N53" s="56"/>
      <c r="O53" s="72"/>
      <c r="P53" s="113" t="e">
        <f t="shared" si="3"/>
        <v>#VALUE!</v>
      </c>
      <c r="Q53" s="117"/>
      <c r="R53" s="117"/>
      <c r="S53" s="117"/>
      <c r="T53" s="39">
        <f>Q53*O53</f>
        <v>0</v>
      </c>
      <c r="U53" s="115"/>
      <c r="V53" s="112"/>
      <c r="W53" s="118"/>
      <c r="X53" s="17"/>
      <c r="Y53" s="20"/>
      <c r="Z53" s="92"/>
      <c r="AA53" s="93"/>
      <c r="AB53" s="92"/>
      <c r="AC53" s="94"/>
      <c r="AD53" s="95"/>
      <c r="AE53" s="17"/>
      <c r="AF53" s="17"/>
      <c r="AG53" s="17"/>
      <c r="AH53" s="20"/>
      <c r="AI53" s="92"/>
      <c r="AJ53" s="93"/>
      <c r="AK53" s="92"/>
      <c r="AL53" s="94"/>
      <c r="AM53" s="95"/>
      <c r="AN53" s="17"/>
      <c r="AO53" s="17"/>
      <c r="AP53" s="17"/>
      <c r="AQ53" s="20"/>
      <c r="AR53" s="92"/>
      <c r="AS53" s="93"/>
      <c r="AT53" s="92"/>
      <c r="AU53" s="94"/>
      <c r="AV53" s="95"/>
      <c r="AW53" s="17"/>
      <c r="AX53" s="17"/>
      <c r="AY53" s="17"/>
      <c r="AZ53" s="20"/>
      <c r="BA53" s="92"/>
      <c r="BB53" s="93"/>
      <c r="BC53" s="92"/>
      <c r="BD53" s="94"/>
      <c r="BE53" s="95"/>
      <c r="BF53" s="17"/>
      <c r="BG53" s="17"/>
      <c r="BH53" s="17"/>
      <c r="BI53" s="20"/>
      <c r="BJ53" s="92"/>
      <c r="BK53" s="93"/>
      <c r="BL53" s="92"/>
      <c r="BM53" s="94"/>
      <c r="BN53" s="95"/>
      <c r="BO53" s="17"/>
      <c r="BP53" s="17"/>
      <c r="BQ53" s="17"/>
      <c r="BR53" s="20"/>
      <c r="BS53" s="92"/>
      <c r="BT53" s="93"/>
      <c r="BU53" s="92"/>
      <c r="BV53" s="94"/>
      <c r="BW53" s="95"/>
      <c r="BX53" s="17"/>
      <c r="BY53" s="17"/>
      <c r="BZ53" s="17"/>
      <c r="CA53" s="20"/>
      <c r="CB53" s="92"/>
      <c r="CC53" s="93"/>
      <c r="CD53" s="92"/>
      <c r="CE53" s="94"/>
      <c r="CF53" s="95"/>
      <c r="CG53" s="17"/>
      <c r="CH53" s="17"/>
      <c r="CI53" s="17"/>
      <c r="CJ53" s="20"/>
      <c r="CK53" s="92"/>
      <c r="CL53" s="93"/>
      <c r="CM53" s="92"/>
      <c r="CN53" s="94"/>
      <c r="CO53" s="95"/>
      <c r="CP53" s="17"/>
      <c r="CQ53" s="17"/>
      <c r="CR53" s="17"/>
      <c r="CS53" s="20"/>
      <c r="CT53" s="92"/>
      <c r="CU53" s="93"/>
      <c r="CV53" s="92"/>
      <c r="CW53" s="94"/>
      <c r="CX53" s="95"/>
      <c r="CY53" s="17"/>
      <c r="CZ53" s="17"/>
      <c r="DA53" s="17"/>
      <c r="DB53" s="20"/>
      <c r="DC53" s="92"/>
      <c r="DD53" s="93"/>
      <c r="DE53" s="92"/>
      <c r="DF53" s="94"/>
      <c r="DG53" s="95"/>
      <c r="DH53" s="17"/>
      <c r="DI53" s="17"/>
      <c r="DJ53" s="17"/>
      <c r="DK53" s="20"/>
      <c r="DL53" s="92"/>
      <c r="DM53" s="93"/>
      <c r="DN53" s="92"/>
      <c r="DO53" s="94"/>
      <c r="DP53" s="95"/>
      <c r="DQ53" s="17"/>
      <c r="DR53" s="17"/>
      <c r="DS53" s="17"/>
      <c r="DT53" s="20"/>
      <c r="DU53" s="92"/>
      <c r="DV53" s="93"/>
      <c r="DW53" s="92"/>
      <c r="DX53" s="94"/>
      <c r="DY53" s="95"/>
      <c r="DZ53" s="17"/>
      <c r="EA53" s="17"/>
      <c r="EB53" s="17"/>
      <c r="EC53" s="20"/>
      <c r="ED53" s="92"/>
      <c r="EE53" s="93"/>
      <c r="EF53" s="92"/>
      <c r="EG53" s="94"/>
      <c r="EH53" s="95"/>
      <c r="EI53" s="17"/>
      <c r="EJ53" s="17"/>
      <c r="EK53" s="17"/>
      <c r="EL53" s="20"/>
      <c r="EM53" s="92"/>
      <c r="EN53" s="93"/>
      <c r="EO53" s="92"/>
      <c r="EP53" s="94"/>
      <c r="EQ53" s="95"/>
      <c r="ER53" s="17"/>
      <c r="ES53" s="17"/>
      <c r="ET53" s="17"/>
      <c r="EU53" s="20"/>
      <c r="EV53" s="92"/>
      <c r="EW53" s="93"/>
      <c r="EX53" s="92"/>
      <c r="EY53" s="94"/>
      <c r="EZ53" s="95"/>
      <c r="FA53" s="17"/>
      <c r="FB53" s="17"/>
      <c r="FC53" s="17"/>
      <c r="FD53" s="20"/>
      <c r="FE53" s="92"/>
      <c r="FF53" s="93"/>
      <c r="FG53" s="92"/>
      <c r="FH53" s="94"/>
      <c r="FI53" s="95"/>
      <c r="FJ53" s="17"/>
      <c r="FK53" s="17"/>
      <c r="FL53" s="17"/>
      <c r="FM53" s="20"/>
      <c r="FN53" s="92"/>
      <c r="FO53" s="93"/>
      <c r="FP53" s="92"/>
      <c r="FQ53" s="94"/>
      <c r="FR53" s="95"/>
      <c r="FS53" s="17"/>
      <c r="FT53" s="17"/>
      <c r="FU53" s="17"/>
      <c r="FV53" s="20"/>
      <c r="FW53" s="92"/>
      <c r="FX53" s="93"/>
      <c r="FY53" s="92"/>
      <c r="FZ53" s="94"/>
      <c r="GA53" s="95"/>
      <c r="GB53" s="17"/>
      <c r="GC53" s="17"/>
      <c r="GD53" s="17"/>
      <c r="GE53" s="20"/>
      <c r="GF53" s="92"/>
      <c r="GG53" s="93"/>
      <c r="GH53" s="92"/>
      <c r="GI53" s="94"/>
      <c r="GJ53" s="95"/>
      <c r="GK53" s="17"/>
      <c r="GL53" s="17"/>
      <c r="GM53" s="17"/>
      <c r="GN53" s="20"/>
      <c r="GO53" s="92"/>
      <c r="GP53" s="93"/>
      <c r="GQ53" s="92"/>
      <c r="GR53" s="94"/>
      <c r="GS53" s="95"/>
      <c r="GT53" s="97"/>
      <c r="GU53" s="98"/>
      <c r="GV53" s="130"/>
      <c r="GW53" s="74"/>
      <c r="GX53" s="74"/>
      <c r="GY53" s="66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69"/>
      <c r="L54" s="70"/>
      <c r="M54" s="71"/>
      <c r="N54" s="56"/>
      <c r="O54" s="72"/>
      <c r="P54" s="113">
        <f t="shared" si="3"/>
        <v>0</v>
      </c>
      <c r="Q54" s="117"/>
      <c r="R54" s="117"/>
      <c r="S54" s="117"/>
      <c r="T54" s="39">
        <f>Q54*O54</f>
        <v>0</v>
      </c>
      <c r="U54" s="138"/>
      <c r="V54" s="139"/>
      <c r="W54" s="121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97"/>
      <c r="GU54" s="98"/>
      <c r="GV54" s="130"/>
      <c r="GW54" s="74"/>
      <c r="GX54" s="74"/>
      <c r="GY54" s="66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69"/>
      <c r="L55" s="70"/>
      <c r="M55" s="71"/>
      <c r="N55" s="56"/>
      <c r="O55" s="72"/>
      <c r="P55" s="113">
        <f t="shared" si="3"/>
        <v>0</v>
      </c>
      <c r="Q55" s="117"/>
      <c r="R55" s="117"/>
      <c r="S55" s="140"/>
      <c r="T55" s="39">
        <f t="shared" si="2"/>
        <v>0</v>
      </c>
      <c r="U55" s="138"/>
      <c r="V55" s="112"/>
      <c r="W55" s="121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97"/>
      <c r="GU55" s="98"/>
      <c r="GV55" s="130"/>
      <c r="GW55" s="74"/>
      <c r="GX55" s="74"/>
      <c r="GY55" s="66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68"/>
      <c r="K56" s="69"/>
      <c r="L56" s="70"/>
      <c r="M56" s="71"/>
      <c r="N56" s="56"/>
      <c r="O56" s="72"/>
      <c r="P56" s="113">
        <f t="shared" si="3"/>
        <v>0</v>
      </c>
      <c r="Q56" s="117"/>
      <c r="R56" s="117"/>
      <c r="S56" s="117"/>
      <c r="T56" s="39">
        <f t="shared" si="2"/>
        <v>0</v>
      </c>
      <c r="U56" s="138"/>
      <c r="V56" s="112"/>
      <c r="W56" s="121"/>
      <c r="X56" s="17"/>
      <c r="Y56" s="20"/>
      <c r="Z56" s="92"/>
      <c r="AA56" s="93"/>
      <c r="AB56" s="92"/>
      <c r="AC56" s="94"/>
      <c r="AD56" s="95"/>
      <c r="AE56" s="17"/>
      <c r="AF56" s="17"/>
      <c r="AG56" s="17"/>
      <c r="AH56" s="20"/>
      <c r="AI56" s="92"/>
      <c r="AJ56" s="93"/>
      <c r="AK56" s="92"/>
      <c r="AL56" s="94"/>
      <c r="AM56" s="95"/>
      <c r="AN56" s="17"/>
      <c r="AO56" s="17"/>
      <c r="AP56" s="17"/>
      <c r="AQ56" s="20"/>
      <c r="AR56" s="92"/>
      <c r="AS56" s="93"/>
      <c r="AT56" s="92"/>
      <c r="AU56" s="94"/>
      <c r="AV56" s="95"/>
      <c r="AW56" s="17"/>
      <c r="AX56" s="17"/>
      <c r="AY56" s="17"/>
      <c r="AZ56" s="20"/>
      <c r="BA56" s="92"/>
      <c r="BB56" s="93"/>
      <c r="BC56" s="92"/>
      <c r="BD56" s="94"/>
      <c r="BE56" s="95"/>
      <c r="BF56" s="17"/>
      <c r="BG56" s="17"/>
      <c r="BH56" s="17"/>
      <c r="BI56" s="20"/>
      <c r="BJ56" s="92"/>
      <c r="BK56" s="93"/>
      <c r="BL56" s="92"/>
      <c r="BM56" s="94"/>
      <c r="BN56" s="95"/>
      <c r="BO56" s="17"/>
      <c r="BP56" s="17"/>
      <c r="BQ56" s="17"/>
      <c r="BR56" s="20"/>
      <c r="BS56" s="92"/>
      <c r="BT56" s="93"/>
      <c r="BU56" s="92"/>
      <c r="BV56" s="94"/>
      <c r="BW56" s="95"/>
      <c r="BX56" s="17"/>
      <c r="BY56" s="17"/>
      <c r="BZ56" s="17"/>
      <c r="CA56" s="20"/>
      <c r="CB56" s="92"/>
      <c r="CC56" s="93"/>
      <c r="CD56" s="92"/>
      <c r="CE56" s="94"/>
      <c r="CF56" s="95"/>
      <c r="CG56" s="17"/>
      <c r="CH56" s="17"/>
      <c r="CI56" s="17"/>
      <c r="CJ56" s="20"/>
      <c r="CK56" s="92"/>
      <c r="CL56" s="93"/>
      <c r="CM56" s="92"/>
      <c r="CN56" s="94"/>
      <c r="CO56" s="95"/>
      <c r="CP56" s="17"/>
      <c r="CQ56" s="17"/>
      <c r="CR56" s="17"/>
      <c r="CS56" s="20"/>
      <c r="CT56" s="92"/>
      <c r="CU56" s="93"/>
      <c r="CV56" s="92"/>
      <c r="CW56" s="94"/>
      <c r="CX56" s="95"/>
      <c r="CY56" s="17"/>
      <c r="CZ56" s="17"/>
      <c r="DA56" s="17"/>
      <c r="DB56" s="20"/>
      <c r="DC56" s="92"/>
      <c r="DD56" s="93"/>
      <c r="DE56" s="92"/>
      <c r="DF56" s="94"/>
      <c r="DG56" s="95"/>
      <c r="DH56" s="17"/>
      <c r="DI56" s="17"/>
      <c r="DJ56" s="17"/>
      <c r="DK56" s="20"/>
      <c r="DL56" s="92"/>
      <c r="DM56" s="93"/>
      <c r="DN56" s="92"/>
      <c r="DO56" s="94"/>
      <c r="DP56" s="95"/>
      <c r="DQ56" s="17"/>
      <c r="DR56" s="17"/>
      <c r="DS56" s="17"/>
      <c r="DT56" s="20"/>
      <c r="DU56" s="92"/>
      <c r="DV56" s="93"/>
      <c r="DW56" s="92"/>
      <c r="DX56" s="94"/>
      <c r="DY56" s="95"/>
      <c r="DZ56" s="17"/>
      <c r="EA56" s="17"/>
      <c r="EB56" s="17"/>
      <c r="EC56" s="20"/>
      <c r="ED56" s="92"/>
      <c r="EE56" s="93"/>
      <c r="EF56" s="92"/>
      <c r="EG56" s="94"/>
      <c r="EH56" s="95"/>
      <c r="EI56" s="17"/>
      <c r="EJ56" s="17"/>
      <c r="EK56" s="17"/>
      <c r="EL56" s="20"/>
      <c r="EM56" s="92"/>
      <c r="EN56" s="93"/>
      <c r="EO56" s="92"/>
      <c r="EP56" s="94"/>
      <c r="EQ56" s="95"/>
      <c r="ER56" s="17"/>
      <c r="ES56" s="17"/>
      <c r="ET56" s="17"/>
      <c r="EU56" s="20"/>
      <c r="EV56" s="92"/>
      <c r="EW56" s="93"/>
      <c r="EX56" s="92"/>
      <c r="EY56" s="94"/>
      <c r="EZ56" s="95"/>
      <c r="FA56" s="17"/>
      <c r="FB56" s="17"/>
      <c r="FC56" s="17"/>
      <c r="FD56" s="20"/>
      <c r="FE56" s="92"/>
      <c r="FF56" s="93"/>
      <c r="FG56" s="92"/>
      <c r="FH56" s="94"/>
      <c r="FI56" s="95"/>
      <c r="FJ56" s="17"/>
      <c r="FK56" s="17"/>
      <c r="FL56" s="17"/>
      <c r="FM56" s="20"/>
      <c r="FN56" s="92"/>
      <c r="FO56" s="93"/>
      <c r="FP56" s="92"/>
      <c r="FQ56" s="94"/>
      <c r="FR56" s="95"/>
      <c r="FS56" s="17"/>
      <c r="FT56" s="17"/>
      <c r="FU56" s="17"/>
      <c r="FV56" s="20"/>
      <c r="FW56" s="92"/>
      <c r="FX56" s="93"/>
      <c r="FY56" s="92"/>
      <c r="FZ56" s="94"/>
      <c r="GA56" s="95"/>
      <c r="GB56" s="17"/>
      <c r="GC56" s="17"/>
      <c r="GD56" s="17"/>
      <c r="GE56" s="20"/>
      <c r="GF56" s="92"/>
      <c r="GG56" s="93"/>
      <c r="GH56" s="92"/>
      <c r="GI56" s="94"/>
      <c r="GJ56" s="95"/>
      <c r="GK56" s="17"/>
      <c r="GL56" s="17"/>
      <c r="GM56" s="17"/>
      <c r="GN56" s="20"/>
      <c r="GO56" s="92"/>
      <c r="GP56" s="93"/>
      <c r="GQ56" s="92"/>
      <c r="GR56" s="94"/>
      <c r="GS56" s="95"/>
      <c r="GT56" s="97"/>
      <c r="GU56" s="98"/>
      <c r="GV56" s="130"/>
      <c r="GW56" s="141"/>
      <c r="GX56" s="141"/>
      <c r="GY56" s="66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69"/>
      <c r="L57" s="70"/>
      <c r="M57" s="71"/>
      <c r="N57" s="56"/>
      <c r="O57" s="72"/>
      <c r="P57" s="113">
        <f t="shared" si="3"/>
        <v>0</v>
      </c>
      <c r="Q57" s="117"/>
      <c r="R57" s="117"/>
      <c r="S57" s="117"/>
      <c r="T57" s="39">
        <f t="shared" si="2"/>
        <v>0</v>
      </c>
      <c r="U57" s="138"/>
      <c r="V57" s="112"/>
      <c r="W57" s="121"/>
      <c r="X57" s="17"/>
      <c r="Y57" s="20"/>
      <c r="Z57" s="92"/>
      <c r="AA57" s="93"/>
      <c r="AB57" s="92"/>
      <c r="AC57" s="94"/>
      <c r="AD57" s="95"/>
      <c r="AE57" s="17"/>
      <c r="AF57" s="17"/>
      <c r="AG57" s="17"/>
      <c r="AH57" s="20"/>
      <c r="AI57" s="92"/>
      <c r="AJ57" s="93"/>
      <c r="AK57" s="92"/>
      <c r="AL57" s="94"/>
      <c r="AM57" s="95"/>
      <c r="AN57" s="17"/>
      <c r="AO57" s="17"/>
      <c r="AP57" s="17"/>
      <c r="AQ57" s="20"/>
      <c r="AR57" s="92"/>
      <c r="AS57" s="93"/>
      <c r="AT57" s="92"/>
      <c r="AU57" s="94"/>
      <c r="AV57" s="95"/>
      <c r="AW57" s="17"/>
      <c r="AX57" s="17"/>
      <c r="AY57" s="17"/>
      <c r="AZ57" s="20"/>
      <c r="BA57" s="92"/>
      <c r="BB57" s="93"/>
      <c r="BC57" s="92"/>
      <c r="BD57" s="94"/>
      <c r="BE57" s="95"/>
      <c r="BF57" s="17"/>
      <c r="BG57" s="17"/>
      <c r="BH57" s="17"/>
      <c r="BI57" s="20"/>
      <c r="BJ57" s="92"/>
      <c r="BK57" s="93"/>
      <c r="BL57" s="92"/>
      <c r="BM57" s="94"/>
      <c r="BN57" s="95"/>
      <c r="BO57" s="17"/>
      <c r="BP57" s="17"/>
      <c r="BQ57" s="17"/>
      <c r="BR57" s="20"/>
      <c r="BS57" s="92"/>
      <c r="BT57" s="93"/>
      <c r="BU57" s="92"/>
      <c r="BV57" s="94"/>
      <c r="BW57" s="95"/>
      <c r="BX57" s="17"/>
      <c r="BY57" s="17"/>
      <c r="BZ57" s="17"/>
      <c r="CA57" s="20"/>
      <c r="CB57" s="92"/>
      <c r="CC57" s="93"/>
      <c r="CD57" s="92"/>
      <c r="CE57" s="94"/>
      <c r="CF57" s="95"/>
      <c r="CG57" s="17"/>
      <c r="CH57" s="17"/>
      <c r="CI57" s="17"/>
      <c r="CJ57" s="20"/>
      <c r="CK57" s="92"/>
      <c r="CL57" s="93"/>
      <c r="CM57" s="92"/>
      <c r="CN57" s="94"/>
      <c r="CO57" s="95"/>
      <c r="CP57" s="17"/>
      <c r="CQ57" s="17"/>
      <c r="CR57" s="17"/>
      <c r="CS57" s="20"/>
      <c r="CT57" s="92"/>
      <c r="CU57" s="93"/>
      <c r="CV57" s="92"/>
      <c r="CW57" s="94"/>
      <c r="CX57" s="95"/>
      <c r="CY57" s="17"/>
      <c r="CZ57" s="17"/>
      <c r="DA57" s="17"/>
      <c r="DB57" s="20"/>
      <c r="DC57" s="92"/>
      <c r="DD57" s="93"/>
      <c r="DE57" s="92"/>
      <c r="DF57" s="94"/>
      <c r="DG57" s="95"/>
      <c r="DH57" s="17"/>
      <c r="DI57" s="17"/>
      <c r="DJ57" s="17"/>
      <c r="DK57" s="20"/>
      <c r="DL57" s="92"/>
      <c r="DM57" s="93"/>
      <c r="DN57" s="92"/>
      <c r="DO57" s="94"/>
      <c r="DP57" s="95"/>
      <c r="DQ57" s="17"/>
      <c r="DR57" s="17"/>
      <c r="DS57" s="17"/>
      <c r="DT57" s="20"/>
      <c r="DU57" s="92"/>
      <c r="DV57" s="93"/>
      <c r="DW57" s="92"/>
      <c r="DX57" s="94"/>
      <c r="DY57" s="95"/>
      <c r="DZ57" s="17"/>
      <c r="EA57" s="17"/>
      <c r="EB57" s="17"/>
      <c r="EC57" s="20"/>
      <c r="ED57" s="92"/>
      <c r="EE57" s="93"/>
      <c r="EF57" s="92"/>
      <c r="EG57" s="94"/>
      <c r="EH57" s="95"/>
      <c r="EI57" s="17"/>
      <c r="EJ57" s="17"/>
      <c r="EK57" s="17"/>
      <c r="EL57" s="20"/>
      <c r="EM57" s="92"/>
      <c r="EN57" s="93"/>
      <c r="EO57" s="92"/>
      <c r="EP57" s="94"/>
      <c r="EQ57" s="95"/>
      <c r="ER57" s="17"/>
      <c r="ES57" s="17"/>
      <c r="ET57" s="17"/>
      <c r="EU57" s="20"/>
      <c r="EV57" s="92"/>
      <c r="EW57" s="93"/>
      <c r="EX57" s="92"/>
      <c r="EY57" s="94"/>
      <c r="EZ57" s="95"/>
      <c r="FA57" s="17"/>
      <c r="FB57" s="17"/>
      <c r="FC57" s="17"/>
      <c r="FD57" s="20"/>
      <c r="FE57" s="92"/>
      <c r="FF57" s="93"/>
      <c r="FG57" s="92"/>
      <c r="FH57" s="94"/>
      <c r="FI57" s="95"/>
      <c r="FJ57" s="17"/>
      <c r="FK57" s="17"/>
      <c r="FL57" s="17"/>
      <c r="FM57" s="20"/>
      <c r="FN57" s="92"/>
      <c r="FO57" s="93"/>
      <c r="FP57" s="92"/>
      <c r="FQ57" s="94"/>
      <c r="FR57" s="95"/>
      <c r="FS57" s="17"/>
      <c r="FT57" s="17"/>
      <c r="FU57" s="17"/>
      <c r="FV57" s="20"/>
      <c r="FW57" s="92"/>
      <c r="FX57" s="93"/>
      <c r="FY57" s="92"/>
      <c r="FZ57" s="94"/>
      <c r="GA57" s="95"/>
      <c r="GB57" s="17"/>
      <c r="GC57" s="17"/>
      <c r="GD57" s="17"/>
      <c r="GE57" s="20"/>
      <c r="GF57" s="92"/>
      <c r="GG57" s="93"/>
      <c r="GH57" s="92"/>
      <c r="GI57" s="94"/>
      <c r="GJ57" s="95"/>
      <c r="GK57" s="17"/>
      <c r="GL57" s="17"/>
      <c r="GM57" s="17"/>
      <c r="GN57" s="20"/>
      <c r="GO57" s="92"/>
      <c r="GP57" s="93"/>
      <c r="GQ57" s="92"/>
      <c r="GR57" s="94"/>
      <c r="GS57" s="95"/>
      <c r="GT57" s="97"/>
      <c r="GU57" s="98"/>
      <c r="GV57" s="130"/>
      <c r="GW57" s="141"/>
      <c r="GX57" s="141"/>
      <c r="GY57" s="66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76"/>
      <c r="K58" s="69"/>
      <c r="L58" s="70"/>
      <c r="M58" s="71"/>
      <c r="N58" s="142"/>
      <c r="O58" s="72"/>
      <c r="P58" s="113">
        <f t="shared" si="3"/>
        <v>0</v>
      </c>
      <c r="Q58" s="117"/>
      <c r="R58" s="117"/>
      <c r="S58" s="117"/>
      <c r="T58" s="39">
        <f t="shared" si="2"/>
        <v>0</v>
      </c>
      <c r="U58" s="143"/>
      <c r="V58" s="144"/>
      <c r="W58" s="145"/>
      <c r="X58" s="146"/>
      <c r="Y58" s="147"/>
      <c r="Z58" s="148"/>
      <c r="AA58" s="149"/>
      <c r="AB58" s="148"/>
      <c r="AC58" s="150"/>
      <c r="AD58" s="151"/>
      <c r="AE58" s="146"/>
      <c r="AF58" s="146"/>
      <c r="AG58" s="146"/>
      <c r="AH58" s="147"/>
      <c r="AI58" s="148"/>
      <c r="AJ58" s="149"/>
      <c r="AK58" s="148"/>
      <c r="AL58" s="150"/>
      <c r="AM58" s="151"/>
      <c r="AN58" s="146"/>
      <c r="AO58" s="146"/>
      <c r="AP58" s="146"/>
      <c r="AQ58" s="147"/>
      <c r="AR58" s="148"/>
      <c r="AS58" s="149"/>
      <c r="AT58" s="148"/>
      <c r="AU58" s="150"/>
      <c r="AV58" s="151"/>
      <c r="AW58" s="146"/>
      <c r="AX58" s="146"/>
      <c r="AY58" s="146"/>
      <c r="AZ58" s="147"/>
      <c r="BA58" s="148"/>
      <c r="BB58" s="149"/>
      <c r="BC58" s="148"/>
      <c r="BD58" s="150"/>
      <c r="BE58" s="151"/>
      <c r="BF58" s="146"/>
      <c r="BG58" s="146"/>
      <c r="BH58" s="146"/>
      <c r="BI58" s="147"/>
      <c r="BJ58" s="148"/>
      <c r="BK58" s="149"/>
      <c r="BL58" s="148"/>
      <c r="BM58" s="150"/>
      <c r="BN58" s="151"/>
      <c r="BO58" s="146"/>
      <c r="BP58" s="146"/>
      <c r="BQ58" s="146"/>
      <c r="BR58" s="147"/>
      <c r="BS58" s="148"/>
      <c r="BT58" s="149"/>
      <c r="BU58" s="148"/>
      <c r="BV58" s="150"/>
      <c r="BW58" s="151"/>
      <c r="BX58" s="146"/>
      <c r="BY58" s="146"/>
      <c r="BZ58" s="146"/>
      <c r="CA58" s="147"/>
      <c r="CB58" s="148"/>
      <c r="CC58" s="149"/>
      <c r="CD58" s="148"/>
      <c r="CE58" s="150"/>
      <c r="CF58" s="151"/>
      <c r="CG58" s="146"/>
      <c r="CH58" s="146"/>
      <c r="CI58" s="146"/>
      <c r="CJ58" s="147"/>
      <c r="CK58" s="148"/>
      <c r="CL58" s="149"/>
      <c r="CM58" s="148"/>
      <c r="CN58" s="150"/>
      <c r="CO58" s="151"/>
      <c r="CP58" s="146"/>
      <c r="CQ58" s="146"/>
      <c r="CR58" s="146"/>
      <c r="CS58" s="147"/>
      <c r="CT58" s="148"/>
      <c r="CU58" s="149"/>
      <c r="CV58" s="148"/>
      <c r="CW58" s="150"/>
      <c r="CX58" s="151"/>
      <c r="CY58" s="146"/>
      <c r="CZ58" s="146"/>
      <c r="DA58" s="146"/>
      <c r="DB58" s="147"/>
      <c r="DC58" s="148"/>
      <c r="DD58" s="149"/>
      <c r="DE58" s="148"/>
      <c r="DF58" s="150"/>
      <c r="DG58" s="151"/>
      <c r="DH58" s="146"/>
      <c r="DI58" s="146"/>
      <c r="DJ58" s="146"/>
      <c r="DK58" s="147"/>
      <c r="DL58" s="148"/>
      <c r="DM58" s="149"/>
      <c r="DN58" s="148"/>
      <c r="DO58" s="150"/>
      <c r="DP58" s="151"/>
      <c r="DQ58" s="146"/>
      <c r="DR58" s="146"/>
      <c r="DS58" s="146"/>
      <c r="DT58" s="147"/>
      <c r="DU58" s="148"/>
      <c r="DV58" s="149"/>
      <c r="DW58" s="148"/>
      <c r="DX58" s="150"/>
      <c r="DY58" s="151"/>
      <c r="DZ58" s="146"/>
      <c r="EA58" s="146"/>
      <c r="EB58" s="146"/>
      <c r="EC58" s="147"/>
      <c r="ED58" s="148"/>
      <c r="EE58" s="149"/>
      <c r="EF58" s="148"/>
      <c r="EG58" s="150"/>
      <c r="EH58" s="151"/>
      <c r="EI58" s="146"/>
      <c r="EJ58" s="146"/>
      <c r="EK58" s="146"/>
      <c r="EL58" s="147"/>
      <c r="EM58" s="148"/>
      <c r="EN58" s="149"/>
      <c r="EO58" s="148"/>
      <c r="EP58" s="150"/>
      <c r="EQ58" s="151"/>
      <c r="ER58" s="146"/>
      <c r="ES58" s="146"/>
      <c r="ET58" s="146"/>
      <c r="EU58" s="147"/>
      <c r="EV58" s="148"/>
      <c r="EW58" s="149"/>
      <c r="EX58" s="148"/>
      <c r="EY58" s="150"/>
      <c r="EZ58" s="151"/>
      <c r="FA58" s="146"/>
      <c r="FB58" s="146"/>
      <c r="FC58" s="146"/>
      <c r="FD58" s="147"/>
      <c r="FE58" s="148"/>
      <c r="FF58" s="149"/>
      <c r="FG58" s="148"/>
      <c r="FH58" s="150"/>
      <c r="FI58" s="151"/>
      <c r="FJ58" s="146"/>
      <c r="FK58" s="146"/>
      <c r="FL58" s="146"/>
      <c r="FM58" s="147"/>
      <c r="FN58" s="148"/>
      <c r="FO58" s="149"/>
      <c r="FP58" s="148"/>
      <c r="FQ58" s="150"/>
      <c r="FR58" s="151"/>
      <c r="FS58" s="146"/>
      <c r="FT58" s="146"/>
      <c r="FU58" s="146"/>
      <c r="FV58" s="147"/>
      <c r="FW58" s="148"/>
      <c r="FX58" s="149"/>
      <c r="FY58" s="148"/>
      <c r="FZ58" s="150"/>
      <c r="GA58" s="151"/>
      <c r="GB58" s="146"/>
      <c r="GC58" s="146"/>
      <c r="GD58" s="146"/>
      <c r="GE58" s="147"/>
      <c r="GF58" s="148"/>
      <c r="GG58" s="149"/>
      <c r="GH58" s="148"/>
      <c r="GI58" s="150"/>
      <c r="GJ58" s="151"/>
      <c r="GK58" s="146"/>
      <c r="GL58" s="146"/>
      <c r="GM58" s="146"/>
      <c r="GN58" s="147"/>
      <c r="GO58" s="148"/>
      <c r="GP58" s="149"/>
      <c r="GQ58" s="148"/>
      <c r="GR58" s="150"/>
      <c r="GS58" s="151"/>
      <c r="GT58" s="152"/>
      <c r="GU58" s="131"/>
      <c r="GV58" s="153"/>
      <c r="GW58" s="141"/>
      <c r="GX58" s="141"/>
      <c r="GY58" s="66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69"/>
      <c r="L59" s="70"/>
      <c r="M59" s="71"/>
      <c r="N59" s="142"/>
      <c r="O59" s="72"/>
      <c r="P59" s="113">
        <f t="shared" si="3"/>
        <v>0</v>
      </c>
      <c r="Q59" s="117"/>
      <c r="R59" s="117"/>
      <c r="S59" s="117"/>
      <c r="T59" s="39">
        <f t="shared" si="2"/>
        <v>0</v>
      </c>
      <c r="U59" s="143"/>
      <c r="V59" s="154"/>
      <c r="W59" s="155"/>
      <c r="X59" s="146"/>
      <c r="Y59" s="147"/>
      <c r="Z59" s="148"/>
      <c r="AA59" s="149"/>
      <c r="AB59" s="148"/>
      <c r="AC59" s="150"/>
      <c r="AD59" s="151"/>
      <c r="AE59" s="146"/>
      <c r="AF59" s="146"/>
      <c r="AG59" s="146"/>
      <c r="AH59" s="147"/>
      <c r="AI59" s="148"/>
      <c r="AJ59" s="149"/>
      <c r="AK59" s="148"/>
      <c r="AL59" s="150"/>
      <c r="AM59" s="151"/>
      <c r="AN59" s="146"/>
      <c r="AO59" s="146"/>
      <c r="AP59" s="146"/>
      <c r="AQ59" s="147"/>
      <c r="AR59" s="148"/>
      <c r="AS59" s="149"/>
      <c r="AT59" s="148"/>
      <c r="AU59" s="150"/>
      <c r="AV59" s="151"/>
      <c r="AW59" s="146"/>
      <c r="AX59" s="146"/>
      <c r="AY59" s="146"/>
      <c r="AZ59" s="147"/>
      <c r="BA59" s="148"/>
      <c r="BB59" s="149"/>
      <c r="BC59" s="148"/>
      <c r="BD59" s="150"/>
      <c r="BE59" s="151"/>
      <c r="BF59" s="146"/>
      <c r="BG59" s="146"/>
      <c r="BH59" s="146"/>
      <c r="BI59" s="147"/>
      <c r="BJ59" s="148"/>
      <c r="BK59" s="149"/>
      <c r="BL59" s="148"/>
      <c r="BM59" s="150"/>
      <c r="BN59" s="151"/>
      <c r="BO59" s="146"/>
      <c r="BP59" s="146"/>
      <c r="BQ59" s="146"/>
      <c r="BR59" s="147"/>
      <c r="BS59" s="148"/>
      <c r="BT59" s="149"/>
      <c r="BU59" s="148"/>
      <c r="BV59" s="150"/>
      <c r="BW59" s="151"/>
      <c r="BX59" s="146"/>
      <c r="BY59" s="146"/>
      <c r="BZ59" s="146"/>
      <c r="CA59" s="147"/>
      <c r="CB59" s="148"/>
      <c r="CC59" s="149"/>
      <c r="CD59" s="148"/>
      <c r="CE59" s="150"/>
      <c r="CF59" s="151"/>
      <c r="CG59" s="146"/>
      <c r="CH59" s="146"/>
      <c r="CI59" s="146"/>
      <c r="CJ59" s="147"/>
      <c r="CK59" s="148"/>
      <c r="CL59" s="149"/>
      <c r="CM59" s="148"/>
      <c r="CN59" s="150"/>
      <c r="CO59" s="151"/>
      <c r="CP59" s="146"/>
      <c r="CQ59" s="146"/>
      <c r="CR59" s="146"/>
      <c r="CS59" s="147"/>
      <c r="CT59" s="148"/>
      <c r="CU59" s="149"/>
      <c r="CV59" s="148"/>
      <c r="CW59" s="150"/>
      <c r="CX59" s="151"/>
      <c r="CY59" s="146"/>
      <c r="CZ59" s="146"/>
      <c r="DA59" s="146"/>
      <c r="DB59" s="147"/>
      <c r="DC59" s="148"/>
      <c r="DD59" s="149"/>
      <c r="DE59" s="148"/>
      <c r="DF59" s="150"/>
      <c r="DG59" s="151"/>
      <c r="DH59" s="146"/>
      <c r="DI59" s="146"/>
      <c r="DJ59" s="146"/>
      <c r="DK59" s="147"/>
      <c r="DL59" s="148"/>
      <c r="DM59" s="149"/>
      <c r="DN59" s="148"/>
      <c r="DO59" s="150"/>
      <c r="DP59" s="151"/>
      <c r="DQ59" s="146"/>
      <c r="DR59" s="146"/>
      <c r="DS59" s="146"/>
      <c r="DT59" s="147"/>
      <c r="DU59" s="148"/>
      <c r="DV59" s="149"/>
      <c r="DW59" s="148"/>
      <c r="DX59" s="150"/>
      <c r="DY59" s="151"/>
      <c r="DZ59" s="146"/>
      <c r="EA59" s="146"/>
      <c r="EB59" s="146"/>
      <c r="EC59" s="147"/>
      <c r="ED59" s="148"/>
      <c r="EE59" s="149"/>
      <c r="EF59" s="148"/>
      <c r="EG59" s="150"/>
      <c r="EH59" s="151"/>
      <c r="EI59" s="146"/>
      <c r="EJ59" s="146"/>
      <c r="EK59" s="146"/>
      <c r="EL59" s="147"/>
      <c r="EM59" s="148"/>
      <c r="EN59" s="149"/>
      <c r="EO59" s="148"/>
      <c r="EP59" s="150"/>
      <c r="EQ59" s="151"/>
      <c r="ER59" s="146"/>
      <c r="ES59" s="146"/>
      <c r="ET59" s="146"/>
      <c r="EU59" s="147"/>
      <c r="EV59" s="148"/>
      <c r="EW59" s="149"/>
      <c r="EX59" s="148"/>
      <c r="EY59" s="150"/>
      <c r="EZ59" s="151"/>
      <c r="FA59" s="146"/>
      <c r="FB59" s="146"/>
      <c r="FC59" s="146"/>
      <c r="FD59" s="147"/>
      <c r="FE59" s="148"/>
      <c r="FF59" s="149"/>
      <c r="FG59" s="148"/>
      <c r="FH59" s="150"/>
      <c r="FI59" s="151"/>
      <c r="FJ59" s="146"/>
      <c r="FK59" s="146"/>
      <c r="FL59" s="146"/>
      <c r="FM59" s="147"/>
      <c r="FN59" s="148"/>
      <c r="FO59" s="149"/>
      <c r="FP59" s="148"/>
      <c r="FQ59" s="150"/>
      <c r="FR59" s="151"/>
      <c r="FS59" s="146"/>
      <c r="FT59" s="146"/>
      <c r="FU59" s="146"/>
      <c r="FV59" s="147"/>
      <c r="FW59" s="148"/>
      <c r="FX59" s="149"/>
      <c r="FY59" s="148"/>
      <c r="FZ59" s="150"/>
      <c r="GA59" s="151"/>
      <c r="GB59" s="146"/>
      <c r="GC59" s="146"/>
      <c r="GD59" s="146"/>
      <c r="GE59" s="147"/>
      <c r="GF59" s="148"/>
      <c r="GG59" s="149"/>
      <c r="GH59" s="148"/>
      <c r="GI59" s="150"/>
      <c r="GJ59" s="151"/>
      <c r="GK59" s="146"/>
      <c r="GL59" s="146"/>
      <c r="GM59" s="146"/>
      <c r="GN59" s="147"/>
      <c r="GO59" s="148"/>
      <c r="GP59" s="149"/>
      <c r="GQ59" s="148"/>
      <c r="GR59" s="150"/>
      <c r="GS59" s="151"/>
      <c r="GT59" s="154"/>
      <c r="GU59" s="156"/>
      <c r="GV59" s="153"/>
      <c r="GW59" s="141"/>
      <c r="GX59" s="141"/>
      <c r="GY59" s="66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69"/>
      <c r="L60" s="70"/>
      <c r="M60" s="71"/>
      <c r="N60" s="142"/>
      <c r="O60" s="72"/>
      <c r="P60" s="113">
        <f t="shared" si="3"/>
        <v>0</v>
      </c>
      <c r="Q60" s="117"/>
      <c r="R60" s="117"/>
      <c r="S60" s="117"/>
      <c r="T60" s="39">
        <f t="shared" si="2"/>
        <v>0</v>
      </c>
      <c r="U60" s="143"/>
      <c r="V60" s="154"/>
      <c r="W60" s="157"/>
      <c r="X60" s="146"/>
      <c r="Y60" s="147"/>
      <c r="Z60" s="148"/>
      <c r="AA60" s="149"/>
      <c r="AB60" s="148"/>
      <c r="AC60" s="150"/>
      <c r="AD60" s="151"/>
      <c r="AE60" s="146"/>
      <c r="AF60" s="146"/>
      <c r="AG60" s="146"/>
      <c r="AH60" s="147"/>
      <c r="AI60" s="148"/>
      <c r="AJ60" s="149"/>
      <c r="AK60" s="148"/>
      <c r="AL60" s="150"/>
      <c r="AM60" s="151"/>
      <c r="AN60" s="146"/>
      <c r="AO60" s="146"/>
      <c r="AP60" s="146"/>
      <c r="AQ60" s="147"/>
      <c r="AR60" s="148"/>
      <c r="AS60" s="149"/>
      <c r="AT60" s="148"/>
      <c r="AU60" s="150"/>
      <c r="AV60" s="151"/>
      <c r="AW60" s="146"/>
      <c r="AX60" s="146"/>
      <c r="AY60" s="146"/>
      <c r="AZ60" s="147"/>
      <c r="BA60" s="148"/>
      <c r="BB60" s="149"/>
      <c r="BC60" s="148"/>
      <c r="BD60" s="150"/>
      <c r="BE60" s="151"/>
      <c r="BF60" s="146"/>
      <c r="BG60" s="146"/>
      <c r="BH60" s="146"/>
      <c r="BI60" s="147"/>
      <c r="BJ60" s="148"/>
      <c r="BK60" s="149"/>
      <c r="BL60" s="148"/>
      <c r="BM60" s="150"/>
      <c r="BN60" s="151"/>
      <c r="BO60" s="146"/>
      <c r="BP60" s="146"/>
      <c r="BQ60" s="146"/>
      <c r="BR60" s="147"/>
      <c r="BS60" s="148"/>
      <c r="BT60" s="149"/>
      <c r="BU60" s="148"/>
      <c r="BV60" s="150"/>
      <c r="BW60" s="151"/>
      <c r="BX60" s="146"/>
      <c r="BY60" s="146"/>
      <c r="BZ60" s="146"/>
      <c r="CA60" s="147"/>
      <c r="CB60" s="148"/>
      <c r="CC60" s="149"/>
      <c r="CD60" s="148"/>
      <c r="CE60" s="150"/>
      <c r="CF60" s="151"/>
      <c r="CG60" s="146"/>
      <c r="CH60" s="146"/>
      <c r="CI60" s="146"/>
      <c r="CJ60" s="147"/>
      <c r="CK60" s="148"/>
      <c r="CL60" s="149"/>
      <c r="CM60" s="148"/>
      <c r="CN60" s="150"/>
      <c r="CO60" s="151"/>
      <c r="CP60" s="146"/>
      <c r="CQ60" s="146"/>
      <c r="CR60" s="146"/>
      <c r="CS60" s="147"/>
      <c r="CT60" s="148"/>
      <c r="CU60" s="149"/>
      <c r="CV60" s="148"/>
      <c r="CW60" s="150"/>
      <c r="CX60" s="151"/>
      <c r="CY60" s="146"/>
      <c r="CZ60" s="146"/>
      <c r="DA60" s="146"/>
      <c r="DB60" s="147"/>
      <c r="DC60" s="148"/>
      <c r="DD60" s="149"/>
      <c r="DE60" s="148"/>
      <c r="DF60" s="150"/>
      <c r="DG60" s="151"/>
      <c r="DH60" s="146"/>
      <c r="DI60" s="146"/>
      <c r="DJ60" s="146"/>
      <c r="DK60" s="147"/>
      <c r="DL60" s="148"/>
      <c r="DM60" s="149"/>
      <c r="DN60" s="148"/>
      <c r="DO60" s="150"/>
      <c r="DP60" s="151"/>
      <c r="DQ60" s="146"/>
      <c r="DR60" s="146"/>
      <c r="DS60" s="146"/>
      <c r="DT60" s="147"/>
      <c r="DU60" s="148"/>
      <c r="DV60" s="149"/>
      <c r="DW60" s="148"/>
      <c r="DX60" s="150"/>
      <c r="DY60" s="151"/>
      <c r="DZ60" s="146"/>
      <c r="EA60" s="146"/>
      <c r="EB60" s="146"/>
      <c r="EC60" s="147"/>
      <c r="ED60" s="148"/>
      <c r="EE60" s="149"/>
      <c r="EF60" s="148"/>
      <c r="EG60" s="150"/>
      <c r="EH60" s="151"/>
      <c r="EI60" s="146"/>
      <c r="EJ60" s="146"/>
      <c r="EK60" s="146"/>
      <c r="EL60" s="147"/>
      <c r="EM60" s="148"/>
      <c r="EN60" s="149"/>
      <c r="EO60" s="148"/>
      <c r="EP60" s="150"/>
      <c r="EQ60" s="151"/>
      <c r="ER60" s="146"/>
      <c r="ES60" s="146"/>
      <c r="ET60" s="146"/>
      <c r="EU60" s="147"/>
      <c r="EV60" s="148"/>
      <c r="EW60" s="149"/>
      <c r="EX60" s="148"/>
      <c r="EY60" s="150"/>
      <c r="EZ60" s="151"/>
      <c r="FA60" s="146"/>
      <c r="FB60" s="146"/>
      <c r="FC60" s="146"/>
      <c r="FD60" s="147"/>
      <c r="FE60" s="148"/>
      <c r="FF60" s="149"/>
      <c r="FG60" s="148"/>
      <c r="FH60" s="150"/>
      <c r="FI60" s="151"/>
      <c r="FJ60" s="146"/>
      <c r="FK60" s="146"/>
      <c r="FL60" s="146"/>
      <c r="FM60" s="147"/>
      <c r="FN60" s="148"/>
      <c r="FO60" s="149"/>
      <c r="FP60" s="148"/>
      <c r="FQ60" s="150"/>
      <c r="FR60" s="151"/>
      <c r="FS60" s="146"/>
      <c r="FT60" s="146"/>
      <c r="FU60" s="146"/>
      <c r="FV60" s="147"/>
      <c r="FW60" s="148"/>
      <c r="FX60" s="149"/>
      <c r="FY60" s="148"/>
      <c r="FZ60" s="150"/>
      <c r="GA60" s="151"/>
      <c r="GB60" s="146"/>
      <c r="GC60" s="146"/>
      <c r="GD60" s="146"/>
      <c r="GE60" s="147"/>
      <c r="GF60" s="148"/>
      <c r="GG60" s="149"/>
      <c r="GH60" s="148"/>
      <c r="GI60" s="150"/>
      <c r="GJ60" s="151"/>
      <c r="GK60" s="146"/>
      <c r="GL60" s="146"/>
      <c r="GM60" s="146"/>
      <c r="GN60" s="147"/>
      <c r="GO60" s="148"/>
      <c r="GP60" s="149"/>
      <c r="GQ60" s="148"/>
      <c r="GR60" s="150"/>
      <c r="GS60" s="151"/>
      <c r="GT60" s="154"/>
      <c r="GU60" s="156"/>
      <c r="GV60" s="153"/>
      <c r="GW60" s="141"/>
      <c r="GX60" s="141"/>
      <c r="GY60" s="66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68"/>
      <c r="K61" s="69"/>
      <c r="L61" s="70"/>
      <c r="M61" s="71"/>
      <c r="N61" s="142"/>
      <c r="O61" s="72"/>
      <c r="P61" s="113">
        <f t="shared" si="3"/>
        <v>0</v>
      </c>
      <c r="Q61" s="117"/>
      <c r="R61" s="117"/>
      <c r="S61" s="117"/>
      <c r="T61" s="39">
        <f t="shared" si="2"/>
        <v>0</v>
      </c>
      <c r="U61" s="143"/>
      <c r="V61" s="154"/>
      <c r="W61" s="155"/>
      <c r="X61" s="146"/>
      <c r="Y61" s="147"/>
      <c r="Z61" s="148"/>
      <c r="AA61" s="149"/>
      <c r="AB61" s="148"/>
      <c r="AC61" s="150"/>
      <c r="AD61" s="151"/>
      <c r="AE61" s="146"/>
      <c r="AF61" s="146"/>
      <c r="AG61" s="146"/>
      <c r="AH61" s="147"/>
      <c r="AI61" s="148"/>
      <c r="AJ61" s="149"/>
      <c r="AK61" s="148"/>
      <c r="AL61" s="150"/>
      <c r="AM61" s="151"/>
      <c r="AN61" s="146"/>
      <c r="AO61" s="146"/>
      <c r="AP61" s="146"/>
      <c r="AQ61" s="147"/>
      <c r="AR61" s="148"/>
      <c r="AS61" s="149"/>
      <c r="AT61" s="148"/>
      <c r="AU61" s="150"/>
      <c r="AV61" s="151"/>
      <c r="AW61" s="146"/>
      <c r="AX61" s="146"/>
      <c r="AY61" s="146"/>
      <c r="AZ61" s="147"/>
      <c r="BA61" s="148"/>
      <c r="BB61" s="149"/>
      <c r="BC61" s="148"/>
      <c r="BD61" s="150"/>
      <c r="BE61" s="151"/>
      <c r="BF61" s="146"/>
      <c r="BG61" s="146"/>
      <c r="BH61" s="146"/>
      <c r="BI61" s="147"/>
      <c r="BJ61" s="148"/>
      <c r="BK61" s="149"/>
      <c r="BL61" s="148"/>
      <c r="BM61" s="150"/>
      <c r="BN61" s="151"/>
      <c r="BO61" s="146"/>
      <c r="BP61" s="146"/>
      <c r="BQ61" s="146"/>
      <c r="BR61" s="147"/>
      <c r="BS61" s="148"/>
      <c r="BT61" s="149"/>
      <c r="BU61" s="148"/>
      <c r="BV61" s="150"/>
      <c r="BW61" s="151"/>
      <c r="BX61" s="146"/>
      <c r="BY61" s="146"/>
      <c r="BZ61" s="146"/>
      <c r="CA61" s="147"/>
      <c r="CB61" s="148"/>
      <c r="CC61" s="149"/>
      <c r="CD61" s="148"/>
      <c r="CE61" s="150"/>
      <c r="CF61" s="151"/>
      <c r="CG61" s="146"/>
      <c r="CH61" s="146"/>
      <c r="CI61" s="146"/>
      <c r="CJ61" s="147"/>
      <c r="CK61" s="148"/>
      <c r="CL61" s="149"/>
      <c r="CM61" s="148"/>
      <c r="CN61" s="150"/>
      <c r="CO61" s="151"/>
      <c r="CP61" s="146"/>
      <c r="CQ61" s="146"/>
      <c r="CR61" s="146"/>
      <c r="CS61" s="147"/>
      <c r="CT61" s="148"/>
      <c r="CU61" s="149"/>
      <c r="CV61" s="148"/>
      <c r="CW61" s="150"/>
      <c r="CX61" s="151"/>
      <c r="CY61" s="146"/>
      <c r="CZ61" s="146"/>
      <c r="DA61" s="146"/>
      <c r="DB61" s="147"/>
      <c r="DC61" s="148"/>
      <c r="DD61" s="149"/>
      <c r="DE61" s="148"/>
      <c r="DF61" s="150"/>
      <c r="DG61" s="151"/>
      <c r="DH61" s="146"/>
      <c r="DI61" s="146"/>
      <c r="DJ61" s="146"/>
      <c r="DK61" s="147"/>
      <c r="DL61" s="148"/>
      <c r="DM61" s="149"/>
      <c r="DN61" s="148"/>
      <c r="DO61" s="150"/>
      <c r="DP61" s="151"/>
      <c r="DQ61" s="146"/>
      <c r="DR61" s="146"/>
      <c r="DS61" s="146"/>
      <c r="DT61" s="147"/>
      <c r="DU61" s="148"/>
      <c r="DV61" s="149"/>
      <c r="DW61" s="148"/>
      <c r="DX61" s="150"/>
      <c r="DY61" s="151"/>
      <c r="DZ61" s="146"/>
      <c r="EA61" s="146"/>
      <c r="EB61" s="146"/>
      <c r="EC61" s="147"/>
      <c r="ED61" s="148"/>
      <c r="EE61" s="149"/>
      <c r="EF61" s="148"/>
      <c r="EG61" s="150"/>
      <c r="EH61" s="151"/>
      <c r="EI61" s="146"/>
      <c r="EJ61" s="146"/>
      <c r="EK61" s="146"/>
      <c r="EL61" s="147"/>
      <c r="EM61" s="148"/>
      <c r="EN61" s="149"/>
      <c r="EO61" s="148"/>
      <c r="EP61" s="150"/>
      <c r="EQ61" s="151"/>
      <c r="ER61" s="146"/>
      <c r="ES61" s="146"/>
      <c r="ET61" s="146"/>
      <c r="EU61" s="147"/>
      <c r="EV61" s="148"/>
      <c r="EW61" s="149"/>
      <c r="EX61" s="148"/>
      <c r="EY61" s="150"/>
      <c r="EZ61" s="151"/>
      <c r="FA61" s="146"/>
      <c r="FB61" s="146"/>
      <c r="FC61" s="146"/>
      <c r="FD61" s="147"/>
      <c r="FE61" s="148"/>
      <c r="FF61" s="149"/>
      <c r="FG61" s="148"/>
      <c r="FH61" s="150"/>
      <c r="FI61" s="151"/>
      <c r="FJ61" s="146"/>
      <c r="FK61" s="146"/>
      <c r="FL61" s="146"/>
      <c r="FM61" s="147"/>
      <c r="FN61" s="148"/>
      <c r="FO61" s="149"/>
      <c r="FP61" s="148"/>
      <c r="FQ61" s="150"/>
      <c r="FR61" s="151"/>
      <c r="FS61" s="146"/>
      <c r="FT61" s="146"/>
      <c r="FU61" s="146"/>
      <c r="FV61" s="147"/>
      <c r="FW61" s="148"/>
      <c r="FX61" s="149"/>
      <c r="FY61" s="148"/>
      <c r="FZ61" s="150"/>
      <c r="GA61" s="151"/>
      <c r="GB61" s="146"/>
      <c r="GC61" s="146"/>
      <c r="GD61" s="146"/>
      <c r="GE61" s="147"/>
      <c r="GF61" s="148"/>
      <c r="GG61" s="149"/>
      <c r="GH61" s="148"/>
      <c r="GI61" s="150"/>
      <c r="GJ61" s="151"/>
      <c r="GK61" s="146"/>
      <c r="GL61" s="146"/>
      <c r="GM61" s="146"/>
      <c r="GN61" s="147"/>
      <c r="GO61" s="148"/>
      <c r="GP61" s="149"/>
      <c r="GQ61" s="148"/>
      <c r="GR61" s="150"/>
      <c r="GS61" s="151"/>
      <c r="GT61" s="154"/>
      <c r="GU61" s="156"/>
      <c r="GV61" s="153"/>
      <c r="GW61" s="141"/>
      <c r="GX61" s="141"/>
      <c r="GY61" s="66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69"/>
      <c r="L62" s="70"/>
      <c r="M62" s="71"/>
      <c r="N62" s="142"/>
      <c r="O62" s="72"/>
      <c r="P62" s="113">
        <f t="shared" si="3"/>
        <v>0</v>
      </c>
      <c r="Q62" s="117"/>
      <c r="R62" s="117"/>
      <c r="S62" s="117"/>
      <c r="T62" s="39">
        <f t="shared" si="2"/>
        <v>0</v>
      </c>
      <c r="U62" s="143"/>
      <c r="V62" s="154"/>
      <c r="W62" s="155"/>
      <c r="X62" s="158"/>
      <c r="Y62" s="159"/>
      <c r="Z62" s="160"/>
      <c r="AA62" s="161"/>
      <c r="AB62" s="160"/>
      <c r="AC62" s="162"/>
      <c r="AD62" s="163"/>
      <c r="AE62" s="158"/>
      <c r="AF62" s="158"/>
      <c r="AG62" s="158"/>
      <c r="AH62" s="159"/>
      <c r="AI62" s="160"/>
      <c r="AJ62" s="161"/>
      <c r="AK62" s="160"/>
      <c r="AL62" s="162"/>
      <c r="AM62" s="163"/>
      <c r="AN62" s="158"/>
      <c r="AO62" s="158"/>
      <c r="AP62" s="158"/>
      <c r="AQ62" s="159"/>
      <c r="AR62" s="160"/>
      <c r="AS62" s="161"/>
      <c r="AT62" s="160"/>
      <c r="AU62" s="162"/>
      <c r="AV62" s="163"/>
      <c r="AW62" s="158"/>
      <c r="AX62" s="158"/>
      <c r="AY62" s="158"/>
      <c r="AZ62" s="159"/>
      <c r="BA62" s="160"/>
      <c r="BB62" s="161"/>
      <c r="BC62" s="160"/>
      <c r="BD62" s="162"/>
      <c r="BE62" s="163"/>
      <c r="BF62" s="158"/>
      <c r="BG62" s="158"/>
      <c r="BH62" s="158"/>
      <c r="BI62" s="159"/>
      <c r="BJ62" s="160"/>
      <c r="BK62" s="161"/>
      <c r="BL62" s="160"/>
      <c r="BM62" s="162"/>
      <c r="BN62" s="163"/>
      <c r="BO62" s="158"/>
      <c r="BP62" s="158"/>
      <c r="BQ62" s="158"/>
      <c r="BR62" s="159"/>
      <c r="BS62" s="160"/>
      <c r="BT62" s="161"/>
      <c r="BU62" s="160"/>
      <c r="BV62" s="162"/>
      <c r="BW62" s="163"/>
      <c r="BX62" s="158"/>
      <c r="BY62" s="158"/>
      <c r="BZ62" s="158"/>
      <c r="CA62" s="159"/>
      <c r="CB62" s="160"/>
      <c r="CC62" s="161"/>
      <c r="CD62" s="160"/>
      <c r="CE62" s="162"/>
      <c r="CF62" s="163"/>
      <c r="CG62" s="158"/>
      <c r="CH62" s="158"/>
      <c r="CI62" s="158"/>
      <c r="CJ62" s="159"/>
      <c r="CK62" s="160"/>
      <c r="CL62" s="161"/>
      <c r="CM62" s="160"/>
      <c r="CN62" s="162"/>
      <c r="CO62" s="163"/>
      <c r="CP62" s="158"/>
      <c r="CQ62" s="158"/>
      <c r="CR62" s="158"/>
      <c r="CS62" s="159"/>
      <c r="CT62" s="160"/>
      <c r="CU62" s="161"/>
      <c r="CV62" s="160"/>
      <c r="CW62" s="162"/>
      <c r="CX62" s="163"/>
      <c r="CY62" s="158"/>
      <c r="CZ62" s="158"/>
      <c r="DA62" s="158"/>
      <c r="DB62" s="159"/>
      <c r="DC62" s="160"/>
      <c r="DD62" s="161"/>
      <c r="DE62" s="160"/>
      <c r="DF62" s="162"/>
      <c r="DG62" s="163"/>
      <c r="DH62" s="158"/>
      <c r="DI62" s="158"/>
      <c r="DJ62" s="158"/>
      <c r="DK62" s="159"/>
      <c r="DL62" s="160"/>
      <c r="DM62" s="161"/>
      <c r="DN62" s="160"/>
      <c r="DO62" s="162"/>
      <c r="DP62" s="163"/>
      <c r="DQ62" s="158"/>
      <c r="DR62" s="158"/>
      <c r="DS62" s="158"/>
      <c r="DT62" s="159"/>
      <c r="DU62" s="160"/>
      <c r="DV62" s="161"/>
      <c r="DW62" s="160"/>
      <c r="DX62" s="162"/>
      <c r="DY62" s="163"/>
      <c r="DZ62" s="158"/>
      <c r="EA62" s="158"/>
      <c r="EB62" s="158"/>
      <c r="EC62" s="159"/>
      <c r="ED62" s="160"/>
      <c r="EE62" s="161"/>
      <c r="EF62" s="160"/>
      <c r="EG62" s="162"/>
      <c r="EH62" s="163"/>
      <c r="EI62" s="158"/>
      <c r="EJ62" s="158"/>
      <c r="EK62" s="158"/>
      <c r="EL62" s="159"/>
      <c r="EM62" s="160"/>
      <c r="EN62" s="161"/>
      <c r="EO62" s="160"/>
      <c r="EP62" s="162"/>
      <c r="EQ62" s="163"/>
      <c r="ER62" s="158"/>
      <c r="ES62" s="158"/>
      <c r="ET62" s="158"/>
      <c r="EU62" s="159"/>
      <c r="EV62" s="160"/>
      <c r="EW62" s="161"/>
      <c r="EX62" s="160"/>
      <c r="EY62" s="162"/>
      <c r="EZ62" s="163"/>
      <c r="FA62" s="158"/>
      <c r="FB62" s="158"/>
      <c r="FC62" s="158"/>
      <c r="FD62" s="159"/>
      <c r="FE62" s="160"/>
      <c r="FF62" s="161"/>
      <c r="FG62" s="160"/>
      <c r="FH62" s="162"/>
      <c r="FI62" s="163"/>
      <c r="FJ62" s="158"/>
      <c r="FK62" s="158"/>
      <c r="FL62" s="158"/>
      <c r="FM62" s="159"/>
      <c r="FN62" s="160"/>
      <c r="FO62" s="161"/>
      <c r="FP62" s="160"/>
      <c r="FQ62" s="162"/>
      <c r="FR62" s="163"/>
      <c r="FS62" s="158"/>
      <c r="FT62" s="158"/>
      <c r="FU62" s="158"/>
      <c r="FV62" s="159"/>
      <c r="FW62" s="160"/>
      <c r="FX62" s="161"/>
      <c r="FY62" s="160"/>
      <c r="FZ62" s="162"/>
      <c r="GA62" s="163"/>
      <c r="GB62" s="158"/>
      <c r="GC62" s="158"/>
      <c r="GD62" s="158"/>
      <c r="GE62" s="159"/>
      <c r="GF62" s="160"/>
      <c r="GG62" s="161"/>
      <c r="GH62" s="160"/>
      <c r="GI62" s="162"/>
      <c r="GJ62" s="163"/>
      <c r="GK62" s="158"/>
      <c r="GL62" s="158"/>
      <c r="GM62" s="158"/>
      <c r="GN62" s="159"/>
      <c r="GO62" s="160"/>
      <c r="GP62" s="161"/>
      <c r="GQ62" s="160"/>
      <c r="GR62" s="162"/>
      <c r="GS62" s="163"/>
      <c r="GT62" s="154"/>
      <c r="GU62" s="156"/>
      <c r="GV62" s="153"/>
      <c r="GW62" s="141"/>
      <c r="GX62" s="141"/>
      <c r="GY62" s="66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68"/>
      <c r="K63" s="69"/>
      <c r="L63" s="70"/>
      <c r="M63" s="71"/>
      <c r="N63" s="164"/>
      <c r="O63" s="72"/>
      <c r="P63" s="113">
        <f t="shared" si="3"/>
        <v>0</v>
      </c>
      <c r="Q63" s="117"/>
      <c r="R63" s="117"/>
      <c r="S63" s="117"/>
      <c r="T63" s="39">
        <f t="shared" si="2"/>
        <v>0</v>
      </c>
      <c r="U63" s="143"/>
      <c r="V63" s="154"/>
      <c r="W63" s="165"/>
      <c r="X63" s="158"/>
      <c r="Y63" s="159"/>
      <c r="Z63" s="160"/>
      <c r="AA63" s="161"/>
      <c r="AB63" s="160"/>
      <c r="AC63" s="162"/>
      <c r="AD63" s="163"/>
      <c r="AE63" s="158"/>
      <c r="AF63" s="158"/>
      <c r="AG63" s="158"/>
      <c r="AH63" s="159"/>
      <c r="AI63" s="160"/>
      <c r="AJ63" s="161"/>
      <c r="AK63" s="160"/>
      <c r="AL63" s="162"/>
      <c r="AM63" s="163"/>
      <c r="AN63" s="158"/>
      <c r="AO63" s="158"/>
      <c r="AP63" s="158"/>
      <c r="AQ63" s="159"/>
      <c r="AR63" s="160"/>
      <c r="AS63" s="161"/>
      <c r="AT63" s="160"/>
      <c r="AU63" s="162"/>
      <c r="AV63" s="163"/>
      <c r="AW63" s="158"/>
      <c r="AX63" s="158"/>
      <c r="AY63" s="158"/>
      <c r="AZ63" s="159"/>
      <c r="BA63" s="160"/>
      <c r="BB63" s="161"/>
      <c r="BC63" s="160"/>
      <c r="BD63" s="162"/>
      <c r="BE63" s="163"/>
      <c r="BF63" s="158"/>
      <c r="BG63" s="158"/>
      <c r="BH63" s="158"/>
      <c r="BI63" s="159"/>
      <c r="BJ63" s="160"/>
      <c r="BK63" s="161"/>
      <c r="BL63" s="160"/>
      <c r="BM63" s="162"/>
      <c r="BN63" s="163"/>
      <c r="BO63" s="158"/>
      <c r="BP63" s="158"/>
      <c r="BQ63" s="158"/>
      <c r="BR63" s="159"/>
      <c r="BS63" s="160"/>
      <c r="BT63" s="161"/>
      <c r="BU63" s="160"/>
      <c r="BV63" s="162"/>
      <c r="BW63" s="163"/>
      <c r="BX63" s="158"/>
      <c r="BY63" s="158"/>
      <c r="BZ63" s="158"/>
      <c r="CA63" s="159"/>
      <c r="CB63" s="160"/>
      <c r="CC63" s="161"/>
      <c r="CD63" s="160"/>
      <c r="CE63" s="162"/>
      <c r="CF63" s="163"/>
      <c r="CG63" s="158"/>
      <c r="CH63" s="158"/>
      <c r="CI63" s="158"/>
      <c r="CJ63" s="159"/>
      <c r="CK63" s="160"/>
      <c r="CL63" s="161"/>
      <c r="CM63" s="160"/>
      <c r="CN63" s="162"/>
      <c r="CO63" s="163"/>
      <c r="CP63" s="158"/>
      <c r="CQ63" s="158"/>
      <c r="CR63" s="158"/>
      <c r="CS63" s="159"/>
      <c r="CT63" s="160"/>
      <c r="CU63" s="161"/>
      <c r="CV63" s="160"/>
      <c r="CW63" s="162"/>
      <c r="CX63" s="163"/>
      <c r="CY63" s="158"/>
      <c r="CZ63" s="158"/>
      <c r="DA63" s="158"/>
      <c r="DB63" s="159"/>
      <c r="DC63" s="160"/>
      <c r="DD63" s="161"/>
      <c r="DE63" s="160"/>
      <c r="DF63" s="162"/>
      <c r="DG63" s="163"/>
      <c r="DH63" s="158"/>
      <c r="DI63" s="158"/>
      <c r="DJ63" s="158"/>
      <c r="DK63" s="159"/>
      <c r="DL63" s="160"/>
      <c r="DM63" s="161"/>
      <c r="DN63" s="160"/>
      <c r="DO63" s="162"/>
      <c r="DP63" s="163"/>
      <c r="DQ63" s="158"/>
      <c r="DR63" s="158"/>
      <c r="DS63" s="158"/>
      <c r="DT63" s="159"/>
      <c r="DU63" s="160"/>
      <c r="DV63" s="161"/>
      <c r="DW63" s="160"/>
      <c r="DX63" s="162"/>
      <c r="DY63" s="163"/>
      <c r="DZ63" s="158"/>
      <c r="EA63" s="158"/>
      <c r="EB63" s="158"/>
      <c r="EC63" s="159"/>
      <c r="ED63" s="160"/>
      <c r="EE63" s="161"/>
      <c r="EF63" s="160"/>
      <c r="EG63" s="162"/>
      <c r="EH63" s="163"/>
      <c r="EI63" s="158"/>
      <c r="EJ63" s="158"/>
      <c r="EK63" s="158"/>
      <c r="EL63" s="159"/>
      <c r="EM63" s="160"/>
      <c r="EN63" s="161"/>
      <c r="EO63" s="160"/>
      <c r="EP63" s="162"/>
      <c r="EQ63" s="163"/>
      <c r="ER63" s="158"/>
      <c r="ES63" s="158"/>
      <c r="ET63" s="158"/>
      <c r="EU63" s="159"/>
      <c r="EV63" s="160"/>
      <c r="EW63" s="161"/>
      <c r="EX63" s="160"/>
      <c r="EY63" s="162"/>
      <c r="EZ63" s="163"/>
      <c r="FA63" s="158"/>
      <c r="FB63" s="158"/>
      <c r="FC63" s="158"/>
      <c r="FD63" s="159"/>
      <c r="FE63" s="160"/>
      <c r="FF63" s="161"/>
      <c r="FG63" s="160"/>
      <c r="FH63" s="162"/>
      <c r="FI63" s="163"/>
      <c r="FJ63" s="158"/>
      <c r="FK63" s="158"/>
      <c r="FL63" s="158"/>
      <c r="FM63" s="159"/>
      <c r="FN63" s="160"/>
      <c r="FO63" s="161"/>
      <c r="FP63" s="160"/>
      <c r="FQ63" s="162"/>
      <c r="FR63" s="163"/>
      <c r="FS63" s="158"/>
      <c r="FT63" s="158"/>
      <c r="FU63" s="158"/>
      <c r="FV63" s="159"/>
      <c r="FW63" s="160"/>
      <c r="FX63" s="161"/>
      <c r="FY63" s="160"/>
      <c r="FZ63" s="162"/>
      <c r="GA63" s="163"/>
      <c r="GB63" s="158"/>
      <c r="GC63" s="158"/>
      <c r="GD63" s="158"/>
      <c r="GE63" s="159"/>
      <c r="GF63" s="160"/>
      <c r="GG63" s="161"/>
      <c r="GH63" s="160"/>
      <c r="GI63" s="162"/>
      <c r="GJ63" s="163"/>
      <c r="GK63" s="158"/>
      <c r="GL63" s="158"/>
      <c r="GM63" s="158"/>
      <c r="GN63" s="159"/>
      <c r="GO63" s="160"/>
      <c r="GP63" s="161"/>
      <c r="GQ63" s="160"/>
      <c r="GR63" s="162"/>
      <c r="GS63" s="163"/>
      <c r="GT63" s="154"/>
      <c r="GU63" s="156"/>
      <c r="GV63" s="153"/>
      <c r="GW63" s="66"/>
      <c r="GX63" s="66"/>
      <c r="GY63" s="66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82"/>
      <c r="L64" s="70"/>
      <c r="M64" s="71"/>
      <c r="N64" s="56"/>
      <c r="O64" s="72"/>
      <c r="P64" s="113">
        <f t="shared" si="3"/>
        <v>0</v>
      </c>
      <c r="Q64" s="117"/>
      <c r="R64" s="117"/>
      <c r="S64" s="117"/>
      <c r="T64" s="39">
        <f t="shared" si="2"/>
        <v>0</v>
      </c>
      <c r="U64" s="138"/>
      <c r="V64" s="166"/>
      <c r="W64" s="86"/>
      <c r="X64" s="68"/>
      <c r="Y64" s="167"/>
      <c r="Z64" s="168"/>
      <c r="AA64" s="169"/>
      <c r="AB64" s="168"/>
      <c r="AC64" s="170"/>
      <c r="AD64" s="171"/>
      <c r="AE64" s="68"/>
      <c r="AF64" s="68"/>
      <c r="AG64" s="68"/>
      <c r="AH64" s="167"/>
      <c r="AI64" s="168"/>
      <c r="AJ64" s="169"/>
      <c r="AK64" s="168"/>
      <c r="AL64" s="170"/>
      <c r="AM64" s="171"/>
      <c r="AN64" s="68"/>
      <c r="AO64" s="68"/>
      <c r="AP64" s="68"/>
      <c r="AQ64" s="167"/>
      <c r="AR64" s="168"/>
      <c r="AS64" s="169"/>
      <c r="AT64" s="168"/>
      <c r="AU64" s="170"/>
      <c r="AV64" s="171"/>
      <c r="AW64" s="68"/>
      <c r="AX64" s="68"/>
      <c r="AY64" s="68"/>
      <c r="AZ64" s="167"/>
      <c r="BA64" s="168"/>
      <c r="BB64" s="169"/>
      <c r="BC64" s="168"/>
      <c r="BD64" s="170"/>
      <c r="BE64" s="171"/>
      <c r="BF64" s="68"/>
      <c r="BG64" s="68"/>
      <c r="BH64" s="68"/>
      <c r="BI64" s="167"/>
      <c r="BJ64" s="168"/>
      <c r="BK64" s="169"/>
      <c r="BL64" s="168"/>
      <c r="BM64" s="170"/>
      <c r="BN64" s="171"/>
      <c r="BO64" s="68"/>
      <c r="BP64" s="68"/>
      <c r="BQ64" s="68"/>
      <c r="BR64" s="167"/>
      <c r="BS64" s="168"/>
      <c r="BT64" s="169"/>
      <c r="BU64" s="168"/>
      <c r="BV64" s="170"/>
      <c r="BW64" s="171"/>
      <c r="BX64" s="68"/>
      <c r="BY64" s="68"/>
      <c r="BZ64" s="68"/>
      <c r="CA64" s="167"/>
      <c r="CB64" s="168"/>
      <c r="CC64" s="169"/>
      <c r="CD64" s="168"/>
      <c r="CE64" s="170"/>
      <c r="CF64" s="171"/>
      <c r="CG64" s="68"/>
      <c r="CH64" s="68"/>
      <c r="CI64" s="68"/>
      <c r="CJ64" s="167"/>
      <c r="CK64" s="168"/>
      <c r="CL64" s="169"/>
      <c r="CM64" s="168"/>
      <c r="CN64" s="170"/>
      <c r="CO64" s="171"/>
      <c r="CP64" s="68"/>
      <c r="CQ64" s="68"/>
      <c r="CR64" s="68"/>
      <c r="CS64" s="167"/>
      <c r="CT64" s="168"/>
      <c r="CU64" s="169"/>
      <c r="CV64" s="168"/>
      <c r="CW64" s="170"/>
      <c r="CX64" s="171"/>
      <c r="CY64" s="68"/>
      <c r="CZ64" s="68"/>
      <c r="DA64" s="68"/>
      <c r="DB64" s="167"/>
      <c r="DC64" s="168"/>
      <c r="DD64" s="169"/>
      <c r="DE64" s="168"/>
      <c r="DF64" s="170"/>
      <c r="DG64" s="171"/>
      <c r="DH64" s="68"/>
      <c r="DI64" s="68"/>
      <c r="DJ64" s="68"/>
      <c r="DK64" s="167"/>
      <c r="DL64" s="168"/>
      <c r="DM64" s="169"/>
      <c r="DN64" s="168"/>
      <c r="DO64" s="170"/>
      <c r="DP64" s="171"/>
      <c r="DQ64" s="68"/>
      <c r="DR64" s="68"/>
      <c r="DS64" s="68"/>
      <c r="DT64" s="167"/>
      <c r="DU64" s="168"/>
      <c r="DV64" s="169"/>
      <c r="DW64" s="168"/>
      <c r="DX64" s="170"/>
      <c r="DY64" s="171"/>
      <c r="DZ64" s="68"/>
      <c r="EA64" s="68"/>
      <c r="EB64" s="68"/>
      <c r="EC64" s="167"/>
      <c r="ED64" s="168"/>
      <c r="EE64" s="169"/>
      <c r="EF64" s="168"/>
      <c r="EG64" s="170"/>
      <c r="EH64" s="171"/>
      <c r="EI64" s="68"/>
      <c r="EJ64" s="68"/>
      <c r="EK64" s="68"/>
      <c r="EL64" s="167"/>
      <c r="EM64" s="168"/>
      <c r="EN64" s="169"/>
      <c r="EO64" s="168"/>
      <c r="EP64" s="170"/>
      <c r="EQ64" s="171"/>
      <c r="ER64" s="68"/>
      <c r="ES64" s="68"/>
      <c r="ET64" s="68"/>
      <c r="EU64" s="167"/>
      <c r="EV64" s="168"/>
      <c r="EW64" s="169"/>
      <c r="EX64" s="168"/>
      <c r="EY64" s="170"/>
      <c r="EZ64" s="171"/>
      <c r="FA64" s="68"/>
      <c r="FB64" s="68"/>
      <c r="FC64" s="68"/>
      <c r="FD64" s="167"/>
      <c r="FE64" s="168"/>
      <c r="FF64" s="169"/>
      <c r="FG64" s="168"/>
      <c r="FH64" s="170"/>
      <c r="FI64" s="171"/>
      <c r="FJ64" s="68"/>
      <c r="FK64" s="68"/>
      <c r="FL64" s="68"/>
      <c r="FM64" s="167"/>
      <c r="FN64" s="168"/>
      <c r="FO64" s="169"/>
      <c r="FP64" s="168"/>
      <c r="FQ64" s="170"/>
      <c r="FR64" s="171"/>
      <c r="FS64" s="68"/>
      <c r="FT64" s="68"/>
      <c r="FU64" s="68"/>
      <c r="FV64" s="167"/>
      <c r="FW64" s="168"/>
      <c r="FX64" s="169"/>
      <c r="FY64" s="168"/>
      <c r="FZ64" s="170"/>
      <c r="GA64" s="171"/>
      <c r="GB64" s="68"/>
      <c r="GC64" s="68"/>
      <c r="GD64" s="68"/>
      <c r="GE64" s="167"/>
      <c r="GF64" s="168"/>
      <c r="GG64" s="169"/>
      <c r="GH64" s="168"/>
      <c r="GI64" s="170"/>
      <c r="GJ64" s="171"/>
      <c r="GK64" s="68"/>
      <c r="GL64" s="68"/>
      <c r="GM64" s="68"/>
      <c r="GN64" s="167"/>
      <c r="GO64" s="168"/>
      <c r="GP64" s="169"/>
      <c r="GQ64" s="168"/>
      <c r="GR64" s="170"/>
      <c r="GS64" s="171"/>
      <c r="GT64" s="166"/>
      <c r="GU64" s="64"/>
      <c r="GV64" s="65"/>
      <c r="GW64" s="66"/>
      <c r="GX64" s="66"/>
      <c r="GY64" s="66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69"/>
      <c r="L65" s="70"/>
      <c r="M65" s="71"/>
      <c r="N65" s="56"/>
      <c r="O65" s="72"/>
      <c r="P65" s="113">
        <f t="shared" si="3"/>
        <v>0</v>
      </c>
      <c r="Q65" s="117"/>
      <c r="R65" s="117"/>
      <c r="S65" s="117"/>
      <c r="T65" s="39">
        <f t="shared" si="2"/>
        <v>0</v>
      </c>
      <c r="U65" s="138"/>
      <c r="V65" s="166"/>
      <c r="W65" s="86"/>
      <c r="X65" s="68"/>
      <c r="Y65" s="167"/>
      <c r="Z65" s="168"/>
      <c r="AA65" s="169"/>
      <c r="AB65" s="168"/>
      <c r="AC65" s="170"/>
      <c r="AD65" s="171"/>
      <c r="AE65" s="68"/>
      <c r="AF65" s="68"/>
      <c r="AG65" s="68"/>
      <c r="AH65" s="167"/>
      <c r="AI65" s="168"/>
      <c r="AJ65" s="169"/>
      <c r="AK65" s="168"/>
      <c r="AL65" s="170"/>
      <c r="AM65" s="171"/>
      <c r="AN65" s="68"/>
      <c r="AO65" s="68"/>
      <c r="AP65" s="68"/>
      <c r="AQ65" s="167"/>
      <c r="AR65" s="168"/>
      <c r="AS65" s="169"/>
      <c r="AT65" s="168"/>
      <c r="AU65" s="170"/>
      <c r="AV65" s="171"/>
      <c r="AW65" s="68"/>
      <c r="AX65" s="68"/>
      <c r="AY65" s="68"/>
      <c r="AZ65" s="167"/>
      <c r="BA65" s="168"/>
      <c r="BB65" s="169"/>
      <c r="BC65" s="168"/>
      <c r="BD65" s="170"/>
      <c r="BE65" s="171"/>
      <c r="BF65" s="68"/>
      <c r="BG65" s="68"/>
      <c r="BH65" s="68"/>
      <c r="BI65" s="167"/>
      <c r="BJ65" s="168"/>
      <c r="BK65" s="169"/>
      <c r="BL65" s="168"/>
      <c r="BM65" s="170"/>
      <c r="BN65" s="171"/>
      <c r="BO65" s="68"/>
      <c r="BP65" s="68"/>
      <c r="BQ65" s="68"/>
      <c r="BR65" s="167"/>
      <c r="BS65" s="168"/>
      <c r="BT65" s="169"/>
      <c r="BU65" s="168"/>
      <c r="BV65" s="170"/>
      <c r="BW65" s="171"/>
      <c r="BX65" s="68"/>
      <c r="BY65" s="68"/>
      <c r="BZ65" s="68"/>
      <c r="CA65" s="167"/>
      <c r="CB65" s="168"/>
      <c r="CC65" s="169"/>
      <c r="CD65" s="168"/>
      <c r="CE65" s="170"/>
      <c r="CF65" s="171"/>
      <c r="CG65" s="68"/>
      <c r="CH65" s="68"/>
      <c r="CI65" s="68"/>
      <c r="CJ65" s="167"/>
      <c r="CK65" s="168"/>
      <c r="CL65" s="169"/>
      <c r="CM65" s="168"/>
      <c r="CN65" s="170"/>
      <c r="CO65" s="171"/>
      <c r="CP65" s="68"/>
      <c r="CQ65" s="68"/>
      <c r="CR65" s="68"/>
      <c r="CS65" s="167"/>
      <c r="CT65" s="168"/>
      <c r="CU65" s="169"/>
      <c r="CV65" s="168"/>
      <c r="CW65" s="170"/>
      <c r="CX65" s="171"/>
      <c r="CY65" s="68"/>
      <c r="CZ65" s="68"/>
      <c r="DA65" s="68"/>
      <c r="DB65" s="167"/>
      <c r="DC65" s="168"/>
      <c r="DD65" s="169"/>
      <c r="DE65" s="168"/>
      <c r="DF65" s="170"/>
      <c r="DG65" s="171"/>
      <c r="DH65" s="68"/>
      <c r="DI65" s="68"/>
      <c r="DJ65" s="68"/>
      <c r="DK65" s="167"/>
      <c r="DL65" s="168"/>
      <c r="DM65" s="169"/>
      <c r="DN65" s="168"/>
      <c r="DO65" s="170"/>
      <c r="DP65" s="171"/>
      <c r="DQ65" s="68"/>
      <c r="DR65" s="68"/>
      <c r="DS65" s="68"/>
      <c r="DT65" s="167"/>
      <c r="DU65" s="168"/>
      <c r="DV65" s="169"/>
      <c r="DW65" s="168"/>
      <c r="DX65" s="170"/>
      <c r="DY65" s="171"/>
      <c r="DZ65" s="68"/>
      <c r="EA65" s="68"/>
      <c r="EB65" s="68"/>
      <c r="EC65" s="167"/>
      <c r="ED65" s="168"/>
      <c r="EE65" s="169"/>
      <c r="EF65" s="168"/>
      <c r="EG65" s="170"/>
      <c r="EH65" s="171"/>
      <c r="EI65" s="68"/>
      <c r="EJ65" s="68"/>
      <c r="EK65" s="68"/>
      <c r="EL65" s="167"/>
      <c r="EM65" s="168"/>
      <c r="EN65" s="169"/>
      <c r="EO65" s="168"/>
      <c r="EP65" s="170"/>
      <c r="EQ65" s="171"/>
      <c r="ER65" s="68"/>
      <c r="ES65" s="68"/>
      <c r="ET65" s="68"/>
      <c r="EU65" s="167"/>
      <c r="EV65" s="168"/>
      <c r="EW65" s="169"/>
      <c r="EX65" s="168"/>
      <c r="EY65" s="170"/>
      <c r="EZ65" s="171"/>
      <c r="FA65" s="68"/>
      <c r="FB65" s="68"/>
      <c r="FC65" s="68"/>
      <c r="FD65" s="167"/>
      <c r="FE65" s="168"/>
      <c r="FF65" s="169"/>
      <c r="FG65" s="168"/>
      <c r="FH65" s="170"/>
      <c r="FI65" s="171"/>
      <c r="FJ65" s="68"/>
      <c r="FK65" s="68"/>
      <c r="FL65" s="68"/>
      <c r="FM65" s="167"/>
      <c r="FN65" s="168"/>
      <c r="FO65" s="169"/>
      <c r="FP65" s="168"/>
      <c r="FQ65" s="170"/>
      <c r="FR65" s="171"/>
      <c r="FS65" s="68"/>
      <c r="FT65" s="68"/>
      <c r="FU65" s="68"/>
      <c r="FV65" s="167"/>
      <c r="FW65" s="168"/>
      <c r="FX65" s="169"/>
      <c r="FY65" s="168"/>
      <c r="FZ65" s="170"/>
      <c r="GA65" s="171"/>
      <c r="GB65" s="68"/>
      <c r="GC65" s="68"/>
      <c r="GD65" s="68"/>
      <c r="GE65" s="167"/>
      <c r="GF65" s="168"/>
      <c r="GG65" s="169"/>
      <c r="GH65" s="168"/>
      <c r="GI65" s="170"/>
      <c r="GJ65" s="171"/>
      <c r="GK65" s="68"/>
      <c r="GL65" s="68"/>
      <c r="GM65" s="68"/>
      <c r="GN65" s="167"/>
      <c r="GO65" s="168"/>
      <c r="GP65" s="169"/>
      <c r="GQ65" s="168"/>
      <c r="GR65" s="170"/>
      <c r="GS65" s="171"/>
      <c r="GT65" s="166"/>
      <c r="GU65" s="64"/>
      <c r="GV65" s="65"/>
      <c r="GW65" s="66"/>
      <c r="GX65" s="66"/>
      <c r="GY65" s="66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69"/>
      <c r="L66" s="70"/>
      <c r="M66" s="71"/>
      <c r="N66" s="56"/>
      <c r="O66" s="72"/>
      <c r="P66" s="113">
        <f t="shared" si="3"/>
        <v>0</v>
      </c>
      <c r="Q66" s="117"/>
      <c r="R66" s="117"/>
      <c r="S66" s="117"/>
      <c r="T66" s="39">
        <f t="shared" si="2"/>
        <v>0</v>
      </c>
      <c r="U66" s="138"/>
      <c r="V66" s="166"/>
      <c r="W66" s="86"/>
      <c r="X66" s="68"/>
      <c r="Y66" s="167"/>
      <c r="Z66" s="168"/>
      <c r="AA66" s="169"/>
      <c r="AB66" s="168"/>
      <c r="AC66" s="170"/>
      <c r="AD66" s="171"/>
      <c r="AE66" s="68"/>
      <c r="AF66" s="68"/>
      <c r="AG66" s="68"/>
      <c r="AH66" s="167"/>
      <c r="AI66" s="168"/>
      <c r="AJ66" s="169"/>
      <c r="AK66" s="168"/>
      <c r="AL66" s="170"/>
      <c r="AM66" s="171"/>
      <c r="AN66" s="68"/>
      <c r="AO66" s="68"/>
      <c r="AP66" s="68"/>
      <c r="AQ66" s="167"/>
      <c r="AR66" s="168"/>
      <c r="AS66" s="169"/>
      <c r="AT66" s="168"/>
      <c r="AU66" s="170"/>
      <c r="AV66" s="171"/>
      <c r="AW66" s="68"/>
      <c r="AX66" s="68"/>
      <c r="AY66" s="68"/>
      <c r="AZ66" s="167"/>
      <c r="BA66" s="168"/>
      <c r="BB66" s="169"/>
      <c r="BC66" s="168"/>
      <c r="BD66" s="170"/>
      <c r="BE66" s="171"/>
      <c r="BF66" s="68"/>
      <c r="BG66" s="68"/>
      <c r="BH66" s="68"/>
      <c r="BI66" s="167"/>
      <c r="BJ66" s="168"/>
      <c r="BK66" s="169"/>
      <c r="BL66" s="168"/>
      <c r="BM66" s="170"/>
      <c r="BN66" s="171"/>
      <c r="BO66" s="68"/>
      <c r="BP66" s="68"/>
      <c r="BQ66" s="68"/>
      <c r="BR66" s="167"/>
      <c r="BS66" s="168"/>
      <c r="BT66" s="169"/>
      <c r="BU66" s="168"/>
      <c r="BV66" s="170"/>
      <c r="BW66" s="171"/>
      <c r="BX66" s="68"/>
      <c r="BY66" s="68"/>
      <c r="BZ66" s="68"/>
      <c r="CA66" s="167"/>
      <c r="CB66" s="168"/>
      <c r="CC66" s="169"/>
      <c r="CD66" s="168"/>
      <c r="CE66" s="170"/>
      <c r="CF66" s="171"/>
      <c r="CG66" s="68"/>
      <c r="CH66" s="68"/>
      <c r="CI66" s="68"/>
      <c r="CJ66" s="167"/>
      <c r="CK66" s="168"/>
      <c r="CL66" s="169"/>
      <c r="CM66" s="168"/>
      <c r="CN66" s="170"/>
      <c r="CO66" s="171"/>
      <c r="CP66" s="68"/>
      <c r="CQ66" s="68"/>
      <c r="CR66" s="68"/>
      <c r="CS66" s="167"/>
      <c r="CT66" s="168"/>
      <c r="CU66" s="169"/>
      <c r="CV66" s="168"/>
      <c r="CW66" s="170"/>
      <c r="CX66" s="171"/>
      <c r="CY66" s="68"/>
      <c r="CZ66" s="68"/>
      <c r="DA66" s="68"/>
      <c r="DB66" s="167"/>
      <c r="DC66" s="168"/>
      <c r="DD66" s="169"/>
      <c r="DE66" s="168"/>
      <c r="DF66" s="170"/>
      <c r="DG66" s="171"/>
      <c r="DH66" s="68"/>
      <c r="DI66" s="68"/>
      <c r="DJ66" s="68"/>
      <c r="DK66" s="167"/>
      <c r="DL66" s="168"/>
      <c r="DM66" s="169"/>
      <c r="DN66" s="168"/>
      <c r="DO66" s="170"/>
      <c r="DP66" s="171"/>
      <c r="DQ66" s="68"/>
      <c r="DR66" s="68"/>
      <c r="DS66" s="68"/>
      <c r="DT66" s="167"/>
      <c r="DU66" s="168"/>
      <c r="DV66" s="169"/>
      <c r="DW66" s="168"/>
      <c r="DX66" s="170"/>
      <c r="DY66" s="171"/>
      <c r="DZ66" s="68"/>
      <c r="EA66" s="68"/>
      <c r="EB66" s="68"/>
      <c r="EC66" s="167"/>
      <c r="ED66" s="168"/>
      <c r="EE66" s="169"/>
      <c r="EF66" s="168"/>
      <c r="EG66" s="170"/>
      <c r="EH66" s="171"/>
      <c r="EI66" s="68"/>
      <c r="EJ66" s="68"/>
      <c r="EK66" s="68"/>
      <c r="EL66" s="167"/>
      <c r="EM66" s="168"/>
      <c r="EN66" s="169"/>
      <c r="EO66" s="168"/>
      <c r="EP66" s="170"/>
      <c r="EQ66" s="171"/>
      <c r="ER66" s="68"/>
      <c r="ES66" s="68"/>
      <c r="ET66" s="68"/>
      <c r="EU66" s="167"/>
      <c r="EV66" s="168"/>
      <c r="EW66" s="169"/>
      <c r="EX66" s="168"/>
      <c r="EY66" s="170"/>
      <c r="EZ66" s="171"/>
      <c r="FA66" s="68"/>
      <c r="FB66" s="68"/>
      <c r="FC66" s="68"/>
      <c r="FD66" s="167"/>
      <c r="FE66" s="168"/>
      <c r="FF66" s="169"/>
      <c r="FG66" s="168"/>
      <c r="FH66" s="170"/>
      <c r="FI66" s="171"/>
      <c r="FJ66" s="68"/>
      <c r="FK66" s="68"/>
      <c r="FL66" s="68"/>
      <c r="FM66" s="167"/>
      <c r="FN66" s="168"/>
      <c r="FO66" s="169"/>
      <c r="FP66" s="168"/>
      <c r="FQ66" s="170"/>
      <c r="FR66" s="171"/>
      <c r="FS66" s="68"/>
      <c r="FT66" s="68"/>
      <c r="FU66" s="68"/>
      <c r="FV66" s="167"/>
      <c r="FW66" s="168"/>
      <c r="FX66" s="169"/>
      <c r="FY66" s="168"/>
      <c r="FZ66" s="170"/>
      <c r="GA66" s="171"/>
      <c r="GB66" s="68"/>
      <c r="GC66" s="68"/>
      <c r="GD66" s="68"/>
      <c r="GE66" s="167"/>
      <c r="GF66" s="168"/>
      <c r="GG66" s="169"/>
      <c r="GH66" s="168"/>
      <c r="GI66" s="170"/>
      <c r="GJ66" s="171"/>
      <c r="GK66" s="68"/>
      <c r="GL66" s="68"/>
      <c r="GM66" s="68"/>
      <c r="GN66" s="167"/>
      <c r="GO66" s="168"/>
      <c r="GP66" s="169"/>
      <c r="GQ66" s="168"/>
      <c r="GR66" s="170"/>
      <c r="GS66" s="171"/>
      <c r="GT66" s="171"/>
      <c r="GU66" s="64"/>
      <c r="GV66" s="65"/>
      <c r="GW66" s="66"/>
      <c r="GX66" s="66"/>
      <c r="GY66" s="66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69"/>
      <c r="L67" s="70"/>
      <c r="M67" s="71"/>
      <c r="N67" s="56"/>
      <c r="O67" s="72"/>
      <c r="P67" s="113">
        <f t="shared" si="3"/>
        <v>0</v>
      </c>
      <c r="Q67" s="117"/>
      <c r="R67" s="117"/>
      <c r="S67" s="117"/>
      <c r="T67" s="39">
        <f t="shared" si="2"/>
        <v>0</v>
      </c>
      <c r="U67" s="138"/>
      <c r="V67" s="166"/>
      <c r="W67" s="86"/>
      <c r="X67" s="68"/>
      <c r="Y67" s="167"/>
      <c r="Z67" s="168"/>
      <c r="AA67" s="169"/>
      <c r="AB67" s="168"/>
      <c r="AC67" s="170"/>
      <c r="AD67" s="171"/>
      <c r="AE67" s="68"/>
      <c r="AF67" s="68"/>
      <c r="AG67" s="68"/>
      <c r="AH67" s="167"/>
      <c r="AI67" s="168"/>
      <c r="AJ67" s="169"/>
      <c r="AK67" s="168"/>
      <c r="AL67" s="170"/>
      <c r="AM67" s="171"/>
      <c r="AN67" s="68"/>
      <c r="AO67" s="68"/>
      <c r="AP67" s="68"/>
      <c r="AQ67" s="167"/>
      <c r="AR67" s="168"/>
      <c r="AS67" s="169"/>
      <c r="AT67" s="168"/>
      <c r="AU67" s="170"/>
      <c r="AV67" s="171"/>
      <c r="AW67" s="68"/>
      <c r="AX67" s="68"/>
      <c r="AY67" s="68"/>
      <c r="AZ67" s="167"/>
      <c r="BA67" s="168"/>
      <c r="BB67" s="169"/>
      <c r="BC67" s="168"/>
      <c r="BD67" s="170"/>
      <c r="BE67" s="171"/>
      <c r="BF67" s="68"/>
      <c r="BG67" s="68"/>
      <c r="BH67" s="68"/>
      <c r="BI67" s="167"/>
      <c r="BJ67" s="168"/>
      <c r="BK67" s="169"/>
      <c r="BL67" s="168"/>
      <c r="BM67" s="170"/>
      <c r="BN67" s="171"/>
      <c r="BO67" s="68"/>
      <c r="BP67" s="68"/>
      <c r="BQ67" s="68"/>
      <c r="BR67" s="167"/>
      <c r="BS67" s="168"/>
      <c r="BT67" s="169"/>
      <c r="BU67" s="168"/>
      <c r="BV67" s="170"/>
      <c r="BW67" s="171"/>
      <c r="BX67" s="68"/>
      <c r="BY67" s="68"/>
      <c r="BZ67" s="68"/>
      <c r="CA67" s="167"/>
      <c r="CB67" s="168"/>
      <c r="CC67" s="169"/>
      <c r="CD67" s="168"/>
      <c r="CE67" s="170"/>
      <c r="CF67" s="171"/>
      <c r="CG67" s="68"/>
      <c r="CH67" s="68"/>
      <c r="CI67" s="68"/>
      <c r="CJ67" s="167"/>
      <c r="CK67" s="168"/>
      <c r="CL67" s="169"/>
      <c r="CM67" s="168"/>
      <c r="CN67" s="170"/>
      <c r="CO67" s="171"/>
      <c r="CP67" s="68"/>
      <c r="CQ67" s="68"/>
      <c r="CR67" s="68"/>
      <c r="CS67" s="167"/>
      <c r="CT67" s="168"/>
      <c r="CU67" s="169"/>
      <c r="CV67" s="168"/>
      <c r="CW67" s="170"/>
      <c r="CX67" s="171"/>
      <c r="CY67" s="68"/>
      <c r="CZ67" s="68"/>
      <c r="DA67" s="68"/>
      <c r="DB67" s="167"/>
      <c r="DC67" s="168"/>
      <c r="DD67" s="169"/>
      <c r="DE67" s="168"/>
      <c r="DF67" s="170"/>
      <c r="DG67" s="171"/>
      <c r="DH67" s="68"/>
      <c r="DI67" s="68"/>
      <c r="DJ67" s="68"/>
      <c r="DK67" s="167"/>
      <c r="DL67" s="168"/>
      <c r="DM67" s="169"/>
      <c r="DN67" s="168"/>
      <c r="DO67" s="170"/>
      <c r="DP67" s="171"/>
      <c r="DQ67" s="68"/>
      <c r="DR67" s="68"/>
      <c r="DS67" s="68"/>
      <c r="DT67" s="167"/>
      <c r="DU67" s="168"/>
      <c r="DV67" s="169"/>
      <c r="DW67" s="168"/>
      <c r="DX67" s="170"/>
      <c r="DY67" s="171"/>
      <c r="DZ67" s="68"/>
      <c r="EA67" s="68"/>
      <c r="EB67" s="68"/>
      <c r="EC67" s="167"/>
      <c r="ED67" s="168"/>
      <c r="EE67" s="169"/>
      <c r="EF67" s="168"/>
      <c r="EG67" s="170"/>
      <c r="EH67" s="171"/>
      <c r="EI67" s="68"/>
      <c r="EJ67" s="68"/>
      <c r="EK67" s="68"/>
      <c r="EL67" s="167"/>
      <c r="EM67" s="168"/>
      <c r="EN67" s="169"/>
      <c r="EO67" s="168"/>
      <c r="EP67" s="170"/>
      <c r="EQ67" s="171"/>
      <c r="ER67" s="68"/>
      <c r="ES67" s="68"/>
      <c r="ET67" s="68"/>
      <c r="EU67" s="167"/>
      <c r="EV67" s="168"/>
      <c r="EW67" s="169"/>
      <c r="EX67" s="168"/>
      <c r="EY67" s="170"/>
      <c r="EZ67" s="171"/>
      <c r="FA67" s="68"/>
      <c r="FB67" s="68"/>
      <c r="FC67" s="68"/>
      <c r="FD67" s="167"/>
      <c r="FE67" s="168"/>
      <c r="FF67" s="169"/>
      <c r="FG67" s="168"/>
      <c r="FH67" s="170"/>
      <c r="FI67" s="171"/>
      <c r="FJ67" s="68"/>
      <c r="FK67" s="68"/>
      <c r="FL67" s="68"/>
      <c r="FM67" s="167"/>
      <c r="FN67" s="168"/>
      <c r="FO67" s="169"/>
      <c r="FP67" s="168"/>
      <c r="FQ67" s="170"/>
      <c r="FR67" s="171"/>
      <c r="FS67" s="68"/>
      <c r="FT67" s="68"/>
      <c r="FU67" s="68"/>
      <c r="FV67" s="167"/>
      <c r="FW67" s="168"/>
      <c r="FX67" s="169"/>
      <c r="FY67" s="168"/>
      <c r="FZ67" s="170"/>
      <c r="GA67" s="171"/>
      <c r="GB67" s="68"/>
      <c r="GC67" s="68"/>
      <c r="GD67" s="68"/>
      <c r="GE67" s="167"/>
      <c r="GF67" s="168"/>
      <c r="GG67" s="169"/>
      <c r="GH67" s="168"/>
      <c r="GI67" s="170"/>
      <c r="GJ67" s="171"/>
      <c r="GK67" s="68"/>
      <c r="GL67" s="68"/>
      <c r="GM67" s="68"/>
      <c r="GN67" s="167"/>
      <c r="GO67" s="168"/>
      <c r="GP67" s="169"/>
      <c r="GQ67" s="168"/>
      <c r="GR67" s="170"/>
      <c r="GS67" s="171"/>
      <c r="GT67" s="171"/>
      <c r="GU67" s="64"/>
      <c r="GV67" s="65"/>
      <c r="GW67" s="66"/>
      <c r="GX67" s="66"/>
      <c r="GY67" s="66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69"/>
      <c r="L68" s="70"/>
      <c r="M68" s="71"/>
      <c r="N68" s="56"/>
      <c r="O68" s="72"/>
      <c r="P68" s="113">
        <f t="shared" si="3"/>
        <v>0</v>
      </c>
      <c r="Q68" s="117"/>
      <c r="R68" s="117"/>
      <c r="S68" s="117"/>
      <c r="T68" s="39">
        <f t="shared" si="2"/>
        <v>0</v>
      </c>
      <c r="U68" s="138"/>
      <c r="V68" s="166"/>
      <c r="W68" s="86"/>
      <c r="X68" s="68"/>
      <c r="Y68" s="167"/>
      <c r="Z68" s="168"/>
      <c r="AA68" s="169"/>
      <c r="AB68" s="168"/>
      <c r="AC68" s="170"/>
      <c r="AD68" s="171"/>
      <c r="AE68" s="68"/>
      <c r="AF68" s="68"/>
      <c r="AG68" s="68"/>
      <c r="AH68" s="167"/>
      <c r="AI68" s="168"/>
      <c r="AJ68" s="169"/>
      <c r="AK68" s="168"/>
      <c r="AL68" s="170"/>
      <c r="AM68" s="171"/>
      <c r="AN68" s="68"/>
      <c r="AO68" s="68"/>
      <c r="AP68" s="68"/>
      <c r="AQ68" s="167"/>
      <c r="AR68" s="168"/>
      <c r="AS68" s="169"/>
      <c r="AT68" s="168"/>
      <c r="AU68" s="170"/>
      <c r="AV68" s="171"/>
      <c r="AW68" s="68"/>
      <c r="AX68" s="68"/>
      <c r="AY68" s="68"/>
      <c r="AZ68" s="167"/>
      <c r="BA68" s="168"/>
      <c r="BB68" s="169"/>
      <c r="BC68" s="168"/>
      <c r="BD68" s="170"/>
      <c r="BE68" s="171"/>
      <c r="BF68" s="68"/>
      <c r="BG68" s="68"/>
      <c r="BH68" s="68"/>
      <c r="BI68" s="167"/>
      <c r="BJ68" s="168"/>
      <c r="BK68" s="169"/>
      <c r="BL68" s="168"/>
      <c r="BM68" s="170"/>
      <c r="BN68" s="171"/>
      <c r="BO68" s="68"/>
      <c r="BP68" s="68"/>
      <c r="BQ68" s="68"/>
      <c r="BR68" s="167"/>
      <c r="BS68" s="168"/>
      <c r="BT68" s="169"/>
      <c r="BU68" s="168"/>
      <c r="BV68" s="170"/>
      <c r="BW68" s="171"/>
      <c r="BX68" s="68"/>
      <c r="BY68" s="68"/>
      <c r="BZ68" s="68"/>
      <c r="CA68" s="167"/>
      <c r="CB68" s="168"/>
      <c r="CC68" s="169"/>
      <c r="CD68" s="168"/>
      <c r="CE68" s="170"/>
      <c r="CF68" s="171"/>
      <c r="CG68" s="68"/>
      <c r="CH68" s="68"/>
      <c r="CI68" s="68"/>
      <c r="CJ68" s="167"/>
      <c r="CK68" s="168"/>
      <c r="CL68" s="169"/>
      <c r="CM68" s="168"/>
      <c r="CN68" s="170"/>
      <c r="CO68" s="171"/>
      <c r="CP68" s="68"/>
      <c r="CQ68" s="68"/>
      <c r="CR68" s="68"/>
      <c r="CS68" s="167"/>
      <c r="CT68" s="168"/>
      <c r="CU68" s="169"/>
      <c r="CV68" s="168"/>
      <c r="CW68" s="170"/>
      <c r="CX68" s="171"/>
      <c r="CY68" s="68"/>
      <c r="CZ68" s="68"/>
      <c r="DA68" s="68"/>
      <c r="DB68" s="167"/>
      <c r="DC68" s="168"/>
      <c r="DD68" s="169"/>
      <c r="DE68" s="168"/>
      <c r="DF68" s="170"/>
      <c r="DG68" s="171"/>
      <c r="DH68" s="68"/>
      <c r="DI68" s="68"/>
      <c r="DJ68" s="68"/>
      <c r="DK68" s="167"/>
      <c r="DL68" s="168"/>
      <c r="DM68" s="169"/>
      <c r="DN68" s="168"/>
      <c r="DO68" s="170"/>
      <c r="DP68" s="171"/>
      <c r="DQ68" s="68"/>
      <c r="DR68" s="68"/>
      <c r="DS68" s="68"/>
      <c r="DT68" s="167"/>
      <c r="DU68" s="168"/>
      <c r="DV68" s="169"/>
      <c r="DW68" s="168"/>
      <c r="DX68" s="170"/>
      <c r="DY68" s="171"/>
      <c r="DZ68" s="68"/>
      <c r="EA68" s="68"/>
      <c r="EB68" s="68"/>
      <c r="EC68" s="167"/>
      <c r="ED68" s="168"/>
      <c r="EE68" s="169"/>
      <c r="EF68" s="168"/>
      <c r="EG68" s="170"/>
      <c r="EH68" s="171"/>
      <c r="EI68" s="68"/>
      <c r="EJ68" s="68"/>
      <c r="EK68" s="68"/>
      <c r="EL68" s="167"/>
      <c r="EM68" s="168"/>
      <c r="EN68" s="169"/>
      <c r="EO68" s="168"/>
      <c r="EP68" s="170"/>
      <c r="EQ68" s="171"/>
      <c r="ER68" s="68"/>
      <c r="ES68" s="68"/>
      <c r="ET68" s="68"/>
      <c r="EU68" s="167"/>
      <c r="EV68" s="168"/>
      <c r="EW68" s="169"/>
      <c r="EX68" s="168"/>
      <c r="EY68" s="170"/>
      <c r="EZ68" s="171"/>
      <c r="FA68" s="68"/>
      <c r="FB68" s="68"/>
      <c r="FC68" s="68"/>
      <c r="FD68" s="167"/>
      <c r="FE68" s="168"/>
      <c r="FF68" s="169"/>
      <c r="FG68" s="168"/>
      <c r="FH68" s="170"/>
      <c r="FI68" s="171"/>
      <c r="FJ68" s="68"/>
      <c r="FK68" s="68"/>
      <c r="FL68" s="68"/>
      <c r="FM68" s="167"/>
      <c r="FN68" s="168"/>
      <c r="FO68" s="169"/>
      <c r="FP68" s="168"/>
      <c r="FQ68" s="170"/>
      <c r="FR68" s="171"/>
      <c r="FS68" s="68"/>
      <c r="FT68" s="68"/>
      <c r="FU68" s="68"/>
      <c r="FV68" s="167"/>
      <c r="FW68" s="168"/>
      <c r="FX68" s="169"/>
      <c r="FY68" s="168"/>
      <c r="FZ68" s="170"/>
      <c r="GA68" s="171"/>
      <c r="GB68" s="68"/>
      <c r="GC68" s="68"/>
      <c r="GD68" s="68"/>
      <c r="GE68" s="167"/>
      <c r="GF68" s="168"/>
      <c r="GG68" s="169"/>
      <c r="GH68" s="168"/>
      <c r="GI68" s="170"/>
      <c r="GJ68" s="171"/>
      <c r="GK68" s="68"/>
      <c r="GL68" s="68"/>
      <c r="GM68" s="68"/>
      <c r="GN68" s="167"/>
      <c r="GO68" s="168"/>
      <c r="GP68" s="169"/>
      <c r="GQ68" s="168"/>
      <c r="GR68" s="170"/>
      <c r="GS68" s="171"/>
      <c r="GT68" s="171"/>
      <c r="GU68" s="64"/>
      <c r="GV68" s="65"/>
      <c r="GW68" s="66"/>
      <c r="GX68" s="66"/>
      <c r="GY68" s="66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69"/>
      <c r="L69" s="70"/>
      <c r="M69" s="71"/>
      <c r="N69" s="56"/>
      <c r="O69" s="72"/>
      <c r="P69" s="113">
        <f t="shared" si="3"/>
        <v>0</v>
      </c>
      <c r="Q69" s="117"/>
      <c r="R69" s="117"/>
      <c r="S69" s="117"/>
      <c r="T69" s="39">
        <f t="shared" si="2"/>
        <v>0</v>
      </c>
      <c r="U69" s="138"/>
      <c r="V69" s="166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71"/>
      <c r="GU69" s="64"/>
      <c r="GV69" s="65"/>
      <c r="GW69" s="66"/>
      <c r="GX69" s="66"/>
      <c r="GY69" s="66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68"/>
      <c r="K70" s="69"/>
      <c r="L70" s="70"/>
      <c r="M70" s="71"/>
      <c r="N70" s="56"/>
      <c r="O70" s="72"/>
      <c r="P70" s="113">
        <f t="shared" si="3"/>
        <v>0</v>
      </c>
      <c r="Q70" s="117"/>
      <c r="R70" s="117"/>
      <c r="S70" s="117"/>
      <c r="T70" s="39">
        <f t="shared" si="2"/>
        <v>0</v>
      </c>
      <c r="U70" s="138"/>
      <c r="V70" s="172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71"/>
      <c r="GU70" s="64"/>
      <c r="GV70" s="65"/>
      <c r="GW70" s="66"/>
      <c r="GX70" s="66"/>
      <c r="GY70" s="66"/>
      <c r="GZ70" s="86"/>
    </row>
    <row r="71" spans="1:208" x14ac:dyDescent="0.25">
      <c r="A71"/>
      <c r="D71" s="35"/>
      <c r="E71" s="36"/>
      <c r="F71" s="37"/>
      <c r="G71" s="38"/>
      <c r="H71" s="39"/>
      <c r="I71" s="40"/>
      <c r="J71" s="68"/>
      <c r="K71" s="69"/>
      <c r="L71" s="70"/>
      <c r="M71" s="71"/>
      <c r="N71" s="173"/>
      <c r="O71" s="72"/>
      <c r="P71" s="113">
        <f t="shared" si="3"/>
        <v>0</v>
      </c>
      <c r="Q71" s="117"/>
      <c r="R71" s="117"/>
      <c r="S71" s="117"/>
      <c r="T71" s="39">
        <f t="shared" si="2"/>
        <v>0</v>
      </c>
      <c r="U71" s="138"/>
      <c r="V71" s="172"/>
      <c r="W71" s="86"/>
      <c r="X71" s="68"/>
      <c r="Y71" s="167"/>
      <c r="Z71" s="168"/>
      <c r="AA71" s="169"/>
      <c r="AB71" s="168"/>
      <c r="AC71" s="170"/>
      <c r="AD71" s="171"/>
      <c r="AE71" s="68"/>
      <c r="AF71" s="68"/>
      <c r="AG71" s="68"/>
      <c r="AH71" s="167"/>
      <c r="AI71" s="168"/>
      <c r="AJ71" s="169"/>
      <c r="AK71" s="168"/>
      <c r="AL71" s="170"/>
      <c r="AM71" s="171"/>
      <c r="AN71" s="68"/>
      <c r="AO71" s="68"/>
      <c r="AP71" s="68"/>
      <c r="AQ71" s="167"/>
      <c r="AR71" s="168"/>
      <c r="AS71" s="169"/>
      <c r="AT71" s="168"/>
      <c r="AU71" s="170"/>
      <c r="AV71" s="171"/>
      <c r="AW71" s="68"/>
      <c r="AX71" s="68"/>
      <c r="AY71" s="68"/>
      <c r="AZ71" s="167"/>
      <c r="BA71" s="168"/>
      <c r="BB71" s="169"/>
      <c r="BC71" s="168"/>
      <c r="BD71" s="170"/>
      <c r="BE71" s="171"/>
      <c r="BF71" s="68"/>
      <c r="BG71" s="68"/>
      <c r="BH71" s="68"/>
      <c r="BI71" s="167"/>
      <c r="BJ71" s="168"/>
      <c r="BK71" s="169"/>
      <c r="BL71" s="168"/>
      <c r="BM71" s="170"/>
      <c r="BN71" s="171"/>
      <c r="BO71" s="68"/>
      <c r="BP71" s="68"/>
      <c r="BQ71" s="68"/>
      <c r="BR71" s="167"/>
      <c r="BS71" s="168"/>
      <c r="BT71" s="169"/>
      <c r="BU71" s="168"/>
      <c r="BV71" s="170"/>
      <c r="BW71" s="171"/>
      <c r="BX71" s="68"/>
      <c r="BY71" s="68"/>
      <c r="BZ71" s="68"/>
      <c r="CA71" s="167"/>
      <c r="CB71" s="168"/>
      <c r="CC71" s="169"/>
      <c r="CD71" s="168"/>
      <c r="CE71" s="170"/>
      <c r="CF71" s="171"/>
      <c r="CG71" s="68"/>
      <c r="CH71" s="68"/>
      <c r="CI71" s="68"/>
      <c r="CJ71" s="167"/>
      <c r="CK71" s="168"/>
      <c r="CL71" s="169"/>
      <c r="CM71" s="168"/>
      <c r="CN71" s="170"/>
      <c r="CO71" s="171"/>
      <c r="CP71" s="68"/>
      <c r="CQ71" s="68"/>
      <c r="CR71" s="68"/>
      <c r="CS71" s="167"/>
      <c r="CT71" s="168"/>
      <c r="CU71" s="169"/>
      <c r="CV71" s="168"/>
      <c r="CW71" s="170"/>
      <c r="CX71" s="171"/>
      <c r="CY71" s="68"/>
      <c r="CZ71" s="68"/>
      <c r="DA71" s="68"/>
      <c r="DB71" s="167"/>
      <c r="DC71" s="168"/>
      <c r="DD71" s="169"/>
      <c r="DE71" s="168"/>
      <c r="DF71" s="170"/>
      <c r="DG71" s="171"/>
      <c r="DH71" s="68"/>
      <c r="DI71" s="68"/>
      <c r="DJ71" s="68"/>
      <c r="DK71" s="167"/>
      <c r="DL71" s="168"/>
      <c r="DM71" s="169"/>
      <c r="DN71" s="168"/>
      <c r="DO71" s="170"/>
      <c r="DP71" s="171"/>
      <c r="DQ71" s="68"/>
      <c r="DR71" s="68"/>
      <c r="DS71" s="68"/>
      <c r="DT71" s="167"/>
      <c r="DU71" s="168"/>
      <c r="DV71" s="169"/>
      <c r="DW71" s="168"/>
      <c r="DX71" s="170"/>
      <c r="DY71" s="171"/>
      <c r="DZ71" s="68"/>
      <c r="EA71" s="68"/>
      <c r="EB71" s="68"/>
      <c r="EC71" s="167"/>
      <c r="ED71" s="168"/>
      <c r="EE71" s="169"/>
      <c r="EF71" s="168"/>
      <c r="EG71" s="170"/>
      <c r="EH71" s="171"/>
      <c r="EI71" s="68"/>
      <c r="EJ71" s="68"/>
      <c r="EK71" s="68"/>
      <c r="EL71" s="167"/>
      <c r="EM71" s="168"/>
      <c r="EN71" s="169"/>
      <c r="EO71" s="168"/>
      <c r="EP71" s="170"/>
      <c r="EQ71" s="171"/>
      <c r="ER71" s="68"/>
      <c r="ES71" s="68"/>
      <c r="ET71" s="68"/>
      <c r="EU71" s="167"/>
      <c r="EV71" s="168"/>
      <c r="EW71" s="169"/>
      <c r="EX71" s="168"/>
      <c r="EY71" s="170"/>
      <c r="EZ71" s="171"/>
      <c r="FA71" s="68"/>
      <c r="FB71" s="68"/>
      <c r="FC71" s="68"/>
      <c r="FD71" s="167"/>
      <c r="FE71" s="168"/>
      <c r="FF71" s="169"/>
      <c r="FG71" s="168"/>
      <c r="FH71" s="170"/>
      <c r="FI71" s="171"/>
      <c r="FJ71" s="68"/>
      <c r="FK71" s="68"/>
      <c r="FL71" s="68"/>
      <c r="FM71" s="167"/>
      <c r="FN71" s="168"/>
      <c r="FO71" s="169"/>
      <c r="FP71" s="168"/>
      <c r="FQ71" s="170"/>
      <c r="FR71" s="171"/>
      <c r="FS71" s="68"/>
      <c r="FT71" s="68"/>
      <c r="FU71" s="68"/>
      <c r="FV71" s="167"/>
      <c r="FW71" s="168"/>
      <c r="FX71" s="169"/>
      <c r="FY71" s="168"/>
      <c r="FZ71" s="170"/>
      <c r="GA71" s="171"/>
      <c r="GB71" s="68"/>
      <c r="GC71" s="68"/>
      <c r="GD71" s="68"/>
      <c r="GE71" s="167"/>
      <c r="GF71" s="168"/>
      <c r="GG71" s="169"/>
      <c r="GH71" s="168"/>
      <c r="GI71" s="170"/>
      <c r="GJ71" s="171"/>
      <c r="GK71" s="68"/>
      <c r="GL71" s="68"/>
      <c r="GM71" s="68"/>
      <c r="GN71" s="167"/>
      <c r="GO71" s="168"/>
      <c r="GP71" s="169"/>
      <c r="GQ71" s="168"/>
      <c r="GR71" s="170"/>
      <c r="GS71" s="171"/>
      <c r="GT71" s="171">
        <v>4</v>
      </c>
      <c r="GU71" s="64"/>
      <c r="GV71" s="65"/>
      <c r="GW71" s="66"/>
      <c r="GX71" s="66"/>
      <c r="GY71" s="66"/>
      <c r="GZ71" s="86"/>
    </row>
    <row r="72" spans="1:208" x14ac:dyDescent="0.25">
      <c r="A72"/>
      <c r="D72" s="35"/>
      <c r="E72" s="36"/>
      <c r="F72" s="37"/>
      <c r="G72" s="38"/>
      <c r="H72" s="39"/>
      <c r="I72" s="40"/>
      <c r="J72" s="174"/>
      <c r="K72" s="69"/>
      <c r="L72" s="70"/>
      <c r="M72" s="71"/>
      <c r="N72" s="175"/>
      <c r="O72" s="72"/>
      <c r="P72" s="113">
        <f t="shared" si="3"/>
        <v>0</v>
      </c>
      <c r="Q72" s="117"/>
      <c r="R72" s="117"/>
      <c r="S72" s="117"/>
      <c r="T72" s="39">
        <f t="shared" si="2"/>
        <v>0</v>
      </c>
      <c r="U72" s="138"/>
      <c r="V72" s="172"/>
      <c r="W72" s="86"/>
      <c r="X72" s="68"/>
      <c r="Y72" s="167"/>
      <c r="Z72" s="168"/>
      <c r="AA72" s="169"/>
      <c r="AB72" s="168"/>
      <c r="AC72" s="170"/>
      <c r="AD72" s="171"/>
      <c r="AE72" s="68"/>
      <c r="AF72" s="68"/>
      <c r="AG72" s="68"/>
      <c r="AH72" s="167"/>
      <c r="AI72" s="168"/>
      <c r="AJ72" s="169"/>
      <c r="AK72" s="168"/>
      <c r="AL72" s="170"/>
      <c r="AM72" s="171"/>
      <c r="AN72" s="68"/>
      <c r="AO72" s="68"/>
      <c r="AP72" s="68"/>
      <c r="AQ72" s="167"/>
      <c r="AR72" s="168"/>
      <c r="AS72" s="169"/>
      <c r="AT72" s="168"/>
      <c r="AU72" s="170"/>
      <c r="AV72" s="171"/>
      <c r="AW72" s="68"/>
      <c r="AX72" s="68"/>
      <c r="AY72" s="68"/>
      <c r="AZ72" s="167"/>
      <c r="BA72" s="168"/>
      <c r="BB72" s="169"/>
      <c r="BC72" s="168"/>
      <c r="BD72" s="170"/>
      <c r="BE72" s="171"/>
      <c r="BF72" s="68"/>
      <c r="BG72" s="68"/>
      <c r="BH72" s="68"/>
      <c r="BI72" s="167"/>
      <c r="BJ72" s="168"/>
      <c r="BK72" s="169"/>
      <c r="BL72" s="168"/>
      <c r="BM72" s="170"/>
      <c r="BN72" s="171"/>
      <c r="BO72" s="68"/>
      <c r="BP72" s="68"/>
      <c r="BQ72" s="68"/>
      <c r="BR72" s="167"/>
      <c r="BS72" s="168"/>
      <c r="BT72" s="169"/>
      <c r="BU72" s="168"/>
      <c r="BV72" s="170"/>
      <c r="BW72" s="171"/>
      <c r="BX72" s="68"/>
      <c r="BY72" s="68"/>
      <c r="BZ72" s="68"/>
      <c r="CA72" s="167"/>
      <c r="CB72" s="168"/>
      <c r="CC72" s="169"/>
      <c r="CD72" s="168"/>
      <c r="CE72" s="170"/>
      <c r="CF72" s="171"/>
      <c r="CG72" s="68"/>
      <c r="CH72" s="68"/>
      <c r="CI72" s="68"/>
      <c r="CJ72" s="167"/>
      <c r="CK72" s="168"/>
      <c r="CL72" s="169"/>
      <c r="CM72" s="168"/>
      <c r="CN72" s="170"/>
      <c r="CO72" s="171"/>
      <c r="CP72" s="68"/>
      <c r="CQ72" s="68"/>
      <c r="CR72" s="68"/>
      <c r="CS72" s="167"/>
      <c r="CT72" s="168"/>
      <c r="CU72" s="169"/>
      <c r="CV72" s="168"/>
      <c r="CW72" s="170"/>
      <c r="CX72" s="171"/>
      <c r="CY72" s="68"/>
      <c r="CZ72" s="68"/>
      <c r="DA72" s="68"/>
      <c r="DB72" s="167"/>
      <c r="DC72" s="168"/>
      <c r="DD72" s="169"/>
      <c r="DE72" s="168"/>
      <c r="DF72" s="170"/>
      <c r="DG72" s="171"/>
      <c r="DH72" s="68"/>
      <c r="DI72" s="68"/>
      <c r="DJ72" s="68"/>
      <c r="DK72" s="167"/>
      <c r="DL72" s="168"/>
      <c r="DM72" s="169"/>
      <c r="DN72" s="168"/>
      <c r="DO72" s="170"/>
      <c r="DP72" s="171"/>
      <c r="DQ72" s="68"/>
      <c r="DR72" s="68"/>
      <c r="DS72" s="68"/>
      <c r="DT72" s="167"/>
      <c r="DU72" s="168"/>
      <c r="DV72" s="169"/>
      <c r="DW72" s="168"/>
      <c r="DX72" s="170"/>
      <c r="DY72" s="171"/>
      <c r="DZ72" s="68"/>
      <c r="EA72" s="68"/>
      <c r="EB72" s="68"/>
      <c r="EC72" s="167"/>
      <c r="ED72" s="168"/>
      <c r="EE72" s="169"/>
      <c r="EF72" s="168"/>
      <c r="EG72" s="170"/>
      <c r="EH72" s="171"/>
      <c r="EI72" s="68"/>
      <c r="EJ72" s="68"/>
      <c r="EK72" s="68"/>
      <c r="EL72" s="167"/>
      <c r="EM72" s="168"/>
      <c r="EN72" s="169"/>
      <c r="EO72" s="168"/>
      <c r="EP72" s="170"/>
      <c r="EQ72" s="171"/>
      <c r="ER72" s="68"/>
      <c r="ES72" s="68"/>
      <c r="ET72" s="68"/>
      <c r="EU72" s="167"/>
      <c r="EV72" s="168"/>
      <c r="EW72" s="169"/>
      <c r="EX72" s="168"/>
      <c r="EY72" s="170"/>
      <c r="EZ72" s="171"/>
      <c r="FA72" s="68"/>
      <c r="FB72" s="68"/>
      <c r="FC72" s="68"/>
      <c r="FD72" s="167"/>
      <c r="FE72" s="168"/>
      <c r="FF72" s="169"/>
      <c r="FG72" s="168"/>
      <c r="FH72" s="170"/>
      <c r="FI72" s="171"/>
      <c r="FJ72" s="68"/>
      <c r="FK72" s="68"/>
      <c r="FL72" s="68"/>
      <c r="FM72" s="167"/>
      <c r="FN72" s="168"/>
      <c r="FO72" s="169"/>
      <c r="FP72" s="168"/>
      <c r="FQ72" s="170"/>
      <c r="FR72" s="171"/>
      <c r="FS72" s="68"/>
      <c r="FT72" s="68"/>
      <c r="FU72" s="68"/>
      <c r="FV72" s="167"/>
      <c r="FW72" s="168"/>
      <c r="FX72" s="169"/>
      <c r="FY72" s="168"/>
      <c r="FZ72" s="170"/>
      <c r="GA72" s="171"/>
      <c r="GB72" s="68"/>
      <c r="GC72" s="68"/>
      <c r="GD72" s="68"/>
      <c r="GE72" s="167"/>
      <c r="GF72" s="168"/>
      <c r="GG72" s="169"/>
      <c r="GH72" s="168"/>
      <c r="GI72" s="170"/>
      <c r="GJ72" s="171"/>
      <c r="GK72" s="68"/>
      <c r="GL72" s="68"/>
      <c r="GM72" s="68"/>
      <c r="GN72" s="167"/>
      <c r="GO72" s="168"/>
      <c r="GP72" s="169"/>
      <c r="GQ72" s="168"/>
      <c r="GR72" s="170"/>
      <c r="GS72" s="171"/>
      <c r="GT72" s="171"/>
      <c r="GU72" s="64"/>
      <c r="GV72" s="65"/>
      <c r="GW72" s="66"/>
      <c r="GX72" s="66"/>
      <c r="GY72" s="461"/>
      <c r="GZ72" s="67"/>
    </row>
    <row r="73" spans="1:208" x14ac:dyDescent="0.25">
      <c r="A73"/>
      <c r="D73" s="35"/>
      <c r="E73" s="36"/>
      <c r="F73" s="37"/>
      <c r="G73" s="38"/>
      <c r="H73" s="39"/>
      <c r="I73" s="40"/>
      <c r="J73" s="177"/>
      <c r="K73" s="178"/>
      <c r="N73" s="179"/>
      <c r="P73" s="27"/>
      <c r="Q73" s="180"/>
      <c r="R73" s="180"/>
      <c r="S73" s="180"/>
      <c r="T73" s="39">
        <f t="shared" si="2"/>
        <v>0</v>
      </c>
      <c r="U73" s="181"/>
      <c r="V73" s="182"/>
      <c r="W73" s="30"/>
      <c r="X73" s="8"/>
      <c r="Y73" s="183"/>
      <c r="Z73" s="184"/>
      <c r="AA73" s="185"/>
      <c r="AB73" s="184"/>
      <c r="AC73" s="186"/>
      <c r="AD73" s="187"/>
      <c r="AE73" s="8"/>
      <c r="AF73" s="8"/>
      <c r="AG73" s="188"/>
      <c r="AH73" s="183"/>
      <c r="AI73" s="184"/>
      <c r="AJ73" s="185"/>
      <c r="AK73" s="28"/>
      <c r="AL73" s="186"/>
      <c r="AM73" s="187"/>
      <c r="AN73" s="8"/>
      <c r="AO73" s="8"/>
      <c r="AP73" s="188"/>
      <c r="AQ73" s="183"/>
      <c r="AR73" s="184"/>
      <c r="AS73" s="185"/>
      <c r="AT73" s="184"/>
      <c r="AU73" s="186"/>
      <c r="AV73" s="187"/>
      <c r="AW73" s="8"/>
      <c r="AX73" s="8"/>
      <c r="AY73" s="188"/>
      <c r="AZ73" s="183"/>
      <c r="BA73" s="184"/>
      <c r="BB73" s="185"/>
      <c r="BC73" s="28"/>
      <c r="BD73" s="186"/>
      <c r="BE73" s="187"/>
      <c r="BF73" s="8"/>
      <c r="BG73" s="8"/>
      <c r="BH73" s="188"/>
      <c r="BI73" s="183"/>
      <c r="BJ73" s="184"/>
      <c r="BK73" s="185"/>
      <c r="BL73" s="28"/>
      <c r="BM73" s="186"/>
      <c r="BN73" s="187"/>
      <c r="BO73" s="8"/>
      <c r="BP73" s="8"/>
      <c r="BQ73" s="188"/>
      <c r="BR73" s="183"/>
      <c r="BS73" s="184"/>
      <c r="BT73" s="185"/>
      <c r="BU73" s="184"/>
      <c r="BV73" s="186"/>
      <c r="BW73" s="187"/>
      <c r="BX73" s="8"/>
      <c r="BY73" s="8"/>
      <c r="BZ73" s="188"/>
      <c r="CA73" s="183"/>
      <c r="CB73" s="184"/>
      <c r="CC73" s="185"/>
      <c r="CD73" s="184"/>
      <c r="CE73" s="186"/>
      <c r="CF73" s="187"/>
      <c r="CG73" s="8"/>
      <c r="CH73" s="8"/>
      <c r="CI73" s="188"/>
      <c r="CJ73" s="183"/>
      <c r="CK73" s="184"/>
      <c r="CL73" s="185"/>
      <c r="CM73" s="184"/>
      <c r="CN73" s="186"/>
      <c r="CO73" s="187"/>
      <c r="CP73" s="8"/>
      <c r="CQ73" s="8"/>
      <c r="CR73" s="188"/>
      <c r="CS73" s="183"/>
      <c r="CT73" s="184"/>
      <c r="CU73" s="189"/>
      <c r="CV73" s="28"/>
      <c r="CW73" s="190"/>
      <c r="CX73" s="187"/>
      <c r="CY73" s="8"/>
      <c r="CZ73" s="8"/>
      <c r="DA73" s="188"/>
      <c r="DB73" s="183"/>
      <c r="DC73" s="184"/>
      <c r="DD73" s="185"/>
      <c r="DE73" s="184"/>
      <c r="DF73" s="186"/>
      <c r="DG73" s="187"/>
      <c r="DH73" s="8"/>
      <c r="DI73" s="8"/>
      <c r="DJ73" s="188"/>
      <c r="DK73" s="183"/>
      <c r="DL73" s="184"/>
      <c r="DM73" s="189"/>
      <c r="DN73" s="28"/>
      <c r="DO73" s="190"/>
      <c r="DP73" s="187"/>
      <c r="DQ73" s="8"/>
      <c r="DR73" s="8"/>
      <c r="DS73" s="188"/>
      <c r="DT73" s="183"/>
      <c r="DU73" s="184"/>
      <c r="DV73" s="185"/>
      <c r="DW73" s="184"/>
      <c r="DX73" s="186"/>
      <c r="DY73" s="187"/>
      <c r="DZ73" s="8"/>
      <c r="EA73" s="8"/>
      <c r="EB73" s="188"/>
      <c r="EC73" s="183"/>
      <c r="ED73" s="184"/>
      <c r="EE73" s="189"/>
      <c r="EF73" s="28"/>
      <c r="EG73" s="190"/>
      <c r="EH73" s="187"/>
      <c r="EI73" s="8"/>
      <c r="EJ73" s="8"/>
      <c r="EK73" s="188"/>
      <c r="EL73" s="183"/>
      <c r="EM73" s="184"/>
      <c r="EN73" s="189"/>
      <c r="EO73" s="28"/>
      <c r="EP73" s="190"/>
      <c r="EQ73" s="187"/>
      <c r="ER73" s="8"/>
      <c r="ES73" s="8"/>
      <c r="ET73" s="188"/>
      <c r="EU73" s="183"/>
      <c r="EV73" s="184"/>
      <c r="EW73" s="185"/>
      <c r="EX73" s="184"/>
      <c r="EY73" s="186"/>
      <c r="EZ73" s="187"/>
      <c r="FA73" s="8"/>
      <c r="FB73" s="8"/>
      <c r="FC73" s="188"/>
      <c r="FD73" s="183"/>
      <c r="FE73" s="184"/>
      <c r="FF73" s="185"/>
      <c r="FG73" s="184"/>
      <c r="FH73" s="186"/>
      <c r="FI73" s="187"/>
      <c r="FJ73" s="8"/>
      <c r="FK73" s="8"/>
      <c r="FL73" s="188"/>
      <c r="FM73" s="183"/>
      <c r="FN73" s="184"/>
      <c r="FO73" s="185"/>
      <c r="FP73" s="184"/>
      <c r="FQ73" s="186"/>
      <c r="FR73" s="187"/>
      <c r="FS73" s="8"/>
      <c r="FT73" s="8"/>
      <c r="FU73" s="188"/>
      <c r="FV73" s="183"/>
      <c r="FW73" s="184"/>
      <c r="FX73" s="185"/>
      <c r="FY73" s="184"/>
      <c r="FZ73" s="186"/>
      <c r="GA73" s="187"/>
      <c r="GB73" s="8"/>
      <c r="GC73" s="8"/>
      <c r="GD73" s="188"/>
      <c r="GE73" s="183"/>
      <c r="GF73" s="184"/>
      <c r="GG73" s="185"/>
      <c r="GH73" s="184"/>
      <c r="GI73" s="186"/>
      <c r="GJ73" s="187"/>
      <c r="GK73" s="8"/>
      <c r="GL73" s="8"/>
      <c r="GM73" s="188"/>
      <c r="GN73" s="183"/>
      <c r="GO73" s="184"/>
      <c r="GP73" s="185"/>
      <c r="GQ73" s="184"/>
      <c r="GR73" s="186"/>
      <c r="GS73" s="187"/>
      <c r="GT73" s="187"/>
      <c r="GU73" s="29"/>
      <c r="GV73" s="191"/>
      <c r="GW73" s="31"/>
      <c r="GX73" s="31"/>
      <c r="GY73" s="459"/>
      <c r="GZ73" s="33"/>
    </row>
    <row r="74" spans="1:208" x14ac:dyDescent="0.25">
      <c r="A74"/>
      <c r="D74" s="35"/>
      <c r="E74" s="36"/>
      <c r="F74" s="37"/>
      <c r="G74" s="38"/>
      <c r="H74" s="39"/>
      <c r="I74" s="40"/>
      <c r="J74" s="177"/>
      <c r="K74" s="178"/>
      <c r="P74" s="27"/>
      <c r="Q74" s="180"/>
      <c r="R74" s="180"/>
      <c r="S74" s="180"/>
      <c r="T74" s="39">
        <f t="shared" si="2"/>
        <v>0</v>
      </c>
      <c r="U74" s="181"/>
      <c r="V74" s="182"/>
      <c r="W74" s="30"/>
      <c r="X74" s="8"/>
      <c r="Y74" s="183"/>
      <c r="Z74" s="184"/>
      <c r="AA74" s="185"/>
      <c r="AB74" s="184"/>
      <c r="AC74" s="186"/>
      <c r="AD74" s="187"/>
      <c r="AE74" s="8"/>
      <c r="AF74" s="8"/>
      <c r="AG74" s="188"/>
      <c r="AH74" s="183"/>
      <c r="AI74" s="184"/>
      <c r="AJ74" s="185"/>
      <c r="AK74" s="28"/>
      <c r="AL74" s="186"/>
      <c r="AM74" s="187"/>
      <c r="AN74" s="8"/>
      <c r="AO74" s="8"/>
      <c r="AP74" s="188"/>
      <c r="AQ74" s="183"/>
      <c r="AR74" s="184"/>
      <c r="AS74" s="185"/>
      <c r="AT74" s="184"/>
      <c r="AU74" s="186"/>
      <c r="AV74" s="187"/>
      <c r="AW74" s="8"/>
      <c r="AX74" s="8"/>
      <c r="AY74" s="188"/>
      <c r="AZ74" s="183"/>
      <c r="BA74" s="184"/>
      <c r="BB74" s="185"/>
      <c r="BC74" s="28"/>
      <c r="BD74" s="186"/>
      <c r="BE74" s="187"/>
      <c r="BF74" s="8"/>
      <c r="BG74" s="8"/>
      <c r="BH74" s="188"/>
      <c r="BI74" s="183"/>
      <c r="BJ74" s="184"/>
      <c r="BK74" s="185"/>
      <c r="BL74" s="28"/>
      <c r="BM74" s="186"/>
      <c r="BN74" s="187"/>
      <c r="BO74" s="8"/>
      <c r="BP74" s="8"/>
      <c r="BQ74" s="188"/>
      <c r="BR74" s="183"/>
      <c r="BS74" s="184"/>
      <c r="BT74" s="185"/>
      <c r="BU74" s="184"/>
      <c r="BV74" s="186"/>
      <c r="BW74" s="187"/>
      <c r="BX74" s="8"/>
      <c r="BY74" s="8"/>
      <c r="BZ74" s="188"/>
      <c r="CA74" s="183"/>
      <c r="CB74" s="184"/>
      <c r="CC74" s="185"/>
      <c r="CD74" s="184"/>
      <c r="CE74" s="186"/>
      <c r="CF74" s="187"/>
      <c r="CG74" s="8"/>
      <c r="CH74" s="8"/>
      <c r="CI74" s="188"/>
      <c r="CJ74" s="183"/>
      <c r="CK74" s="184"/>
      <c r="CL74" s="185"/>
      <c r="CM74" s="184"/>
      <c r="CN74" s="186"/>
      <c r="CO74" s="187"/>
      <c r="CP74" s="8"/>
      <c r="CQ74" s="8"/>
      <c r="CR74" s="188"/>
      <c r="CS74" s="183"/>
      <c r="CT74" s="184"/>
      <c r="CU74" s="189"/>
      <c r="CV74" s="28"/>
      <c r="CW74" s="190"/>
      <c r="CX74" s="187"/>
      <c r="CY74" s="8"/>
      <c r="CZ74" s="8"/>
      <c r="DA74" s="188"/>
      <c r="DB74" s="183"/>
      <c r="DC74" s="184"/>
      <c r="DD74" s="185"/>
      <c r="DE74" s="184"/>
      <c r="DF74" s="186"/>
      <c r="DG74" s="187"/>
      <c r="DH74" s="8"/>
      <c r="DI74" s="8"/>
      <c r="DJ74" s="188"/>
      <c r="DK74" s="183"/>
      <c r="DL74" s="184"/>
      <c r="DM74" s="189"/>
      <c r="DN74" s="28"/>
      <c r="DO74" s="190"/>
      <c r="DP74" s="187"/>
      <c r="DQ74" s="8"/>
      <c r="DR74" s="8"/>
      <c r="DS74" s="188"/>
      <c r="DT74" s="183"/>
      <c r="DU74" s="184"/>
      <c r="DV74" s="185"/>
      <c r="DW74" s="184"/>
      <c r="DX74" s="186"/>
      <c r="DY74" s="187"/>
      <c r="DZ74" s="8"/>
      <c r="EA74" s="8"/>
      <c r="EB74" s="188"/>
      <c r="EC74" s="183"/>
      <c r="ED74" s="184"/>
      <c r="EE74" s="189"/>
      <c r="EF74" s="28"/>
      <c r="EG74" s="190"/>
      <c r="EH74" s="187"/>
      <c r="EI74" s="8"/>
      <c r="EJ74" s="8"/>
      <c r="EK74" s="188"/>
      <c r="EL74" s="183"/>
      <c r="EM74" s="184"/>
      <c r="EN74" s="189"/>
      <c r="EO74" s="28"/>
      <c r="EP74" s="190"/>
      <c r="EQ74" s="187"/>
      <c r="ER74" s="8"/>
      <c r="ES74" s="8"/>
      <c r="ET74" s="188"/>
      <c r="EU74" s="183"/>
      <c r="EV74" s="184"/>
      <c r="EW74" s="185"/>
      <c r="EX74" s="184"/>
      <c r="EY74" s="186"/>
      <c r="EZ74" s="187"/>
      <c r="FA74" s="8"/>
      <c r="FB74" s="8"/>
      <c r="FC74" s="188"/>
      <c r="FD74" s="183"/>
      <c r="FE74" s="184"/>
      <c r="FF74" s="185"/>
      <c r="FG74" s="184"/>
      <c r="FH74" s="186"/>
      <c r="FI74" s="187"/>
      <c r="FJ74" s="8"/>
      <c r="FK74" s="8"/>
      <c r="FL74" s="188"/>
      <c r="FM74" s="183"/>
      <c r="FN74" s="184"/>
      <c r="FO74" s="185"/>
      <c r="FP74" s="184"/>
      <c r="FQ74" s="186"/>
      <c r="FR74" s="187"/>
      <c r="FS74" s="8"/>
      <c r="FT74" s="8"/>
      <c r="FU74" s="188"/>
      <c r="FV74" s="183"/>
      <c r="FW74" s="184"/>
      <c r="FX74" s="185"/>
      <c r="FY74" s="184"/>
      <c r="FZ74" s="186"/>
      <c r="GA74" s="187"/>
      <c r="GB74" s="8"/>
      <c r="GC74" s="8"/>
      <c r="GD74" s="188"/>
      <c r="GE74" s="183"/>
      <c r="GF74" s="184"/>
      <c r="GG74" s="185"/>
      <c r="GH74" s="184"/>
      <c r="GI74" s="186"/>
      <c r="GJ74" s="187"/>
      <c r="GK74" s="8"/>
      <c r="GL74" s="8"/>
      <c r="GM74" s="188"/>
      <c r="GN74" s="183"/>
      <c r="GO74" s="184"/>
      <c r="GP74" s="185"/>
      <c r="GQ74" s="184"/>
      <c r="GR74" s="186"/>
      <c r="GS74" s="187"/>
      <c r="GT74" s="187"/>
      <c r="GU74" s="29"/>
      <c r="GV74" s="191"/>
      <c r="GW74" s="31"/>
      <c r="GX74" s="31"/>
      <c r="GY74" s="459"/>
      <c r="GZ74" s="33"/>
    </row>
    <row r="75" spans="1:208" ht="16.5" thickBot="1" x14ac:dyDescent="0.3">
      <c r="A75"/>
      <c r="D75" s="35"/>
      <c r="E75" s="36"/>
      <c r="F75" s="37"/>
      <c r="G75" s="38"/>
      <c r="H75" s="39"/>
      <c r="I75" s="40"/>
      <c r="J75" s="177"/>
      <c r="K75" s="178"/>
      <c r="O75" s="192"/>
      <c r="P75" s="27"/>
      <c r="Q75" s="180"/>
      <c r="R75" s="180"/>
      <c r="S75" s="180"/>
      <c r="T75" s="39">
        <f t="shared" si="2"/>
        <v>0</v>
      </c>
      <c r="U75" s="181"/>
      <c r="V75" s="182"/>
      <c r="W75" s="30"/>
      <c r="X75" s="8"/>
      <c r="Y75" s="183"/>
      <c r="Z75" s="184"/>
      <c r="AA75" s="185"/>
      <c r="AB75" s="184"/>
      <c r="AC75" s="186"/>
      <c r="AD75" s="187"/>
      <c r="AE75" s="8"/>
      <c r="AF75" s="8"/>
      <c r="AG75" s="188"/>
      <c r="AH75" s="183"/>
      <c r="AI75" s="184"/>
      <c r="AJ75" s="185"/>
      <c r="AK75" s="28"/>
      <c r="AL75" s="186"/>
      <c r="AM75" s="187"/>
      <c r="AN75" s="8"/>
      <c r="AO75" s="8"/>
      <c r="AP75" s="188"/>
      <c r="AQ75" s="183"/>
      <c r="AR75" s="184"/>
      <c r="AS75" s="185"/>
      <c r="AT75" s="184"/>
      <c r="AU75" s="186"/>
      <c r="AV75" s="187"/>
      <c r="AW75" s="8"/>
      <c r="AX75" s="8"/>
      <c r="AY75" s="188"/>
      <c r="AZ75" s="183"/>
      <c r="BA75" s="184"/>
      <c r="BB75" s="185"/>
      <c r="BC75" s="28"/>
      <c r="BD75" s="186"/>
      <c r="BE75" s="187"/>
      <c r="BF75" s="8"/>
      <c r="BG75" s="8"/>
      <c r="BH75" s="188"/>
      <c r="BI75" s="183"/>
      <c r="BJ75" s="184"/>
      <c r="BK75" s="185"/>
      <c r="BL75" s="28"/>
      <c r="BM75" s="186"/>
      <c r="BN75" s="187"/>
      <c r="BO75" s="8"/>
      <c r="BP75" s="8"/>
      <c r="BQ75" s="188"/>
      <c r="BR75" s="183"/>
      <c r="BS75" s="184"/>
      <c r="BT75" s="185"/>
      <c r="BU75" s="184"/>
      <c r="BV75" s="186"/>
      <c r="BW75" s="187"/>
      <c r="BX75" s="8"/>
      <c r="BY75" s="8"/>
      <c r="BZ75" s="188"/>
      <c r="CA75" s="183"/>
      <c r="CB75" s="184"/>
      <c r="CC75" s="185"/>
      <c r="CD75" s="184"/>
      <c r="CE75" s="186"/>
      <c r="CF75" s="187"/>
      <c r="CG75" s="8"/>
      <c r="CH75" s="8"/>
      <c r="CI75" s="188"/>
      <c r="CJ75" s="183"/>
      <c r="CK75" s="184"/>
      <c r="CL75" s="185"/>
      <c r="CM75" s="184"/>
      <c r="CN75" s="186"/>
      <c r="CO75" s="187"/>
      <c r="CP75" s="8"/>
      <c r="CQ75" s="8"/>
      <c r="CR75" s="188"/>
      <c r="CS75" s="183"/>
      <c r="CT75" s="184"/>
      <c r="CU75" s="189"/>
      <c r="CV75" s="28"/>
      <c r="CW75" s="190"/>
      <c r="CX75" s="187"/>
      <c r="CY75" s="8"/>
      <c r="CZ75" s="8"/>
      <c r="DA75" s="188"/>
      <c r="DB75" s="183"/>
      <c r="DC75" s="184"/>
      <c r="DD75" s="185"/>
      <c r="DE75" s="184"/>
      <c r="DF75" s="186"/>
      <c r="DG75" s="187"/>
      <c r="DH75" s="8"/>
      <c r="DI75" s="8"/>
      <c r="DJ75" s="188"/>
      <c r="DK75" s="183"/>
      <c r="DL75" s="184"/>
      <c r="DM75" s="189"/>
      <c r="DN75" s="28"/>
      <c r="DO75" s="190"/>
      <c r="DP75" s="187"/>
      <c r="DQ75" s="8"/>
      <c r="DR75" s="8"/>
      <c r="DS75" s="188"/>
      <c r="DT75" s="183"/>
      <c r="DU75" s="184"/>
      <c r="DV75" s="185"/>
      <c r="DW75" s="184"/>
      <c r="DX75" s="186"/>
      <c r="DY75" s="187"/>
      <c r="DZ75" s="8"/>
      <c r="EA75" s="8"/>
      <c r="EB75" s="188"/>
      <c r="EC75" s="183"/>
      <c r="ED75" s="184"/>
      <c r="EE75" s="189"/>
      <c r="EF75" s="28"/>
      <c r="EG75" s="190"/>
      <c r="EH75" s="187"/>
      <c r="EI75" s="8"/>
      <c r="EJ75" s="8"/>
      <c r="EK75" s="188"/>
      <c r="EL75" s="183"/>
      <c r="EM75" s="184"/>
      <c r="EN75" s="189"/>
      <c r="EO75" s="28"/>
      <c r="EP75" s="190"/>
      <c r="EQ75" s="187"/>
      <c r="ER75" s="8"/>
      <c r="ES75" s="8"/>
      <c r="ET75" s="188"/>
      <c r="EU75" s="183"/>
      <c r="EV75" s="184"/>
      <c r="EW75" s="185"/>
      <c r="EX75" s="184"/>
      <c r="EY75" s="186"/>
      <c r="EZ75" s="187"/>
      <c r="FA75" s="8"/>
      <c r="FB75" s="8"/>
      <c r="FC75" s="188"/>
      <c r="FD75" s="183"/>
      <c r="FE75" s="184"/>
      <c r="FF75" s="185"/>
      <c r="FG75" s="184"/>
      <c r="FH75" s="186"/>
      <c r="FI75" s="187"/>
      <c r="FJ75" s="8"/>
      <c r="FK75" s="8"/>
      <c r="FL75" s="188"/>
      <c r="FM75" s="183"/>
      <c r="FN75" s="184"/>
      <c r="FO75" s="185"/>
      <c r="FP75" s="184"/>
      <c r="FQ75" s="186"/>
      <c r="FR75" s="187"/>
      <c r="FS75" s="8"/>
      <c r="FT75" s="8"/>
      <c r="FU75" s="188"/>
      <c r="FV75" s="183"/>
      <c r="FW75" s="184"/>
      <c r="FX75" s="185"/>
      <c r="FY75" s="184"/>
      <c r="FZ75" s="186"/>
      <c r="GA75" s="187"/>
      <c r="GB75" s="8"/>
      <c r="GC75" s="8"/>
      <c r="GD75" s="188"/>
      <c r="GE75" s="183"/>
      <c r="GF75" s="184"/>
      <c r="GG75" s="185"/>
      <c r="GH75" s="184"/>
      <c r="GI75" s="186"/>
      <c r="GJ75" s="187"/>
      <c r="GK75" s="8"/>
      <c r="GL75" s="8"/>
      <c r="GM75" s="188"/>
      <c r="GN75" s="183"/>
      <c r="GO75" s="184"/>
      <c r="GP75" s="185"/>
      <c r="GQ75" s="184"/>
      <c r="GR75" s="186"/>
      <c r="GS75" s="187"/>
      <c r="GT75" s="187"/>
      <c r="GU75" s="29"/>
      <c r="GV75" s="191"/>
      <c r="GW75" s="31"/>
      <c r="GX75" s="31"/>
      <c r="GY75" s="459"/>
      <c r="GZ75" s="33"/>
    </row>
    <row r="76" spans="1:208" ht="20.25" thickTop="1" thickBot="1" x14ac:dyDescent="0.35">
      <c r="A76"/>
      <c r="D76" s="35"/>
      <c r="E76" s="36"/>
      <c r="F76" s="37"/>
      <c r="G76" s="38"/>
      <c r="H76" s="39"/>
      <c r="I76" s="40"/>
      <c r="J76" s="177"/>
      <c r="K76" s="178"/>
      <c r="M76" s="870" t="s">
        <v>28</v>
      </c>
      <c r="N76" s="871"/>
      <c r="O76" s="872">
        <f>SUM(O9:O75)</f>
        <v>698407.20000000007</v>
      </c>
      <c r="P76" s="193"/>
      <c r="Q76" s="180"/>
      <c r="R76" s="194"/>
      <c r="S76" s="180"/>
      <c r="T76" s="39">
        <f t="shared" si="2"/>
        <v>0</v>
      </c>
      <c r="U76" s="181"/>
      <c r="V76" s="182"/>
      <c r="W76" s="30"/>
      <c r="X76" s="195"/>
      <c r="Y76" s="196"/>
      <c r="Z76" s="197"/>
      <c r="AA76" s="198"/>
      <c r="AB76" s="197"/>
      <c r="AC76" s="199"/>
      <c r="AD76" s="200"/>
      <c r="AE76" s="195"/>
      <c r="AF76" s="195"/>
      <c r="AG76" s="201"/>
      <c r="AH76" s="196"/>
      <c r="AI76" s="197"/>
      <c r="AJ76" s="198"/>
      <c r="AK76" s="202"/>
      <c r="AL76" s="199"/>
      <c r="AM76" s="200"/>
      <c r="AN76" s="195"/>
      <c r="AO76" s="195"/>
      <c r="AP76" s="201"/>
      <c r="AQ76" s="196"/>
      <c r="AR76" s="197"/>
      <c r="AS76" s="198"/>
      <c r="AT76" s="197"/>
      <c r="AU76" s="199"/>
      <c r="AV76" s="200"/>
      <c r="AW76" s="195"/>
      <c r="AX76" s="195"/>
      <c r="AY76" s="201"/>
      <c r="AZ76" s="196"/>
      <c r="BA76" s="197"/>
      <c r="BB76" s="198"/>
      <c r="BC76" s="202"/>
      <c r="BD76" s="199"/>
      <c r="BE76" s="200"/>
      <c r="BF76" s="195"/>
      <c r="BG76" s="195"/>
      <c r="BH76" s="201"/>
      <c r="BI76" s="196"/>
      <c r="BJ76" s="197"/>
      <c r="BK76" s="198"/>
      <c r="BL76" s="202"/>
      <c r="BM76" s="199"/>
      <c r="BN76" s="200"/>
      <c r="BO76" s="195"/>
      <c r="BP76" s="195"/>
      <c r="BQ76" s="201"/>
      <c r="BR76" s="196"/>
      <c r="BS76" s="197"/>
      <c r="BT76" s="198"/>
      <c r="BU76" s="197"/>
      <c r="BV76" s="199"/>
      <c r="BW76" s="200"/>
      <c r="BX76" s="195"/>
      <c r="BY76" s="195"/>
      <c r="BZ76" s="201"/>
      <c r="CA76" s="196"/>
      <c r="CB76" s="197"/>
      <c r="CC76" s="198"/>
      <c r="CD76" s="197"/>
      <c r="CE76" s="199"/>
      <c r="CF76" s="200"/>
      <c r="CG76" s="195"/>
      <c r="CH76" s="195"/>
      <c r="CI76" s="201"/>
      <c r="CJ76" s="196"/>
      <c r="CK76" s="197"/>
      <c r="CL76" s="198"/>
      <c r="CM76" s="197"/>
      <c r="CN76" s="199"/>
      <c r="CO76" s="200"/>
      <c r="CP76" s="195"/>
      <c r="CQ76" s="195"/>
      <c r="CR76" s="201"/>
      <c r="CS76" s="196"/>
      <c r="CT76" s="197"/>
      <c r="CU76" s="203"/>
      <c r="CV76" s="202"/>
      <c r="CW76" s="204"/>
      <c r="CX76" s="200"/>
      <c r="CY76" s="195"/>
      <c r="CZ76" s="195"/>
      <c r="DA76" s="201"/>
      <c r="DB76" s="196"/>
      <c r="DC76" s="197"/>
      <c r="DD76" s="198"/>
      <c r="DE76" s="197"/>
      <c r="DF76" s="199"/>
      <c r="DG76" s="200"/>
      <c r="DH76" s="195"/>
      <c r="DI76" s="195"/>
      <c r="DJ76" s="201"/>
      <c r="DK76" s="196"/>
      <c r="DL76" s="197"/>
      <c r="DM76" s="203"/>
      <c r="DN76" s="202"/>
      <c r="DO76" s="204"/>
      <c r="DP76" s="200"/>
      <c r="DQ76" s="195"/>
      <c r="DR76" s="195"/>
      <c r="DS76" s="201"/>
      <c r="DT76" s="196"/>
      <c r="DU76" s="197"/>
      <c r="DV76" s="198"/>
      <c r="DW76" s="197"/>
      <c r="DX76" s="199"/>
      <c r="DY76" s="200"/>
      <c r="DZ76" s="195"/>
      <c r="EA76" s="195"/>
      <c r="EB76" s="201"/>
      <c r="EC76" s="196"/>
      <c r="ED76" s="197"/>
      <c r="EE76" s="203"/>
      <c r="EF76" s="202"/>
      <c r="EG76" s="204"/>
      <c r="EH76" s="200"/>
      <c r="EI76" s="195"/>
      <c r="EJ76" s="195"/>
      <c r="EK76" s="201"/>
      <c r="EL76" s="196"/>
      <c r="EM76" s="197"/>
      <c r="EN76" s="203"/>
      <c r="EO76" s="202"/>
      <c r="EP76" s="204"/>
      <c r="EQ76" s="200"/>
      <c r="ER76" s="195"/>
      <c r="ES76" s="195"/>
      <c r="ET76" s="201"/>
      <c r="EU76" s="196"/>
      <c r="EV76" s="197"/>
      <c r="EW76" s="198"/>
      <c r="EX76" s="197"/>
      <c r="EY76" s="199"/>
      <c r="EZ76" s="200"/>
      <c r="FA76" s="195"/>
      <c r="FB76" s="195"/>
      <c r="FC76" s="201"/>
      <c r="FD76" s="196"/>
      <c r="FE76" s="197"/>
      <c r="FF76" s="198"/>
      <c r="FG76" s="197"/>
      <c r="FH76" s="199"/>
      <c r="FI76" s="200"/>
      <c r="FJ76" s="195"/>
      <c r="FK76" s="195"/>
      <c r="FL76" s="201"/>
      <c r="FM76" s="196"/>
      <c r="FN76" s="197"/>
      <c r="FO76" s="198"/>
      <c r="FP76" s="197"/>
      <c r="FQ76" s="199"/>
      <c r="FR76" s="200"/>
      <c r="FS76" s="195"/>
      <c r="FT76" s="195"/>
      <c r="FU76" s="201"/>
      <c r="FV76" s="196"/>
      <c r="FW76" s="197"/>
      <c r="FX76" s="198"/>
      <c r="FY76" s="197"/>
      <c r="FZ76" s="199"/>
      <c r="GA76" s="200"/>
      <c r="GB76" s="195"/>
      <c r="GC76" s="195"/>
      <c r="GD76" s="201"/>
      <c r="GE76" s="196"/>
      <c r="GF76" s="197"/>
      <c r="GG76" s="198"/>
      <c r="GH76" s="197"/>
      <c r="GI76" s="199"/>
      <c r="GJ76" s="200"/>
      <c r="GK76" s="195"/>
      <c r="GL76" s="195"/>
      <c r="GM76" s="201"/>
      <c r="GN76" s="196"/>
      <c r="GO76" s="197"/>
      <c r="GP76" s="198"/>
      <c r="GQ76" s="197"/>
      <c r="GR76" s="199"/>
      <c r="GS76" s="200"/>
      <c r="GT76" s="187"/>
      <c r="GU76" s="29"/>
      <c r="GV76" s="205"/>
      <c r="GZ76" s="33"/>
    </row>
    <row r="77" spans="1:208" ht="19.5" thickBot="1" x14ac:dyDescent="0.3">
      <c r="A77"/>
      <c r="D77" s="35"/>
      <c r="E77" s="36"/>
      <c r="F77" s="37"/>
      <c r="G77" s="38"/>
      <c r="H77" s="39"/>
      <c r="I77" s="40"/>
      <c r="J77" s="208"/>
      <c r="K77" s="178"/>
      <c r="O77" s="873"/>
      <c r="P77" s="193"/>
      <c r="Q77" s="180"/>
      <c r="R77" s="194"/>
      <c r="S77" s="180"/>
      <c r="T77" s="39">
        <f t="shared" si="2"/>
        <v>0</v>
      </c>
      <c r="U77" s="181"/>
      <c r="V77" s="182"/>
      <c r="W77" s="30"/>
      <c r="X77" s="195"/>
      <c r="Y77" s="196"/>
      <c r="Z77" s="197"/>
      <c r="AA77" s="198"/>
      <c r="AB77" s="197"/>
      <c r="AC77" s="199"/>
      <c r="AD77" s="200"/>
      <c r="AE77" s="195"/>
      <c r="AF77" s="195"/>
      <c r="AG77" s="201"/>
      <c r="AH77" s="196"/>
      <c r="AI77" s="197"/>
      <c r="AJ77" s="198"/>
      <c r="AK77" s="202"/>
      <c r="AL77" s="199"/>
      <c r="AM77" s="200"/>
      <c r="AN77" s="195"/>
      <c r="AO77" s="195"/>
      <c r="AP77" s="201"/>
      <c r="AQ77" s="196"/>
      <c r="AR77" s="197"/>
      <c r="AS77" s="198"/>
      <c r="AT77" s="197"/>
      <c r="AU77" s="199"/>
      <c r="AV77" s="200"/>
      <c r="AW77" s="195"/>
      <c r="AX77" s="195"/>
      <c r="AY77" s="201"/>
      <c r="AZ77" s="196"/>
      <c r="BA77" s="197"/>
      <c r="BB77" s="198"/>
      <c r="BC77" s="202"/>
      <c r="BD77" s="199"/>
      <c r="BE77" s="200"/>
      <c r="BF77" s="195"/>
      <c r="BG77" s="195"/>
      <c r="BH77" s="201"/>
      <c r="BI77" s="196"/>
      <c r="BJ77" s="197"/>
      <c r="BK77" s="198"/>
      <c r="BL77" s="202"/>
      <c r="BM77" s="199"/>
      <c r="BN77" s="200"/>
      <c r="BO77" s="195"/>
      <c r="BP77" s="195"/>
      <c r="BQ77" s="201"/>
      <c r="BR77" s="196"/>
      <c r="BS77" s="197"/>
      <c r="BT77" s="198"/>
      <c r="BU77" s="197"/>
      <c r="BV77" s="199"/>
      <c r="BW77" s="200"/>
      <c r="BX77" s="195"/>
      <c r="BY77" s="195"/>
      <c r="BZ77" s="201"/>
      <c r="CA77" s="196"/>
      <c r="CB77" s="197"/>
      <c r="CC77" s="198"/>
      <c r="CD77" s="197"/>
      <c r="CE77" s="199"/>
      <c r="CF77" s="200"/>
      <c r="CG77" s="195"/>
      <c r="CH77" s="195"/>
      <c r="CI77" s="201"/>
      <c r="CJ77" s="196"/>
      <c r="CK77" s="197"/>
      <c r="CL77" s="198"/>
      <c r="CM77" s="197"/>
      <c r="CN77" s="199"/>
      <c r="CO77" s="200"/>
      <c r="CP77" s="195"/>
      <c r="CQ77" s="195"/>
      <c r="CR77" s="201"/>
      <c r="CS77" s="196"/>
      <c r="CT77" s="197"/>
      <c r="CU77" s="203"/>
      <c r="CV77" s="202"/>
      <c r="CW77" s="204"/>
      <c r="CX77" s="200"/>
      <c r="CY77" s="195"/>
      <c r="CZ77" s="195"/>
      <c r="DA77" s="201"/>
      <c r="DB77" s="196"/>
      <c r="DC77" s="197"/>
      <c r="DD77" s="198"/>
      <c r="DE77" s="197"/>
      <c r="DF77" s="199"/>
      <c r="DG77" s="200"/>
      <c r="DH77" s="195"/>
      <c r="DI77" s="195"/>
      <c r="DJ77" s="201"/>
      <c r="DK77" s="196"/>
      <c r="DL77" s="197"/>
      <c r="DM77" s="203"/>
      <c r="DN77" s="202"/>
      <c r="DO77" s="204"/>
      <c r="DP77" s="200"/>
      <c r="DQ77" s="195"/>
      <c r="DR77" s="195"/>
      <c r="DS77" s="201"/>
      <c r="DT77" s="196"/>
      <c r="DU77" s="197"/>
      <c r="DV77" s="198"/>
      <c r="DW77" s="197"/>
      <c r="DX77" s="199"/>
      <c r="DY77" s="200"/>
      <c r="DZ77" s="195"/>
      <c r="EA77" s="195"/>
      <c r="EB77" s="201"/>
      <c r="EC77" s="196"/>
      <c r="ED77" s="197"/>
      <c r="EE77" s="203"/>
      <c r="EF77" s="202"/>
      <c r="EG77" s="204"/>
      <c r="EH77" s="200"/>
      <c r="EI77" s="195"/>
      <c r="EJ77" s="195"/>
      <c r="EK77" s="201"/>
      <c r="EL77" s="196"/>
      <c r="EM77" s="197"/>
      <c r="EN77" s="203"/>
      <c r="EO77" s="202"/>
      <c r="EP77" s="204"/>
      <c r="EQ77" s="200"/>
      <c r="ER77" s="195"/>
      <c r="ES77" s="195"/>
      <c r="ET77" s="201"/>
      <c r="EU77" s="196"/>
      <c r="EV77" s="197"/>
      <c r="EW77" s="198"/>
      <c r="EX77" s="197"/>
      <c r="EY77" s="199"/>
      <c r="EZ77" s="200"/>
      <c r="FA77" s="195"/>
      <c r="FB77" s="195"/>
      <c r="FC77" s="201"/>
      <c r="FD77" s="196"/>
      <c r="FE77" s="197"/>
      <c r="FF77" s="198"/>
      <c r="FG77" s="197"/>
      <c r="FH77" s="199"/>
      <c r="FI77" s="200"/>
      <c r="FJ77" s="195"/>
      <c r="FK77" s="195"/>
      <c r="FL77" s="201"/>
      <c r="FM77" s="196"/>
      <c r="FN77" s="197"/>
      <c r="FO77" s="198"/>
      <c r="FP77" s="197"/>
      <c r="FQ77" s="199"/>
      <c r="FR77" s="200"/>
      <c r="FS77" s="195"/>
      <c r="FT77" s="195"/>
      <c r="FU77" s="201"/>
      <c r="FV77" s="196"/>
      <c r="FW77" s="197"/>
      <c r="FX77" s="198"/>
      <c r="FY77" s="197"/>
      <c r="FZ77" s="199"/>
      <c r="GA77" s="200"/>
      <c r="GB77" s="195"/>
      <c r="GC77" s="195"/>
      <c r="GD77" s="201"/>
      <c r="GE77" s="196"/>
      <c r="GF77" s="197"/>
      <c r="GG77" s="198"/>
      <c r="GH77" s="197"/>
      <c r="GI77" s="199"/>
      <c r="GJ77" s="200"/>
      <c r="GK77" s="195"/>
      <c r="GL77" s="195"/>
      <c r="GM77" s="201"/>
      <c r="GN77" s="196"/>
      <c r="GO77" s="197"/>
      <c r="GP77" s="198"/>
      <c r="GQ77" s="197"/>
      <c r="GR77" s="199"/>
      <c r="GS77" s="200"/>
      <c r="GT77" s="187"/>
      <c r="GU77" s="29"/>
      <c r="GV77" s="205"/>
      <c r="GZ77" s="33"/>
    </row>
    <row r="78" spans="1:208" ht="16.5" thickTop="1" x14ac:dyDescent="0.25">
      <c r="A78"/>
      <c r="D78" s="35"/>
      <c r="E78" s="36"/>
      <c r="F78" s="37"/>
      <c r="G78" s="38"/>
      <c r="H78" s="39"/>
      <c r="I78" s="40"/>
      <c r="J78" s="177"/>
      <c r="K78" s="178"/>
      <c r="P78" s="27"/>
      <c r="Q78" s="180"/>
      <c r="R78" s="180"/>
      <c r="S78" s="180"/>
      <c r="T78" s="39">
        <f t="shared" si="2"/>
        <v>0</v>
      </c>
      <c r="U78" s="181"/>
      <c r="V78" s="182"/>
      <c r="W78" s="30"/>
      <c r="X78" s="195"/>
      <c r="Y78" s="196"/>
      <c r="Z78" s="197"/>
      <c r="AA78" s="198"/>
      <c r="AB78" s="197"/>
      <c r="AC78" s="199"/>
      <c r="AD78" s="200"/>
      <c r="AE78" s="195"/>
      <c r="AF78" s="195"/>
      <c r="AG78" s="201"/>
      <c r="AH78" s="196"/>
      <c r="AI78" s="197"/>
      <c r="AJ78" s="198"/>
      <c r="AK78" s="202"/>
      <c r="AL78" s="199"/>
      <c r="AM78" s="200"/>
      <c r="AN78" s="195"/>
      <c r="AO78" s="195"/>
      <c r="AP78" s="201"/>
      <c r="AQ78" s="196"/>
      <c r="AR78" s="197"/>
      <c r="AS78" s="198"/>
      <c r="AT78" s="197"/>
      <c r="AU78" s="199"/>
      <c r="AV78" s="200"/>
      <c r="AW78" s="195"/>
      <c r="AX78" s="195"/>
      <c r="AY78" s="201"/>
      <c r="AZ78" s="196"/>
      <c r="BA78" s="197"/>
      <c r="BB78" s="198"/>
      <c r="BC78" s="202"/>
      <c r="BD78" s="199"/>
      <c r="BE78" s="200"/>
      <c r="BF78" s="195"/>
      <c r="BG78" s="195"/>
      <c r="BH78" s="201"/>
      <c r="BI78" s="196"/>
      <c r="BJ78" s="197"/>
      <c r="BK78" s="198"/>
      <c r="BL78" s="202"/>
      <c r="BM78" s="199"/>
      <c r="BN78" s="200"/>
      <c r="BO78" s="195"/>
      <c r="BP78" s="195"/>
      <c r="BQ78" s="201"/>
      <c r="BR78" s="196"/>
      <c r="BS78" s="197"/>
      <c r="BT78" s="198"/>
      <c r="BU78" s="197"/>
      <c r="BV78" s="199"/>
      <c r="BW78" s="200"/>
      <c r="BX78" s="195"/>
      <c r="BY78" s="195"/>
      <c r="BZ78" s="201"/>
      <c r="CA78" s="196"/>
      <c r="CB78" s="197"/>
      <c r="CC78" s="198"/>
      <c r="CD78" s="197"/>
      <c r="CE78" s="199"/>
      <c r="CF78" s="200"/>
      <c r="CG78" s="195"/>
      <c r="CH78" s="195"/>
      <c r="CI78" s="201"/>
      <c r="CJ78" s="196"/>
      <c r="CK78" s="197"/>
      <c r="CL78" s="198"/>
      <c r="CM78" s="197"/>
      <c r="CN78" s="199"/>
      <c r="CO78" s="200"/>
      <c r="CP78" s="195"/>
      <c r="CQ78" s="195"/>
      <c r="CR78" s="201"/>
      <c r="CS78" s="196"/>
      <c r="CT78" s="197"/>
      <c r="CU78" s="203"/>
      <c r="CV78" s="202"/>
      <c r="CW78" s="204"/>
      <c r="CX78" s="200"/>
      <c r="CY78" s="195"/>
      <c r="CZ78" s="195"/>
      <c r="DA78" s="201"/>
      <c r="DB78" s="196"/>
      <c r="DC78" s="197"/>
      <c r="DD78" s="198"/>
      <c r="DE78" s="197"/>
      <c r="DF78" s="199"/>
      <c r="DG78" s="200"/>
      <c r="DH78" s="195"/>
      <c r="DI78" s="195"/>
      <c r="DJ78" s="201"/>
      <c r="DK78" s="196"/>
      <c r="DL78" s="197"/>
      <c r="DM78" s="203"/>
      <c r="DN78" s="202"/>
      <c r="DO78" s="204"/>
      <c r="DP78" s="200"/>
      <c r="DQ78" s="195"/>
      <c r="DR78" s="195"/>
      <c r="DS78" s="201"/>
      <c r="DT78" s="196"/>
      <c r="DU78" s="197"/>
      <c r="DV78" s="198"/>
      <c r="DW78" s="197"/>
      <c r="DX78" s="199"/>
      <c r="DY78" s="200"/>
      <c r="DZ78" s="195"/>
      <c r="EA78" s="195"/>
      <c r="EB78" s="201"/>
      <c r="EC78" s="196"/>
      <c r="ED78" s="197"/>
      <c r="EE78" s="203"/>
      <c r="EF78" s="202"/>
      <c r="EG78" s="204"/>
      <c r="EH78" s="200"/>
      <c r="EI78" s="195"/>
      <c r="EJ78" s="195"/>
      <c r="EK78" s="201"/>
      <c r="EL78" s="196"/>
      <c r="EM78" s="197"/>
      <c r="EN78" s="203"/>
      <c r="EO78" s="202"/>
      <c r="EP78" s="204"/>
      <c r="EQ78" s="200"/>
      <c r="ER78" s="195"/>
      <c r="ES78" s="195"/>
      <c r="ET78" s="201"/>
      <c r="EU78" s="196"/>
      <c r="EV78" s="197"/>
      <c r="EW78" s="198"/>
      <c r="EX78" s="197"/>
      <c r="EY78" s="199"/>
      <c r="EZ78" s="200"/>
      <c r="FA78" s="195"/>
      <c r="FB78" s="195"/>
      <c r="FC78" s="201"/>
      <c r="FD78" s="196"/>
      <c r="FE78" s="197"/>
      <c r="FF78" s="198"/>
      <c r="FG78" s="197"/>
      <c r="FH78" s="199"/>
      <c r="FI78" s="200"/>
      <c r="FJ78" s="195"/>
      <c r="FK78" s="195"/>
      <c r="FL78" s="201"/>
      <c r="FM78" s="196"/>
      <c r="FN78" s="197"/>
      <c r="FO78" s="198"/>
      <c r="FP78" s="197"/>
      <c r="FQ78" s="199"/>
      <c r="FR78" s="200"/>
      <c r="FS78" s="195"/>
      <c r="FT78" s="195"/>
      <c r="FU78" s="201"/>
      <c r="FV78" s="196"/>
      <c r="FW78" s="197"/>
      <c r="FX78" s="198"/>
      <c r="FY78" s="197"/>
      <c r="FZ78" s="199"/>
      <c r="GA78" s="200"/>
      <c r="GB78" s="195"/>
      <c r="GC78" s="195"/>
      <c r="GD78" s="201"/>
      <c r="GE78" s="196"/>
      <c r="GF78" s="197"/>
      <c r="GG78" s="198"/>
      <c r="GH78" s="197"/>
      <c r="GI78" s="199"/>
      <c r="GJ78" s="200"/>
      <c r="GK78" s="195"/>
      <c r="GL78" s="195"/>
      <c r="GM78" s="201"/>
      <c r="GN78" s="196"/>
      <c r="GO78" s="197"/>
      <c r="GP78" s="198"/>
      <c r="GQ78" s="197"/>
      <c r="GR78" s="199"/>
      <c r="GS78" s="200"/>
      <c r="GT78" s="187"/>
      <c r="GU78" s="29"/>
      <c r="GV78" s="205"/>
      <c r="GZ78" s="33"/>
    </row>
    <row r="79" spans="1:208" thickBot="1" x14ac:dyDescent="0.3">
      <c r="A79"/>
      <c r="D79" s="35"/>
      <c r="E79" s="36"/>
      <c r="F79" s="37"/>
      <c r="G79" s="38"/>
      <c r="H79" s="39"/>
      <c r="I79" s="40"/>
      <c r="J79" s="177"/>
      <c r="K79" s="178"/>
      <c r="P79" s="27"/>
      <c r="Q79" s="209"/>
      <c r="T79" s="39">
        <f t="shared" si="2"/>
        <v>0</v>
      </c>
      <c r="U79" s="210"/>
      <c r="W79" s="30"/>
      <c r="X79" s="195"/>
      <c r="Y79" s="183"/>
      <c r="Z79" s="197"/>
      <c r="AA79" s="198"/>
      <c r="AB79" s="197"/>
      <c r="AC79" s="199"/>
      <c r="AD79" s="200"/>
      <c r="AE79" s="195"/>
      <c r="AF79" s="195"/>
      <c r="AG79" s="201"/>
      <c r="AH79" s="183"/>
      <c r="AI79" s="197"/>
      <c r="AJ79" s="198"/>
      <c r="AK79" s="202"/>
      <c r="AL79" s="199"/>
      <c r="AM79" s="200"/>
      <c r="AN79" s="195"/>
      <c r="AO79" s="195"/>
      <c r="AP79" s="201"/>
      <c r="AQ79" s="183"/>
      <c r="AR79" s="197"/>
      <c r="AS79" s="198"/>
      <c r="AT79" s="197"/>
      <c r="AU79" s="199"/>
      <c r="AV79" s="200"/>
      <c r="AW79" s="195"/>
      <c r="AX79" s="195"/>
      <c r="AY79" s="201"/>
      <c r="AZ79" s="183"/>
      <c r="BA79" s="197"/>
      <c r="BB79" s="198"/>
      <c r="BC79" s="202"/>
      <c r="BD79" s="199"/>
      <c r="BE79" s="200"/>
      <c r="BF79" s="195"/>
      <c r="BG79" s="195"/>
      <c r="BH79" s="201"/>
      <c r="BI79" s="183"/>
      <c r="BJ79" s="197"/>
      <c r="BK79" s="198"/>
      <c r="BL79" s="202"/>
      <c r="BM79" s="199"/>
      <c r="BN79" s="200"/>
      <c r="BO79" s="195"/>
      <c r="BP79" s="195"/>
      <c r="BQ79" s="201"/>
      <c r="BR79" s="183"/>
      <c r="BS79" s="197"/>
      <c r="BT79" s="198"/>
      <c r="BU79" s="197"/>
      <c r="BV79" s="199"/>
      <c r="BW79" s="200"/>
      <c r="BX79" s="195"/>
      <c r="BY79" s="195"/>
      <c r="BZ79" s="201"/>
      <c r="CA79" s="183"/>
      <c r="CB79" s="197"/>
      <c r="CC79" s="198"/>
      <c r="CD79" s="197"/>
      <c r="CE79" s="199"/>
      <c r="CF79" s="200"/>
      <c r="CG79" s="195"/>
      <c r="CH79" s="195"/>
      <c r="CI79" s="201"/>
      <c r="CJ79" s="183"/>
      <c r="CK79" s="197"/>
      <c r="CL79" s="198"/>
      <c r="CM79" s="197"/>
      <c r="CN79" s="199"/>
      <c r="CO79" s="200"/>
      <c r="CP79" s="195"/>
      <c r="CQ79" s="195"/>
      <c r="CR79" s="201"/>
      <c r="CS79" s="183"/>
      <c r="CT79" s="197"/>
      <c r="CU79" s="203"/>
      <c r="CV79" s="202"/>
      <c r="CW79" s="204"/>
      <c r="CX79" s="200"/>
      <c r="CY79" s="195"/>
      <c r="CZ79" s="195"/>
      <c r="DA79" s="201"/>
      <c r="DB79" s="183"/>
      <c r="DC79" s="197"/>
      <c r="DD79" s="198"/>
      <c r="DE79" s="197"/>
      <c r="DF79" s="199"/>
      <c r="DG79" s="200"/>
      <c r="DH79" s="195"/>
      <c r="DI79" s="195"/>
      <c r="DJ79" s="201"/>
      <c r="DK79" s="183"/>
      <c r="DL79" s="197"/>
      <c r="DM79" s="203"/>
      <c r="DN79" s="202"/>
      <c r="DO79" s="204"/>
      <c r="DP79" s="200"/>
      <c r="DQ79" s="195"/>
      <c r="DR79" s="195"/>
      <c r="DS79" s="201"/>
      <c r="DT79" s="183"/>
      <c r="DU79" s="197"/>
      <c r="DV79" s="198"/>
      <c r="DW79" s="197"/>
      <c r="DX79" s="199"/>
      <c r="DY79" s="200"/>
      <c r="DZ79" s="195"/>
      <c r="EA79" s="195"/>
      <c r="EB79" s="201"/>
      <c r="EC79" s="183"/>
      <c r="ED79" s="197"/>
      <c r="EE79" s="203"/>
      <c r="EF79" s="202"/>
      <c r="EG79" s="204"/>
      <c r="EH79" s="200"/>
      <c r="EI79" s="195"/>
      <c r="EJ79" s="195"/>
      <c r="EK79" s="201"/>
      <c r="EL79" s="183"/>
      <c r="EM79" s="197"/>
      <c r="EN79" s="203"/>
      <c r="EO79" s="202"/>
      <c r="EP79" s="204"/>
      <c r="EQ79" s="200"/>
      <c r="ER79" s="195"/>
      <c r="ES79" s="195"/>
      <c r="ET79" s="201"/>
      <c r="EU79" s="183"/>
      <c r="EV79" s="197"/>
      <c r="EW79" s="198"/>
      <c r="EX79" s="197"/>
      <c r="EY79" s="199"/>
      <c r="EZ79" s="200"/>
      <c r="FA79" s="195"/>
      <c r="FB79" s="195"/>
      <c r="FC79" s="201"/>
      <c r="FD79" s="183"/>
      <c r="FE79" s="197"/>
      <c r="FF79" s="198"/>
      <c r="FG79" s="197"/>
      <c r="FH79" s="199"/>
      <c r="FI79" s="200"/>
      <c r="FJ79" s="195"/>
      <c r="FK79" s="195"/>
      <c r="FL79" s="201"/>
      <c r="FM79" s="183"/>
      <c r="FN79" s="197"/>
      <c r="FO79" s="198"/>
      <c r="FP79" s="197"/>
      <c r="FQ79" s="199"/>
      <c r="FR79" s="200"/>
      <c r="FS79" s="195"/>
      <c r="FT79" s="195"/>
      <c r="FU79" s="201"/>
      <c r="FV79" s="183"/>
      <c r="FW79" s="197"/>
      <c r="FX79" s="198"/>
      <c r="FY79" s="197"/>
      <c r="FZ79" s="199"/>
      <c r="GA79" s="200"/>
      <c r="GB79" s="195"/>
      <c r="GC79" s="195"/>
      <c r="GD79" s="201"/>
      <c r="GE79" s="183"/>
      <c r="GF79" s="197"/>
      <c r="GG79" s="198"/>
      <c r="GH79" s="197"/>
      <c r="GI79" s="199"/>
      <c r="GJ79" s="200"/>
      <c r="GK79" s="195"/>
      <c r="GL79" s="195"/>
      <c r="GM79" s="201"/>
      <c r="GN79" s="183"/>
      <c r="GO79" s="197"/>
      <c r="GP79" s="198"/>
      <c r="GQ79" s="197"/>
      <c r="GR79" s="199"/>
      <c r="GS79" s="200"/>
      <c r="GT79" s="187"/>
      <c r="GU79" s="29"/>
      <c r="GV79" s="211"/>
      <c r="GZ79" s="33"/>
    </row>
    <row r="80" spans="1:208" ht="16.5" thickTop="1" thickBot="1" x14ac:dyDescent="0.3">
      <c r="A80"/>
      <c r="D80" s="35"/>
      <c r="E80" s="36"/>
      <c r="F80" s="37"/>
      <c r="G80" s="38"/>
      <c r="H80" s="39"/>
      <c r="I80" s="40"/>
      <c r="J80" s="177"/>
      <c r="M80" s="212"/>
      <c r="N80" s="213"/>
      <c r="O80" s="874" t="s">
        <v>29</v>
      </c>
      <c r="P80" s="875"/>
      <c r="Q80" s="875"/>
      <c r="R80" s="214">
        <f>SUM(R9:R79)</f>
        <v>0</v>
      </c>
      <c r="S80" s="215"/>
      <c r="T80" s="216">
        <f>SUM(T9:T79)</f>
        <v>17236609.100000001</v>
      </c>
      <c r="U80" s="217"/>
      <c r="W80" s="218">
        <f t="shared" ref="W80:CH80" si="6">SUM(W9:W79)</f>
        <v>420767.69999999995</v>
      </c>
      <c r="X80" s="219">
        <f t="shared" si="6"/>
        <v>0</v>
      </c>
      <c r="Y80" s="219">
        <f t="shared" si="6"/>
        <v>0</v>
      </c>
      <c r="Z80" s="219">
        <f t="shared" si="6"/>
        <v>0</v>
      </c>
      <c r="AA80" s="219">
        <f t="shared" si="6"/>
        <v>0</v>
      </c>
      <c r="AB80" s="219">
        <f t="shared" si="6"/>
        <v>0</v>
      </c>
      <c r="AC80" s="219">
        <f t="shared" si="6"/>
        <v>0</v>
      </c>
      <c r="AD80" s="219">
        <f t="shared" si="6"/>
        <v>0</v>
      </c>
      <c r="AE80" s="219">
        <f t="shared" si="6"/>
        <v>0</v>
      </c>
      <c r="AF80" s="219">
        <f t="shared" si="6"/>
        <v>0</v>
      </c>
      <c r="AG80" s="219">
        <f t="shared" si="6"/>
        <v>0</v>
      </c>
      <c r="AH80" s="219">
        <f t="shared" si="6"/>
        <v>0</v>
      </c>
      <c r="AI80" s="219">
        <f t="shared" si="6"/>
        <v>0</v>
      </c>
      <c r="AJ80" s="219">
        <f t="shared" si="6"/>
        <v>0</v>
      </c>
      <c r="AK80" s="219">
        <f t="shared" si="6"/>
        <v>0</v>
      </c>
      <c r="AL80" s="219">
        <f t="shared" si="6"/>
        <v>0</v>
      </c>
      <c r="AM80" s="219">
        <f t="shared" si="6"/>
        <v>0</v>
      </c>
      <c r="AN80" s="219">
        <f t="shared" si="6"/>
        <v>0</v>
      </c>
      <c r="AO80" s="219">
        <f t="shared" si="6"/>
        <v>0</v>
      </c>
      <c r="AP80" s="219">
        <f t="shared" si="6"/>
        <v>0</v>
      </c>
      <c r="AQ80" s="219">
        <f t="shared" si="6"/>
        <v>0</v>
      </c>
      <c r="AR80" s="219">
        <f t="shared" si="6"/>
        <v>0</v>
      </c>
      <c r="AS80" s="219">
        <f t="shared" si="6"/>
        <v>0</v>
      </c>
      <c r="AT80" s="219">
        <f t="shared" si="6"/>
        <v>0</v>
      </c>
      <c r="AU80" s="219">
        <f t="shared" si="6"/>
        <v>0</v>
      </c>
      <c r="AV80" s="219">
        <f t="shared" si="6"/>
        <v>0</v>
      </c>
      <c r="AW80" s="219">
        <f t="shared" si="6"/>
        <v>0</v>
      </c>
      <c r="AX80" s="219">
        <f t="shared" si="6"/>
        <v>0</v>
      </c>
      <c r="AY80" s="219">
        <f t="shared" si="6"/>
        <v>0</v>
      </c>
      <c r="AZ80" s="219">
        <f t="shared" si="6"/>
        <v>0</v>
      </c>
      <c r="BA80" s="219">
        <f t="shared" si="6"/>
        <v>0</v>
      </c>
      <c r="BB80" s="219">
        <f t="shared" si="6"/>
        <v>0</v>
      </c>
      <c r="BC80" s="219">
        <f t="shared" si="6"/>
        <v>0</v>
      </c>
      <c r="BD80" s="219">
        <f t="shared" si="6"/>
        <v>0</v>
      </c>
      <c r="BE80" s="219">
        <f t="shared" si="6"/>
        <v>0</v>
      </c>
      <c r="BF80" s="219">
        <f t="shared" si="6"/>
        <v>0</v>
      </c>
      <c r="BG80" s="219">
        <f t="shared" si="6"/>
        <v>0</v>
      </c>
      <c r="BH80" s="219">
        <f t="shared" si="6"/>
        <v>0</v>
      </c>
      <c r="BI80" s="219">
        <f t="shared" si="6"/>
        <v>0</v>
      </c>
      <c r="BJ80" s="219">
        <f t="shared" si="6"/>
        <v>0</v>
      </c>
      <c r="BK80" s="219">
        <f t="shared" si="6"/>
        <v>0</v>
      </c>
      <c r="BL80" s="219">
        <f t="shared" si="6"/>
        <v>0</v>
      </c>
      <c r="BM80" s="219">
        <f t="shared" si="6"/>
        <v>0</v>
      </c>
      <c r="BN80" s="219">
        <f t="shared" si="6"/>
        <v>0</v>
      </c>
      <c r="BO80" s="219">
        <f t="shared" si="6"/>
        <v>0</v>
      </c>
      <c r="BP80" s="219">
        <f t="shared" si="6"/>
        <v>0</v>
      </c>
      <c r="BQ80" s="219">
        <f t="shared" si="6"/>
        <v>0</v>
      </c>
      <c r="BR80" s="219">
        <f t="shared" si="6"/>
        <v>0</v>
      </c>
      <c r="BS80" s="219">
        <f t="shared" si="6"/>
        <v>0</v>
      </c>
      <c r="BT80" s="219">
        <f t="shared" si="6"/>
        <v>0</v>
      </c>
      <c r="BU80" s="219">
        <f t="shared" si="6"/>
        <v>0</v>
      </c>
      <c r="BV80" s="219">
        <f t="shared" si="6"/>
        <v>0</v>
      </c>
      <c r="BW80" s="219">
        <f t="shared" si="6"/>
        <v>0</v>
      </c>
      <c r="BX80" s="219">
        <f t="shared" si="6"/>
        <v>0</v>
      </c>
      <c r="BY80" s="219">
        <f t="shared" si="6"/>
        <v>0</v>
      </c>
      <c r="BZ80" s="219">
        <f t="shared" si="6"/>
        <v>0</v>
      </c>
      <c r="CA80" s="219">
        <f t="shared" si="6"/>
        <v>0</v>
      </c>
      <c r="CB80" s="219">
        <f t="shared" si="6"/>
        <v>0</v>
      </c>
      <c r="CC80" s="219">
        <f t="shared" si="6"/>
        <v>0</v>
      </c>
      <c r="CD80" s="219">
        <f t="shared" si="6"/>
        <v>0</v>
      </c>
      <c r="CE80" s="219">
        <f t="shared" si="6"/>
        <v>0</v>
      </c>
      <c r="CF80" s="219">
        <f t="shared" si="6"/>
        <v>0</v>
      </c>
      <c r="CG80" s="219">
        <f t="shared" si="6"/>
        <v>0</v>
      </c>
      <c r="CH80" s="219">
        <f t="shared" si="6"/>
        <v>0</v>
      </c>
      <c r="CI80" s="219">
        <f t="shared" ref="CI80:ET80" si="7">SUM(CI9:CI79)</f>
        <v>0</v>
      </c>
      <c r="CJ80" s="219">
        <f t="shared" si="7"/>
        <v>0</v>
      </c>
      <c r="CK80" s="219">
        <f t="shared" si="7"/>
        <v>0</v>
      </c>
      <c r="CL80" s="219">
        <f t="shared" si="7"/>
        <v>0</v>
      </c>
      <c r="CM80" s="219">
        <f t="shared" si="7"/>
        <v>0</v>
      </c>
      <c r="CN80" s="219">
        <f t="shared" si="7"/>
        <v>0</v>
      </c>
      <c r="CO80" s="219">
        <f t="shared" si="7"/>
        <v>0</v>
      </c>
      <c r="CP80" s="219">
        <f t="shared" si="7"/>
        <v>0</v>
      </c>
      <c r="CQ80" s="219">
        <f t="shared" si="7"/>
        <v>0</v>
      </c>
      <c r="CR80" s="219">
        <f t="shared" si="7"/>
        <v>0</v>
      </c>
      <c r="CS80" s="219">
        <f t="shared" si="7"/>
        <v>0</v>
      </c>
      <c r="CT80" s="219">
        <f t="shared" si="7"/>
        <v>0</v>
      </c>
      <c r="CU80" s="219">
        <f t="shared" si="7"/>
        <v>0</v>
      </c>
      <c r="CV80" s="219">
        <f t="shared" si="7"/>
        <v>0</v>
      </c>
      <c r="CW80" s="219">
        <f t="shared" si="7"/>
        <v>0</v>
      </c>
      <c r="CX80" s="219">
        <f t="shared" si="7"/>
        <v>0</v>
      </c>
      <c r="CY80" s="219">
        <f t="shared" si="7"/>
        <v>0</v>
      </c>
      <c r="CZ80" s="219">
        <f t="shared" si="7"/>
        <v>0</v>
      </c>
      <c r="DA80" s="219">
        <f t="shared" si="7"/>
        <v>0</v>
      </c>
      <c r="DB80" s="219">
        <f t="shared" si="7"/>
        <v>0</v>
      </c>
      <c r="DC80" s="219">
        <f t="shared" si="7"/>
        <v>0</v>
      </c>
      <c r="DD80" s="219">
        <f t="shared" si="7"/>
        <v>0</v>
      </c>
      <c r="DE80" s="219">
        <f t="shared" si="7"/>
        <v>0</v>
      </c>
      <c r="DF80" s="219">
        <f t="shared" si="7"/>
        <v>0</v>
      </c>
      <c r="DG80" s="219">
        <f t="shared" si="7"/>
        <v>0</v>
      </c>
      <c r="DH80" s="219">
        <f t="shared" si="7"/>
        <v>0</v>
      </c>
      <c r="DI80" s="219">
        <f t="shared" si="7"/>
        <v>0</v>
      </c>
      <c r="DJ80" s="219">
        <f t="shared" si="7"/>
        <v>0</v>
      </c>
      <c r="DK80" s="219">
        <f t="shared" si="7"/>
        <v>0</v>
      </c>
      <c r="DL80" s="219">
        <f t="shared" si="7"/>
        <v>0</v>
      </c>
      <c r="DM80" s="219">
        <f t="shared" si="7"/>
        <v>0</v>
      </c>
      <c r="DN80" s="219">
        <f t="shared" si="7"/>
        <v>0</v>
      </c>
      <c r="DO80" s="219">
        <f t="shared" si="7"/>
        <v>0</v>
      </c>
      <c r="DP80" s="219">
        <f t="shared" si="7"/>
        <v>0</v>
      </c>
      <c r="DQ80" s="219">
        <f t="shared" si="7"/>
        <v>0</v>
      </c>
      <c r="DR80" s="219">
        <f t="shared" si="7"/>
        <v>0</v>
      </c>
      <c r="DS80" s="219">
        <f t="shared" si="7"/>
        <v>0</v>
      </c>
      <c r="DT80" s="219">
        <f t="shared" si="7"/>
        <v>0</v>
      </c>
      <c r="DU80" s="219">
        <f t="shared" si="7"/>
        <v>0</v>
      </c>
      <c r="DV80" s="219">
        <f t="shared" si="7"/>
        <v>0</v>
      </c>
      <c r="DW80" s="219">
        <f t="shared" si="7"/>
        <v>0</v>
      </c>
      <c r="DX80" s="219">
        <f t="shared" si="7"/>
        <v>0</v>
      </c>
      <c r="DY80" s="219">
        <f t="shared" si="7"/>
        <v>0</v>
      </c>
      <c r="DZ80" s="219">
        <f t="shared" si="7"/>
        <v>0</v>
      </c>
      <c r="EA80" s="219">
        <f t="shared" si="7"/>
        <v>0</v>
      </c>
      <c r="EB80" s="219">
        <f t="shared" si="7"/>
        <v>0</v>
      </c>
      <c r="EC80" s="219">
        <f t="shared" si="7"/>
        <v>0</v>
      </c>
      <c r="ED80" s="219">
        <f t="shared" si="7"/>
        <v>0</v>
      </c>
      <c r="EE80" s="219">
        <f t="shared" si="7"/>
        <v>0</v>
      </c>
      <c r="EF80" s="219">
        <f t="shared" si="7"/>
        <v>0</v>
      </c>
      <c r="EG80" s="219">
        <f t="shared" si="7"/>
        <v>0</v>
      </c>
      <c r="EH80" s="219">
        <f t="shared" si="7"/>
        <v>0</v>
      </c>
      <c r="EI80" s="219">
        <f t="shared" si="7"/>
        <v>0</v>
      </c>
      <c r="EJ80" s="219">
        <f t="shared" si="7"/>
        <v>0</v>
      </c>
      <c r="EK80" s="219">
        <f t="shared" si="7"/>
        <v>0</v>
      </c>
      <c r="EL80" s="219">
        <f t="shared" si="7"/>
        <v>0</v>
      </c>
      <c r="EM80" s="219">
        <f t="shared" si="7"/>
        <v>0</v>
      </c>
      <c r="EN80" s="219">
        <f t="shared" si="7"/>
        <v>0</v>
      </c>
      <c r="EO80" s="219">
        <f t="shared" si="7"/>
        <v>0</v>
      </c>
      <c r="EP80" s="219">
        <f t="shared" si="7"/>
        <v>0</v>
      </c>
      <c r="EQ80" s="219">
        <f t="shared" si="7"/>
        <v>0</v>
      </c>
      <c r="ER80" s="219">
        <f t="shared" si="7"/>
        <v>0</v>
      </c>
      <c r="ES80" s="219">
        <f t="shared" si="7"/>
        <v>0</v>
      </c>
      <c r="ET80" s="219">
        <f t="shared" si="7"/>
        <v>0</v>
      </c>
      <c r="EU80" s="219">
        <f t="shared" ref="EU80:GS80" si="8">SUM(EU9:EU79)</f>
        <v>0</v>
      </c>
      <c r="EV80" s="219">
        <f t="shared" si="8"/>
        <v>0</v>
      </c>
      <c r="EW80" s="219">
        <f t="shared" si="8"/>
        <v>0</v>
      </c>
      <c r="EX80" s="219">
        <f t="shared" si="8"/>
        <v>0</v>
      </c>
      <c r="EY80" s="219">
        <f t="shared" si="8"/>
        <v>0</v>
      </c>
      <c r="EZ80" s="219">
        <f t="shared" si="8"/>
        <v>0</v>
      </c>
      <c r="FA80" s="219">
        <f t="shared" si="8"/>
        <v>0</v>
      </c>
      <c r="FB80" s="219">
        <f t="shared" si="8"/>
        <v>0</v>
      </c>
      <c r="FC80" s="219">
        <f t="shared" si="8"/>
        <v>0</v>
      </c>
      <c r="FD80" s="219">
        <f t="shared" si="8"/>
        <v>0</v>
      </c>
      <c r="FE80" s="219">
        <f t="shared" si="8"/>
        <v>0</v>
      </c>
      <c r="FF80" s="219">
        <f t="shared" si="8"/>
        <v>0</v>
      </c>
      <c r="FG80" s="219">
        <f t="shared" si="8"/>
        <v>0</v>
      </c>
      <c r="FH80" s="219">
        <f t="shared" si="8"/>
        <v>0</v>
      </c>
      <c r="FI80" s="219">
        <f t="shared" si="8"/>
        <v>0</v>
      </c>
      <c r="FJ80" s="219">
        <f t="shared" si="8"/>
        <v>0</v>
      </c>
      <c r="FK80" s="219">
        <f t="shared" si="8"/>
        <v>0</v>
      </c>
      <c r="FL80" s="219">
        <f t="shared" si="8"/>
        <v>0</v>
      </c>
      <c r="FM80" s="219">
        <f t="shared" si="8"/>
        <v>0</v>
      </c>
      <c r="FN80" s="219">
        <f t="shared" si="8"/>
        <v>0</v>
      </c>
      <c r="FO80" s="219">
        <f t="shared" si="8"/>
        <v>0</v>
      </c>
      <c r="FP80" s="219">
        <f t="shared" si="8"/>
        <v>0</v>
      </c>
      <c r="FQ80" s="219">
        <f t="shared" si="8"/>
        <v>0</v>
      </c>
      <c r="FR80" s="219">
        <f t="shared" si="8"/>
        <v>0</v>
      </c>
      <c r="FS80" s="219">
        <f t="shared" si="8"/>
        <v>0</v>
      </c>
      <c r="FT80" s="219">
        <f t="shared" si="8"/>
        <v>0</v>
      </c>
      <c r="FU80" s="219">
        <f t="shared" si="8"/>
        <v>0</v>
      </c>
      <c r="FV80" s="219">
        <f t="shared" si="8"/>
        <v>0</v>
      </c>
      <c r="FW80" s="219">
        <f t="shared" si="8"/>
        <v>0</v>
      </c>
      <c r="FX80" s="219">
        <f t="shared" si="8"/>
        <v>0</v>
      </c>
      <c r="FY80" s="219">
        <f t="shared" si="8"/>
        <v>0</v>
      </c>
      <c r="FZ80" s="219">
        <f t="shared" si="8"/>
        <v>0</v>
      </c>
      <c r="GA80" s="219">
        <f t="shared" si="8"/>
        <v>0</v>
      </c>
      <c r="GB80" s="219">
        <f t="shared" si="8"/>
        <v>0</v>
      </c>
      <c r="GC80" s="219">
        <f t="shared" si="8"/>
        <v>0</v>
      </c>
      <c r="GD80" s="219">
        <f t="shared" si="8"/>
        <v>0</v>
      </c>
      <c r="GE80" s="219">
        <f t="shared" si="8"/>
        <v>0</v>
      </c>
      <c r="GF80" s="219">
        <f t="shared" si="8"/>
        <v>0</v>
      </c>
      <c r="GG80" s="219">
        <f t="shared" si="8"/>
        <v>0</v>
      </c>
      <c r="GH80" s="219">
        <f t="shared" si="8"/>
        <v>0</v>
      </c>
      <c r="GI80" s="219">
        <f t="shared" si="8"/>
        <v>0</v>
      </c>
      <c r="GJ80" s="219">
        <f t="shared" si="8"/>
        <v>0</v>
      </c>
      <c r="GK80" s="219">
        <f t="shared" si="8"/>
        <v>0</v>
      </c>
      <c r="GL80" s="219">
        <f t="shared" si="8"/>
        <v>0</v>
      </c>
      <c r="GM80" s="219">
        <f t="shared" si="8"/>
        <v>0</v>
      </c>
      <c r="GN80" s="219">
        <f t="shared" si="8"/>
        <v>0</v>
      </c>
      <c r="GO80" s="219">
        <f t="shared" si="8"/>
        <v>0</v>
      </c>
      <c r="GP80" s="219">
        <f t="shared" si="8"/>
        <v>0</v>
      </c>
      <c r="GQ80" s="219">
        <f t="shared" si="8"/>
        <v>0</v>
      </c>
      <c r="GR80" s="219">
        <f t="shared" si="8"/>
        <v>0</v>
      </c>
      <c r="GS80" s="219">
        <f t="shared" si="8"/>
        <v>0</v>
      </c>
      <c r="GT80" s="219"/>
      <c r="GU80" s="220">
        <f>SUM(GU9:GU79)</f>
        <v>0</v>
      </c>
      <c r="GV80" s="221"/>
      <c r="GW80" s="62"/>
      <c r="GX80" s="62"/>
      <c r="GY80" s="62"/>
      <c r="GZ80" s="223">
        <f>SUM(GZ9:GZ79)</f>
        <v>94888</v>
      </c>
    </row>
    <row r="81" spans="1:208" x14ac:dyDescent="0.25">
      <c r="D81" s="35"/>
      <c r="E81" s="36"/>
      <c r="F81" s="37"/>
      <c r="G81" s="38"/>
      <c r="H81" s="39"/>
      <c r="I81" s="40"/>
      <c r="J81" s="177"/>
      <c r="M81" s="212"/>
      <c r="N81" s="213"/>
      <c r="O81" s="224"/>
      <c r="P81" s="225"/>
      <c r="Q81" s="226"/>
      <c r="R81" s="226"/>
      <c r="S81" s="226"/>
      <c r="T81" s="39"/>
      <c r="U81" s="217"/>
      <c r="X81" s="227"/>
      <c r="Y81" s="228"/>
      <c r="Z81" s="229"/>
      <c r="AA81" s="36"/>
      <c r="AB81" s="229"/>
      <c r="AC81" s="230"/>
      <c r="AD81" s="87"/>
      <c r="AG81" s="227"/>
      <c r="AH81" s="228"/>
      <c r="AI81" s="229"/>
      <c r="AJ81" s="36"/>
      <c r="AK81" s="231"/>
      <c r="AL81" s="230"/>
      <c r="AM81" s="87"/>
      <c r="AP81" s="227"/>
      <c r="AQ81" s="228"/>
      <c r="AR81" s="229"/>
      <c r="AS81" s="36"/>
      <c r="AT81" s="229"/>
      <c r="AU81" s="230"/>
      <c r="AV81" s="87"/>
      <c r="AY81" s="227"/>
      <c r="AZ81" s="228"/>
      <c r="BA81" s="229"/>
      <c r="BB81" s="36"/>
      <c r="BC81" s="231"/>
      <c r="BD81" s="230"/>
      <c r="BE81" s="87"/>
      <c r="BH81" s="227"/>
      <c r="BI81" s="228"/>
      <c r="BJ81" s="229"/>
      <c r="BK81" s="36"/>
      <c r="BL81" s="231"/>
      <c r="BM81" s="230"/>
      <c r="BN81" s="87"/>
      <c r="BQ81" s="227"/>
      <c r="BR81" s="228"/>
      <c r="BS81" s="229"/>
      <c r="BT81" s="36"/>
      <c r="BU81" s="229"/>
      <c r="BV81" s="230"/>
      <c r="BW81" s="87"/>
      <c r="BZ81" s="227"/>
      <c r="CA81" s="228"/>
      <c r="CB81" s="229"/>
      <c r="CC81" s="36"/>
      <c r="CD81" s="229"/>
      <c r="CE81" s="230"/>
      <c r="CF81" s="87"/>
      <c r="CI81" s="227"/>
      <c r="CJ81" s="228"/>
      <c r="CK81" s="229"/>
      <c r="CL81" s="36"/>
      <c r="CM81" s="229"/>
      <c r="CN81" s="230"/>
      <c r="CO81" s="87"/>
      <c r="CR81" s="227"/>
      <c r="CS81" s="228"/>
      <c r="CT81" s="229"/>
      <c r="CU81" s="232"/>
      <c r="CV81" s="231"/>
      <c r="CW81" s="233"/>
      <c r="CX81" s="87"/>
      <c r="DA81" s="227"/>
      <c r="DB81" s="228"/>
      <c r="DC81" s="229"/>
      <c r="DD81" s="36"/>
      <c r="DE81" s="229"/>
      <c r="DF81" s="230"/>
      <c r="DG81" s="87"/>
      <c r="DJ81" s="227"/>
      <c r="DK81" s="228"/>
      <c r="DL81" s="229"/>
      <c r="DM81" s="232"/>
      <c r="DN81" s="231"/>
      <c r="DO81" s="233"/>
      <c r="DP81" s="87"/>
      <c r="DS81" s="227"/>
      <c r="DT81" s="228"/>
      <c r="DU81" s="229"/>
      <c r="DV81" s="36"/>
      <c r="DW81" s="229"/>
      <c r="DX81" s="230"/>
      <c r="DY81" s="87"/>
      <c r="EB81" s="227"/>
      <c r="EC81" s="228"/>
      <c r="ED81" s="229"/>
      <c r="EE81" s="232"/>
      <c r="EF81" s="231"/>
      <c r="EG81" s="233"/>
      <c r="EH81" s="87"/>
      <c r="EK81" s="227"/>
      <c r="EL81" s="228"/>
      <c r="EM81" s="229"/>
      <c r="EN81" s="232"/>
      <c r="EO81" s="231"/>
      <c r="EP81" s="233"/>
      <c r="EQ81" s="87"/>
      <c r="ET81" s="227"/>
      <c r="EU81" s="228"/>
      <c r="EV81" s="229"/>
      <c r="EW81" s="36"/>
      <c r="EX81" s="229"/>
      <c r="EY81" s="230"/>
      <c r="EZ81" s="87"/>
      <c r="FC81" s="227"/>
      <c r="FD81" s="228"/>
      <c r="FE81" s="229"/>
      <c r="FF81" s="36"/>
      <c r="FG81" s="229"/>
      <c r="FH81" s="230"/>
      <c r="FI81" s="87"/>
      <c r="FL81" s="227"/>
      <c r="FM81" s="228"/>
      <c r="FN81" s="229"/>
      <c r="FO81" s="36"/>
      <c r="FP81" s="229"/>
      <c r="FQ81" s="230"/>
      <c r="FR81" s="87"/>
      <c r="FU81" s="227"/>
      <c r="FV81" s="228"/>
      <c r="FW81" s="229"/>
      <c r="FX81" s="36"/>
      <c r="FY81" s="229"/>
      <c r="FZ81" s="230"/>
      <c r="GA81" s="87"/>
      <c r="GD81" s="227"/>
      <c r="GE81" s="228"/>
      <c r="GF81" s="229"/>
      <c r="GG81" s="36"/>
      <c r="GH81" s="229"/>
      <c r="GI81" s="230"/>
      <c r="GJ81" s="87"/>
      <c r="GM81" s="227"/>
      <c r="GN81" s="228"/>
      <c r="GO81" s="229"/>
      <c r="GP81" s="36"/>
      <c r="GQ81" s="229"/>
      <c r="GR81" s="230"/>
      <c r="GS81" s="87"/>
      <c r="GT81" s="187"/>
      <c r="GU81"/>
      <c r="GW81" s="235"/>
      <c r="GX81" s="235"/>
      <c r="GY81" s="235"/>
      <c r="GZ81"/>
    </row>
    <row r="82" spans="1:208" ht="16.5" thickBot="1" x14ac:dyDescent="0.3">
      <c r="D82" s="35"/>
      <c r="E82" s="36"/>
      <c r="F82" s="37"/>
      <c r="G82" s="38"/>
      <c r="H82" s="39"/>
      <c r="I82" s="40"/>
      <c r="J82" s="177"/>
      <c r="M82" s="212"/>
      <c r="N82" s="213"/>
      <c r="O82" s="224"/>
      <c r="P82" s="225"/>
      <c r="Q82" s="226"/>
      <c r="R82" s="226"/>
      <c r="S82" s="226"/>
      <c r="T82" s="39"/>
      <c r="U82" s="217"/>
      <c r="X82" s="227"/>
      <c r="Y82" s="228"/>
      <c r="Z82" s="229"/>
      <c r="AA82" s="36"/>
      <c r="AB82" s="229"/>
      <c r="AC82" s="230"/>
      <c r="AD82" s="87"/>
      <c r="AG82" s="227"/>
      <c r="AH82" s="228"/>
      <c r="AI82" s="229"/>
      <c r="AJ82" s="36"/>
      <c r="AK82" s="231"/>
      <c r="AL82" s="230"/>
      <c r="AM82" s="87"/>
      <c r="AP82" s="227"/>
      <c r="AQ82" s="228"/>
      <c r="AR82" s="229"/>
      <c r="AS82" s="36"/>
      <c r="AT82" s="229"/>
      <c r="AU82" s="230"/>
      <c r="AV82" s="87"/>
      <c r="AY82" s="227"/>
      <c r="AZ82" s="228"/>
      <c r="BA82" s="229"/>
      <c r="BB82" s="36"/>
      <c r="BC82" s="231"/>
      <c r="BD82" s="230"/>
      <c r="BE82" s="87"/>
      <c r="BH82" s="227"/>
      <c r="BI82" s="228"/>
      <c r="BJ82" s="229"/>
      <c r="BK82" s="36"/>
      <c r="BL82" s="231"/>
      <c r="BM82" s="230"/>
      <c r="BN82" s="87"/>
      <c r="BQ82" s="227"/>
      <c r="BR82" s="228"/>
      <c r="BS82" s="229"/>
      <c r="BT82" s="36"/>
      <c r="BU82" s="229"/>
      <c r="BV82" s="230"/>
      <c r="BW82" s="87"/>
      <c r="BZ82" s="227"/>
      <c r="CA82" s="228"/>
      <c r="CB82" s="229"/>
      <c r="CC82" s="36"/>
      <c r="CD82" s="229"/>
      <c r="CE82" s="230"/>
      <c r="CF82" s="87"/>
      <c r="CI82" s="227"/>
      <c r="CJ82" s="228"/>
      <c r="CK82" s="229"/>
      <c r="CL82" s="36"/>
      <c r="CM82" s="229"/>
      <c r="CN82" s="230"/>
      <c r="CO82" s="87"/>
      <c r="CR82" s="227"/>
      <c r="CS82" s="228"/>
      <c r="CT82" s="229"/>
      <c r="CU82" s="232"/>
      <c r="CV82" s="231"/>
      <c r="CW82" s="233"/>
      <c r="CX82" s="87"/>
      <c r="DA82" s="227"/>
      <c r="DB82" s="228"/>
      <c r="DC82" s="229"/>
      <c r="DD82" s="36"/>
      <c r="DE82" s="229"/>
      <c r="DF82" s="230"/>
      <c r="DG82" s="87"/>
      <c r="DJ82" s="227"/>
      <c r="DK82" s="228"/>
      <c r="DL82" s="229"/>
      <c r="DM82" s="232"/>
      <c r="DN82" s="231"/>
      <c r="DO82" s="233"/>
      <c r="DP82" s="87"/>
      <c r="DS82" s="227"/>
      <c r="DT82" s="228"/>
      <c r="DU82" s="229"/>
      <c r="DV82" s="36"/>
      <c r="DW82" s="229"/>
      <c r="DX82" s="230"/>
      <c r="DY82" s="87"/>
      <c r="EB82" s="227"/>
      <c r="EC82" s="228"/>
      <c r="ED82" s="229"/>
      <c r="EE82" s="232"/>
      <c r="EF82" s="231"/>
      <c r="EG82" s="233"/>
      <c r="EH82" s="87"/>
      <c r="EK82" s="227"/>
      <c r="EL82" s="228"/>
      <c r="EM82" s="229"/>
      <c r="EN82" s="232"/>
      <c r="EO82" s="231"/>
      <c r="EP82" s="233"/>
      <c r="EQ82" s="87"/>
      <c r="ET82" s="227"/>
      <c r="EU82" s="228"/>
      <c r="EV82" s="229"/>
      <c r="EW82" s="36"/>
      <c r="EX82" s="229"/>
      <c r="EY82" s="230"/>
      <c r="EZ82" s="87"/>
      <c r="FC82" s="227"/>
      <c r="FD82" s="228"/>
      <c r="FE82" s="229"/>
      <c r="FF82" s="36"/>
      <c r="FG82" s="229"/>
      <c r="FH82" s="230"/>
      <c r="FI82" s="87"/>
      <c r="FL82" s="227"/>
      <c r="FM82" s="228"/>
      <c r="FN82" s="229"/>
      <c r="FO82" s="36"/>
      <c r="FP82" s="229"/>
      <c r="FQ82" s="230"/>
      <c r="FR82" s="87"/>
      <c r="FU82" s="227"/>
      <c r="FV82" s="228"/>
      <c r="FW82" s="229"/>
      <c r="FX82" s="36"/>
      <c r="FY82" s="229"/>
      <c r="FZ82" s="230"/>
      <c r="GA82" s="87"/>
      <c r="GD82" s="227"/>
      <c r="GE82" s="228"/>
      <c r="GF82" s="229"/>
      <c r="GG82" s="36"/>
      <c r="GH82" s="229"/>
      <c r="GI82" s="230"/>
      <c r="GJ82" s="87"/>
      <c r="GM82" s="227"/>
      <c r="GN82" s="228"/>
      <c r="GO82" s="229"/>
      <c r="GP82" s="36"/>
      <c r="GQ82" s="229"/>
      <c r="GR82" s="230"/>
      <c r="GS82" s="87"/>
      <c r="GT82" s="187"/>
      <c r="GU82"/>
      <c r="GW82" s="235"/>
      <c r="GX82" s="235"/>
      <c r="GY82" s="235"/>
      <c r="GZ82"/>
    </row>
    <row r="83" spans="1:208" ht="16.5" thickTop="1" x14ac:dyDescent="0.25">
      <c r="D83" s="35"/>
      <c r="E83" s="36"/>
      <c r="F83" s="37"/>
      <c r="G83" s="38"/>
      <c r="H83" s="39"/>
      <c r="I83" s="40"/>
      <c r="J83" s="177"/>
      <c r="M83" s="212"/>
      <c r="O83" s="876" t="s">
        <v>30</v>
      </c>
      <c r="P83" s="877"/>
      <c r="Q83" s="877"/>
      <c r="R83" s="237"/>
      <c r="S83" s="237"/>
      <c r="T83" s="880">
        <f>GZ80+GU80+W80+T80+R80</f>
        <v>17752264.800000001</v>
      </c>
      <c r="U83" s="881"/>
      <c r="X83" s="227"/>
      <c r="Y83" s="228"/>
      <c r="Z83" s="229"/>
      <c r="AA83" s="36"/>
      <c r="AB83" s="229"/>
      <c r="AC83" s="230"/>
      <c r="AD83" s="87"/>
      <c r="AG83" s="227"/>
      <c r="AH83" s="228"/>
      <c r="AI83" s="229"/>
      <c r="AJ83" s="36"/>
      <c r="AK83" s="231"/>
      <c r="AL83" s="230"/>
      <c r="AM83" s="87"/>
      <c r="AP83" s="227"/>
      <c r="AQ83" s="228"/>
      <c r="AR83" s="229"/>
      <c r="AS83" s="36"/>
      <c r="AT83" s="229"/>
      <c r="AU83" s="230"/>
      <c r="AV83" s="87"/>
      <c r="AY83" s="227"/>
      <c r="AZ83" s="228"/>
      <c r="BA83" s="229"/>
      <c r="BB83" s="36"/>
      <c r="BC83" s="231"/>
      <c r="BD83" s="230"/>
      <c r="BE83" s="87"/>
      <c r="BH83" s="227"/>
      <c r="BI83" s="228"/>
      <c r="BJ83" s="229"/>
      <c r="BK83" s="36"/>
      <c r="BL83" s="231"/>
      <c r="BM83" s="230"/>
      <c r="BN83" s="87"/>
      <c r="BQ83" s="227"/>
      <c r="BR83" s="228"/>
      <c r="BS83" s="229"/>
      <c r="BT83" s="36"/>
      <c r="BU83" s="229"/>
      <c r="BV83" s="230"/>
      <c r="BW83" s="87"/>
      <c r="BZ83" s="227"/>
      <c r="CA83" s="228"/>
      <c r="CB83" s="229"/>
      <c r="CC83" s="36"/>
      <c r="CD83" s="229"/>
      <c r="CE83" s="230"/>
      <c r="CF83" s="87"/>
      <c r="CI83" s="227"/>
      <c r="CJ83" s="228"/>
      <c r="CK83" s="229"/>
      <c r="CL83" s="36"/>
      <c r="CM83" s="229"/>
      <c r="CN83" s="230"/>
      <c r="CO83" s="87"/>
      <c r="CR83" s="227"/>
      <c r="CS83" s="228"/>
      <c r="CT83" s="229"/>
      <c r="CU83" s="232"/>
      <c r="CV83" s="231"/>
      <c r="CW83" s="233"/>
      <c r="CX83" s="87"/>
      <c r="DA83" s="227"/>
      <c r="DB83" s="228"/>
      <c r="DC83" s="229"/>
      <c r="DD83" s="36"/>
      <c r="DE83" s="229"/>
      <c r="DF83" s="230"/>
      <c r="DG83" s="87"/>
      <c r="DJ83" s="227"/>
      <c r="DK83" s="228"/>
      <c r="DL83" s="229"/>
      <c r="DM83" s="232"/>
      <c r="DN83" s="231"/>
      <c r="DO83" s="233"/>
      <c r="DP83" s="87"/>
      <c r="DS83" s="227"/>
      <c r="DT83" s="228"/>
      <c r="DU83" s="229"/>
      <c r="DV83" s="36"/>
      <c r="DW83" s="229"/>
      <c r="DX83" s="230"/>
      <c r="DY83" s="87"/>
      <c r="EB83" s="227"/>
      <c r="EC83" s="228"/>
      <c r="ED83" s="229"/>
      <c r="EE83" s="232"/>
      <c r="EF83" s="231"/>
      <c r="EG83" s="233"/>
      <c r="EH83" s="87"/>
      <c r="EK83" s="227"/>
      <c r="EL83" s="228"/>
      <c r="EM83" s="229"/>
      <c r="EN83" s="232"/>
      <c r="EO83" s="231"/>
      <c r="EP83" s="233"/>
      <c r="EQ83" s="87"/>
      <c r="ET83" s="227"/>
      <c r="EU83" s="228"/>
      <c r="EV83" s="229"/>
      <c r="EW83" s="36"/>
      <c r="EX83" s="229"/>
      <c r="EY83" s="230"/>
      <c r="EZ83" s="87"/>
      <c r="FC83" s="227"/>
      <c r="FD83" s="228"/>
      <c r="FE83" s="229"/>
      <c r="FF83" s="36"/>
      <c r="FG83" s="229"/>
      <c r="FH83" s="230"/>
      <c r="FI83" s="87"/>
      <c r="FL83" s="227"/>
      <c r="FM83" s="228"/>
      <c r="FN83" s="229"/>
      <c r="FO83" s="36"/>
      <c r="FP83" s="229"/>
      <c r="FQ83" s="230"/>
      <c r="FR83" s="87"/>
      <c r="FU83" s="227"/>
      <c r="FV83" s="228"/>
      <c r="FW83" s="229"/>
      <c r="FX83" s="36"/>
      <c r="FY83" s="229"/>
      <c r="FZ83" s="230"/>
      <c r="GA83" s="87"/>
      <c r="GD83" s="227"/>
      <c r="GE83" s="228"/>
      <c r="GF83" s="229"/>
      <c r="GG83" s="36"/>
      <c r="GH83" s="229"/>
      <c r="GI83" s="230"/>
      <c r="GJ83" s="87"/>
      <c r="GM83" s="227"/>
      <c r="GN83" s="228"/>
      <c r="GO83" s="229"/>
      <c r="GP83" s="36"/>
      <c r="GQ83" s="229"/>
      <c r="GR83" s="230"/>
      <c r="GS83" s="87"/>
      <c r="GT83" s="187"/>
      <c r="GU83"/>
      <c r="GW83" s="235"/>
      <c r="GX83" s="235"/>
      <c r="GY83" s="235"/>
      <c r="GZ83"/>
    </row>
    <row r="84" spans="1:208" ht="16.5" thickBot="1" x14ac:dyDescent="0.3">
      <c r="D84" s="35"/>
      <c r="E84" s="36"/>
      <c r="F84" s="37"/>
      <c r="G84" s="38"/>
      <c r="H84" s="39"/>
      <c r="I84" s="40"/>
      <c r="J84" s="238"/>
      <c r="M84" s="212"/>
      <c r="O84" s="878"/>
      <c r="P84" s="879"/>
      <c r="Q84" s="879"/>
      <c r="R84" s="239"/>
      <c r="S84" s="239"/>
      <c r="T84" s="882"/>
      <c r="U84" s="883"/>
      <c r="X84" s="227"/>
      <c r="Y84" s="228"/>
      <c r="Z84" s="229"/>
      <c r="AA84" s="36"/>
      <c r="AB84" s="229"/>
      <c r="AC84" s="230"/>
      <c r="AD84" s="87"/>
      <c r="AG84" s="227"/>
      <c r="AH84" s="228"/>
      <c r="AI84" s="229"/>
      <c r="AJ84" s="36"/>
      <c r="AK84" s="231"/>
      <c r="AL84" s="230"/>
      <c r="AM84" s="87"/>
      <c r="AP84" s="227"/>
      <c r="AQ84" s="228"/>
      <c r="AR84" s="229"/>
      <c r="AS84" s="36"/>
      <c r="AT84" s="229"/>
      <c r="AU84" s="230"/>
      <c r="AV84" s="87"/>
      <c r="AY84" s="227"/>
      <c r="AZ84" s="228"/>
      <c r="BA84" s="229"/>
      <c r="BB84" s="36"/>
      <c r="BC84" s="231"/>
      <c r="BD84" s="230"/>
      <c r="BE84" s="87"/>
      <c r="BH84" s="227"/>
      <c r="BI84" s="228"/>
      <c r="BJ84" s="229"/>
      <c r="BK84" s="36"/>
      <c r="BL84" s="231"/>
      <c r="BM84" s="230"/>
      <c r="BN84" s="87"/>
      <c r="BQ84" s="227"/>
      <c r="BR84" s="228"/>
      <c r="BS84" s="229"/>
      <c r="BT84" s="36"/>
      <c r="BU84" s="229"/>
      <c r="BV84" s="230"/>
      <c r="BW84" s="87"/>
      <c r="BZ84" s="227"/>
      <c r="CA84" s="228"/>
      <c r="CB84" s="229"/>
      <c r="CC84" s="36"/>
      <c r="CD84" s="229"/>
      <c r="CE84" s="230"/>
      <c r="CF84" s="87"/>
      <c r="CI84" s="227"/>
      <c r="CJ84" s="228"/>
      <c r="CK84" s="229"/>
      <c r="CL84" s="36"/>
      <c r="CM84" s="229"/>
      <c r="CN84" s="230"/>
      <c r="CO84" s="87"/>
      <c r="CR84" s="227"/>
      <c r="CS84" s="228"/>
      <c r="CT84" s="229"/>
      <c r="CU84" s="232"/>
      <c r="CV84" s="231"/>
      <c r="CW84" s="233"/>
      <c r="CX84" s="87"/>
      <c r="DA84" s="227"/>
      <c r="DB84" s="228"/>
      <c r="DC84" s="229"/>
      <c r="DD84" s="36"/>
      <c r="DE84" s="229"/>
      <c r="DF84" s="230"/>
      <c r="DG84" s="87"/>
      <c r="DJ84" s="227"/>
      <c r="DK84" s="228"/>
      <c r="DL84" s="229"/>
      <c r="DM84" s="232"/>
      <c r="DN84" s="231"/>
      <c r="DO84" s="233"/>
      <c r="DP84" s="87"/>
      <c r="DS84" s="227"/>
      <c r="DT84" s="228"/>
      <c r="DU84" s="229"/>
      <c r="DV84" s="36"/>
      <c r="DW84" s="229"/>
      <c r="DX84" s="230"/>
      <c r="DY84" s="87"/>
      <c r="EB84" s="227"/>
      <c r="EC84" s="228"/>
      <c r="ED84" s="229"/>
      <c r="EE84" s="232"/>
      <c r="EF84" s="231"/>
      <c r="EG84" s="233"/>
      <c r="EH84" s="87"/>
      <c r="EK84" s="227"/>
      <c r="EL84" s="228"/>
      <c r="EM84" s="229"/>
      <c r="EN84" s="232"/>
      <c r="EO84" s="231"/>
      <c r="EP84" s="233"/>
      <c r="EQ84" s="87"/>
      <c r="ET84" s="227"/>
      <c r="EU84" s="228"/>
      <c r="EV84" s="229"/>
      <c r="EW84" s="36"/>
      <c r="EX84" s="229"/>
      <c r="EY84" s="230"/>
      <c r="EZ84" s="87"/>
      <c r="FC84" s="227"/>
      <c r="FD84" s="228"/>
      <c r="FE84" s="229"/>
      <c r="FF84" s="36"/>
      <c r="FG84" s="229"/>
      <c r="FH84" s="230"/>
      <c r="FI84" s="87"/>
      <c r="FL84" s="227"/>
      <c r="FM84" s="228"/>
      <c r="FN84" s="229"/>
      <c r="FO84" s="36"/>
      <c r="FP84" s="229"/>
      <c r="FQ84" s="230"/>
      <c r="FR84" s="87"/>
      <c r="FU84" s="227"/>
      <c r="FV84" s="228"/>
      <c r="FW84" s="229"/>
      <c r="FX84" s="36"/>
      <c r="FY84" s="229"/>
      <c r="FZ84" s="230"/>
      <c r="GA84" s="87"/>
      <c r="GD84" s="227"/>
      <c r="GE84" s="228"/>
      <c r="GF84" s="229"/>
      <c r="GG84" s="36"/>
      <c r="GH84" s="229"/>
      <c r="GI84" s="230"/>
      <c r="GJ84" s="87"/>
      <c r="GM84" s="227"/>
      <c r="GN84" s="228"/>
      <c r="GO84" s="229"/>
      <c r="GP84" s="36"/>
      <c r="GQ84" s="229"/>
      <c r="GR84" s="230"/>
      <c r="GS84" s="87"/>
      <c r="GT84" s="187"/>
      <c r="GU84"/>
      <c r="GW84" s="235"/>
      <c r="GX84" s="235"/>
      <c r="GY84" s="235"/>
      <c r="GZ84"/>
    </row>
    <row r="85" spans="1:208" ht="16.5" thickTop="1" x14ac:dyDescent="0.25">
      <c r="D85" s="35"/>
      <c r="E85" s="36"/>
      <c r="F85" s="37"/>
      <c r="G85" s="38"/>
      <c r="H85" s="39"/>
      <c r="I85" s="40"/>
      <c r="J85" s="238"/>
      <c r="M85" s="212"/>
      <c r="O85" s="224"/>
      <c r="P85" s="225"/>
      <c r="Q85" s="226"/>
      <c r="R85" s="226"/>
      <c r="S85" s="226"/>
      <c r="T85" s="39"/>
      <c r="U85" s="217"/>
      <c r="X85" s="227"/>
      <c r="Y85" s="228"/>
      <c r="Z85" s="229"/>
      <c r="AA85" s="36"/>
      <c r="AB85" s="229"/>
      <c r="AC85" s="230"/>
      <c r="AD85" s="87"/>
      <c r="AG85" s="227"/>
      <c r="AH85" s="228"/>
      <c r="AI85" s="229"/>
      <c r="AJ85" s="36"/>
      <c r="AK85" s="231"/>
      <c r="AL85" s="230"/>
      <c r="AM85" s="87"/>
      <c r="AP85" s="227"/>
      <c r="AQ85" s="228"/>
      <c r="AR85" s="229"/>
      <c r="AS85" s="36"/>
      <c r="AT85" s="229"/>
      <c r="AU85" s="230"/>
      <c r="AV85" s="87"/>
      <c r="AY85" s="227"/>
      <c r="AZ85" s="228"/>
      <c r="BA85" s="229"/>
      <c r="BB85" s="36"/>
      <c r="BC85" s="231"/>
      <c r="BD85" s="230"/>
      <c r="BE85" s="87"/>
      <c r="BH85" s="227"/>
      <c r="BI85" s="228"/>
      <c r="BJ85" s="229"/>
      <c r="BK85" s="36"/>
      <c r="BL85" s="231"/>
      <c r="BM85" s="230"/>
      <c r="BN85" s="87"/>
      <c r="BQ85" s="227"/>
      <c r="BR85" s="228"/>
      <c r="BS85" s="229"/>
      <c r="BT85" s="36"/>
      <c r="BU85" s="229"/>
      <c r="BV85" s="230"/>
      <c r="BW85" s="87"/>
      <c r="BZ85" s="227"/>
      <c r="CA85" s="228"/>
      <c r="CB85" s="229"/>
      <c r="CC85" s="36"/>
      <c r="CD85" s="229"/>
      <c r="CE85" s="230"/>
      <c r="CF85" s="87"/>
      <c r="CI85" s="227"/>
      <c r="CJ85" s="228"/>
      <c r="CK85" s="229"/>
      <c r="CL85" s="36"/>
      <c r="CM85" s="229"/>
      <c r="CN85" s="230"/>
      <c r="CO85" s="87"/>
      <c r="CR85" s="227"/>
      <c r="CS85" s="228"/>
      <c r="CT85" s="229"/>
      <c r="CU85" s="232"/>
      <c r="CV85" s="231"/>
      <c r="CW85" s="233"/>
      <c r="CX85" s="87"/>
      <c r="DA85" s="227"/>
      <c r="DB85" s="228"/>
      <c r="DC85" s="229"/>
      <c r="DD85" s="36"/>
      <c r="DE85" s="229"/>
      <c r="DF85" s="230"/>
      <c r="DG85" s="87"/>
      <c r="DJ85" s="227"/>
      <c r="DK85" s="228"/>
      <c r="DL85" s="229"/>
      <c r="DM85" s="232"/>
      <c r="DN85" s="231"/>
      <c r="DO85" s="233"/>
      <c r="DP85" s="87"/>
      <c r="DS85" s="227"/>
      <c r="DT85" s="228"/>
      <c r="DU85" s="229"/>
      <c r="DV85" s="36"/>
      <c r="DW85" s="229"/>
      <c r="DX85" s="230"/>
      <c r="DY85" s="87"/>
      <c r="EB85" s="227"/>
      <c r="EC85" s="228"/>
      <c r="ED85" s="229"/>
      <c r="EE85" s="232"/>
      <c r="EF85" s="231"/>
      <c r="EG85" s="233"/>
      <c r="EH85" s="87"/>
      <c r="EK85" s="227"/>
      <c r="EL85" s="228"/>
      <c r="EM85" s="229"/>
      <c r="EN85" s="232"/>
      <c r="EO85" s="231"/>
      <c r="EP85" s="233"/>
      <c r="EQ85" s="87"/>
      <c r="ET85" s="227"/>
      <c r="EU85" s="228"/>
      <c r="EV85" s="229"/>
      <c r="EW85" s="36"/>
      <c r="EX85" s="229"/>
      <c r="EY85" s="230"/>
      <c r="EZ85" s="87"/>
      <c r="FC85" s="227"/>
      <c r="FD85" s="228"/>
      <c r="FE85" s="229"/>
      <c r="FF85" s="36"/>
      <c r="FG85" s="229"/>
      <c r="FH85" s="230"/>
      <c r="FI85" s="87"/>
      <c r="FL85" s="227"/>
      <c r="FM85" s="228"/>
      <c r="FN85" s="229"/>
      <c r="FO85" s="36"/>
      <c r="FP85" s="229"/>
      <c r="FQ85" s="230"/>
      <c r="FR85" s="87"/>
      <c r="FU85" s="227"/>
      <c r="FV85" s="228"/>
      <c r="FW85" s="229"/>
      <c r="FX85" s="36"/>
      <c r="FY85" s="229"/>
      <c r="FZ85" s="230"/>
      <c r="GA85" s="87"/>
      <c r="GD85" s="227"/>
      <c r="GE85" s="228"/>
      <c r="GF85" s="229"/>
      <c r="GG85" s="36"/>
      <c r="GH85" s="229"/>
      <c r="GI85" s="230"/>
      <c r="GJ85" s="87"/>
      <c r="GM85" s="227"/>
      <c r="GN85" s="228"/>
      <c r="GO85" s="229"/>
      <c r="GP85" s="36"/>
      <c r="GQ85" s="229"/>
      <c r="GR85" s="230"/>
      <c r="GS85" s="87"/>
      <c r="GT85" s="187"/>
      <c r="GU85"/>
      <c r="GW85" s="235"/>
      <c r="GX85" s="235"/>
      <c r="GY85" s="235"/>
      <c r="GZ85"/>
    </row>
    <row r="86" spans="1:208" x14ac:dyDescent="0.25">
      <c r="D86" s="35"/>
      <c r="E86" s="36"/>
      <c r="F86" s="37"/>
      <c r="G86" s="38"/>
      <c r="H86" s="39"/>
      <c r="I86" s="40"/>
      <c r="J86" s="177"/>
      <c r="M86" s="212"/>
      <c r="O86" s="224"/>
      <c r="P86" s="225"/>
      <c r="Q86" s="226"/>
      <c r="R86" s="226"/>
      <c r="S86" s="226"/>
      <c r="T86" s="39"/>
      <c r="U86" s="217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36"/>
      <c r="AK86" s="231"/>
      <c r="AL86" s="230"/>
      <c r="AM86" s="87"/>
      <c r="AP86" s="227"/>
      <c r="AQ86" s="228"/>
      <c r="AR86" s="229"/>
      <c r="AS86" s="36"/>
      <c r="AT86" s="229"/>
      <c r="AU86" s="230"/>
      <c r="AV86" s="87"/>
      <c r="AY86" s="227"/>
      <c r="AZ86" s="228"/>
      <c r="BA86" s="229"/>
      <c r="BB86" s="36"/>
      <c r="BC86" s="231"/>
      <c r="BD86" s="230"/>
      <c r="BE86" s="87"/>
      <c r="BH86" s="227"/>
      <c r="BI86" s="228"/>
      <c r="BJ86" s="229"/>
      <c r="BK86" s="36"/>
      <c r="BL86" s="231"/>
      <c r="BM86" s="230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/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/>
      <c r="DC86" s="229"/>
      <c r="DD86" s="36"/>
      <c r="DE86" s="229"/>
      <c r="DF86" s="230"/>
      <c r="DG86" s="87"/>
      <c r="DJ86" s="227"/>
      <c r="DK86" s="228"/>
      <c r="DL86" s="229"/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/>
      <c r="ED86" s="229"/>
      <c r="EE86" s="232"/>
      <c r="EF86" s="231"/>
      <c r="EG86" s="233"/>
      <c r="EH86" s="87"/>
      <c r="EK86" s="227"/>
      <c r="EL86" s="228"/>
      <c r="EM86" s="229"/>
      <c r="EN86" s="232"/>
      <c r="EO86" s="231"/>
      <c r="EP86" s="233"/>
      <c r="EQ86" s="87"/>
      <c r="ET86" s="227"/>
      <c r="EU86" s="228"/>
      <c r="EV86" s="229"/>
      <c r="EW86" s="36"/>
      <c r="EX86" s="229"/>
      <c r="EY86" s="230"/>
      <c r="EZ86" s="87"/>
      <c r="FC86" s="227"/>
      <c r="FD86" s="228"/>
      <c r="FE86" s="229"/>
      <c r="FF86" s="36"/>
      <c r="FG86" s="229"/>
      <c r="FH86" s="230"/>
      <c r="FI86" s="87"/>
      <c r="FL86" s="227"/>
      <c r="FM86" s="228"/>
      <c r="FN86" s="229"/>
      <c r="FO86" s="36"/>
      <c r="FP86" s="229"/>
      <c r="FQ86" s="230"/>
      <c r="FR86" s="87"/>
      <c r="FU86" s="227"/>
      <c r="FV86" s="228"/>
      <c r="FW86" s="229"/>
      <c r="FX86" s="36"/>
      <c r="FY86" s="229"/>
      <c r="FZ86" s="230"/>
      <c r="GA86" s="87"/>
      <c r="GD86" s="227"/>
      <c r="GE86" s="228"/>
      <c r="GF86" s="229"/>
      <c r="GG86" s="36"/>
      <c r="GH86" s="229"/>
      <c r="GI86" s="230"/>
      <c r="GJ86" s="87"/>
      <c r="GM86" s="227"/>
      <c r="GN86" s="228"/>
      <c r="GO86" s="229"/>
      <c r="GP86" s="36"/>
      <c r="GQ86" s="229"/>
      <c r="GR86" s="230"/>
      <c r="GS86" s="87"/>
      <c r="GT86" s="187"/>
      <c r="GU86"/>
      <c r="GW86" s="235"/>
      <c r="GX86" s="235"/>
      <c r="GY86" s="235"/>
      <c r="GZ86"/>
    </row>
    <row r="87" spans="1:208" x14ac:dyDescent="0.25">
      <c r="A87" s="1">
        <v>25</v>
      </c>
      <c r="B87" t="e">
        <f>#REF!</f>
        <v>#REF!</v>
      </c>
      <c r="C87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77"/>
      <c r="M87" s="212"/>
      <c r="O87" s="224"/>
      <c r="P87" s="240"/>
      <c r="Q87" s="226"/>
      <c r="R87" s="226"/>
      <c r="S87" s="226"/>
      <c r="T87" s="39"/>
      <c r="U87" s="241"/>
      <c r="X87" s="227"/>
      <c r="Y87" s="228"/>
      <c r="Z87" s="229"/>
      <c r="AA87" s="198"/>
      <c r="AB87" s="197"/>
      <c r="AC87" s="199"/>
      <c r="AD87" s="200"/>
      <c r="AG87" s="227"/>
      <c r="AH87" s="228"/>
      <c r="AI87" s="229"/>
      <c r="AJ87" s="232"/>
      <c r="AK87" s="231"/>
      <c r="AL87" s="233"/>
      <c r="AM87" s="87"/>
      <c r="AP87" s="227"/>
      <c r="AQ87" s="228">
        <v>21</v>
      </c>
      <c r="AR87" s="229"/>
      <c r="AS87" s="232"/>
      <c r="AT87" s="229"/>
      <c r="AU87" s="233"/>
      <c r="AV87" s="87"/>
      <c r="AY87" s="227"/>
      <c r="AZ87" s="228">
        <v>21</v>
      </c>
      <c r="BA87" s="229"/>
      <c r="BB87" s="232"/>
      <c r="BC87" s="231"/>
      <c r="BD87" s="233"/>
      <c r="BE87" s="87"/>
      <c r="BH87" s="227"/>
      <c r="BI87" s="228"/>
      <c r="BJ87" s="229"/>
      <c r="BK87" s="232"/>
      <c r="BL87" s="231"/>
      <c r="BM87" s="233"/>
      <c r="BN87" s="87"/>
      <c r="BQ87" s="227"/>
      <c r="BR87" s="228"/>
      <c r="BS87" s="229"/>
      <c r="BT87" s="36"/>
      <c r="BU87" s="229"/>
      <c r="BV87" s="230"/>
      <c r="BW87" s="87"/>
      <c r="BZ87" s="227"/>
      <c r="CA87" s="228"/>
      <c r="CB87" s="229"/>
      <c r="CC87" s="36"/>
      <c r="CD87" s="229"/>
      <c r="CE87" s="230"/>
      <c r="CF87" s="87"/>
      <c r="CI87" s="227"/>
      <c r="CJ87" s="228">
        <v>21</v>
      </c>
      <c r="CK87" s="229"/>
      <c r="CL87" s="36"/>
      <c r="CM87" s="229"/>
      <c r="CN87" s="230"/>
      <c r="CO87" s="87"/>
      <c r="CR87" s="227"/>
      <c r="CS87" s="228"/>
      <c r="CT87" s="229"/>
      <c r="CU87" s="232"/>
      <c r="CV87" s="231"/>
      <c r="CW87" s="233"/>
      <c r="CX87" s="87"/>
      <c r="DA87" s="227"/>
      <c r="DB87" s="228">
        <v>21</v>
      </c>
      <c r="DC87" s="229"/>
      <c r="DD87" s="36"/>
      <c r="DE87" s="229"/>
      <c r="DF87" s="230"/>
      <c r="DG87" s="87"/>
      <c r="DJ87" s="227"/>
      <c r="DK87" s="228"/>
      <c r="DL87" s="229"/>
      <c r="DM87" s="232"/>
      <c r="DN87" s="231"/>
      <c r="DO87" s="233"/>
      <c r="DP87" s="87"/>
      <c r="DS87" s="227"/>
      <c r="DT87" s="228"/>
      <c r="DU87" s="229"/>
      <c r="DV87" s="36"/>
      <c r="DW87" s="229"/>
      <c r="DX87" s="230"/>
      <c r="DY87" s="87"/>
      <c r="EB87" s="227"/>
      <c r="EC87" s="228">
        <v>21</v>
      </c>
      <c r="ED87" s="229"/>
      <c r="EE87" s="232"/>
      <c r="EF87" s="231"/>
      <c r="EG87" s="233"/>
      <c r="EH87" s="87"/>
      <c r="EK87" s="227"/>
      <c r="EL87" s="228">
        <v>21</v>
      </c>
      <c r="EM87" s="229"/>
      <c r="EN87" s="232"/>
      <c r="EO87" s="231"/>
      <c r="EP87" s="233"/>
      <c r="EQ87" s="87"/>
      <c r="ET87" s="227"/>
      <c r="EU87" s="228">
        <v>21</v>
      </c>
      <c r="EV87" s="229"/>
      <c r="EW87" s="36"/>
      <c r="EX87" s="229"/>
      <c r="EY87" s="230"/>
      <c r="EZ87" s="87"/>
      <c r="FC87" s="227"/>
      <c r="FD87" s="228">
        <v>21</v>
      </c>
      <c r="FE87" s="229"/>
      <c r="FF87" s="36"/>
      <c r="FG87" s="229"/>
      <c r="FH87" s="230"/>
      <c r="FI87" s="87"/>
      <c r="FL87" s="227"/>
      <c r="FM87" s="228">
        <v>21</v>
      </c>
      <c r="FN87" s="229"/>
      <c r="FO87" s="36"/>
      <c r="FP87" s="229"/>
      <c r="FQ87" s="230"/>
      <c r="FR87" s="87"/>
      <c r="FU87" s="227"/>
      <c r="FV87" s="228">
        <v>21</v>
      </c>
      <c r="FW87" s="229"/>
      <c r="FX87" s="36"/>
      <c r="FY87" s="229"/>
      <c r="FZ87" s="230"/>
      <c r="GA87" s="87"/>
      <c r="GD87" s="227"/>
      <c r="GE87" s="228">
        <v>21</v>
      </c>
      <c r="GF87" s="229"/>
      <c r="GG87" s="36"/>
      <c r="GH87" s="229"/>
      <c r="GI87" s="230"/>
      <c r="GJ87" s="87"/>
      <c r="GM87" s="227"/>
      <c r="GN87" s="228">
        <v>21</v>
      </c>
      <c r="GO87" s="229"/>
      <c r="GP87" s="36"/>
      <c r="GQ87" s="229"/>
      <c r="GR87" s="230"/>
      <c r="GS87" s="87"/>
      <c r="GT87" s="187"/>
      <c r="GU87"/>
      <c r="GW87" s="235"/>
      <c r="GX87" s="235"/>
      <c r="GY87" s="235"/>
      <c r="GZ87"/>
    </row>
    <row r="88" spans="1:208" x14ac:dyDescent="0.25">
      <c r="A88" s="1">
        <v>26</v>
      </c>
      <c r="B88" t="e">
        <f>#REF!</f>
        <v>#REF!</v>
      </c>
      <c r="C88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38"/>
      <c r="M88" s="212"/>
      <c r="T88" s="39"/>
      <c r="U88" s="242"/>
      <c r="X88" s="227"/>
      <c r="Y88" s="228"/>
      <c r="Z88" s="229"/>
      <c r="AA88" s="36"/>
      <c r="AB88" s="229"/>
      <c r="AC88" s="230"/>
      <c r="AD88" s="87"/>
      <c r="AG88" s="227"/>
      <c r="AH88" s="228"/>
      <c r="AI88" s="229"/>
      <c r="AJ88" s="232"/>
      <c r="AK88" s="231"/>
      <c r="AL88" s="233"/>
      <c r="AM88" s="87"/>
      <c r="AP88" s="227"/>
      <c r="AQ88" s="228">
        <v>22</v>
      </c>
      <c r="AR88" s="231"/>
      <c r="AS88" s="232"/>
      <c r="AT88" s="229"/>
      <c r="AU88" s="233"/>
      <c r="AV88" s="87"/>
      <c r="AY88" s="227"/>
      <c r="AZ88" s="228">
        <v>22</v>
      </c>
      <c r="BA88" s="229"/>
      <c r="BB88" s="232"/>
      <c r="BC88" s="231"/>
      <c r="BD88" s="233"/>
      <c r="BE88" s="87"/>
      <c r="BH88" s="227"/>
      <c r="BI88" s="228"/>
      <c r="BJ88" s="229"/>
      <c r="BK88" s="232"/>
      <c r="BL88" s="231"/>
      <c r="BM88" s="233"/>
      <c r="BN88" s="87"/>
      <c r="BQ88" s="227"/>
      <c r="BR88" s="228"/>
      <c r="BS88" s="229"/>
      <c r="BT88" s="36"/>
      <c r="BU88" s="229"/>
      <c r="BV88" s="230"/>
      <c r="BW88" s="87"/>
      <c r="BZ88" s="227"/>
      <c r="CA88" s="228"/>
      <c r="CB88" s="229"/>
      <c r="CC88" s="36"/>
      <c r="CD88" s="229"/>
      <c r="CE88" s="230"/>
      <c r="CF88" s="87"/>
      <c r="CI88" s="227"/>
      <c r="CJ88" s="228">
        <v>22</v>
      </c>
      <c r="CK88" s="229"/>
      <c r="CL88" s="36"/>
      <c r="CM88" s="229"/>
      <c r="CN88" s="230"/>
      <c r="CO88" s="87"/>
      <c r="CR88" s="227"/>
      <c r="CS88" s="228"/>
      <c r="CT88" s="229"/>
      <c r="CU88" s="232"/>
      <c r="CV88" s="231"/>
      <c r="CW88" s="233"/>
      <c r="CX88" s="87"/>
      <c r="DA88" s="227"/>
      <c r="DB88" s="228">
        <v>22</v>
      </c>
      <c r="DC88" s="229"/>
      <c r="DD88" s="232"/>
      <c r="DE88" s="231"/>
      <c r="DF88" s="233"/>
      <c r="DG88" s="87"/>
      <c r="DJ88" s="227"/>
      <c r="DK88" s="228"/>
      <c r="DL88" s="229">
        <v>0</v>
      </c>
      <c r="DM88" s="232"/>
      <c r="DN88" s="231"/>
      <c r="DO88" s="233"/>
      <c r="DP88" s="87"/>
      <c r="DS88" s="227"/>
      <c r="DT88" s="228"/>
      <c r="DU88" s="229"/>
      <c r="DV88" s="36"/>
      <c r="DW88" s="229"/>
      <c r="DX88" s="230"/>
      <c r="DY88" s="87"/>
      <c r="EB88" s="227"/>
      <c r="EC88" s="228">
        <v>22</v>
      </c>
      <c r="ED88" s="229"/>
      <c r="EE88" s="232"/>
      <c r="EF88" s="231"/>
      <c r="EG88" s="233"/>
      <c r="EH88" s="87"/>
      <c r="EK88" s="227"/>
      <c r="EL88" s="228">
        <v>22</v>
      </c>
      <c r="EM88" s="229"/>
      <c r="EN88" s="232"/>
      <c r="EO88" s="231"/>
      <c r="EP88" s="233"/>
      <c r="EQ88" s="87"/>
      <c r="ET88" s="227"/>
      <c r="EU88" s="228">
        <v>22</v>
      </c>
      <c r="EV88" s="229"/>
      <c r="EW88" s="36"/>
      <c r="EX88" s="229"/>
      <c r="EY88" s="230"/>
      <c r="EZ88" s="87"/>
      <c r="FC88" s="227"/>
      <c r="FD88" s="228">
        <v>22</v>
      </c>
      <c r="FE88" s="229"/>
      <c r="FF88" s="36"/>
      <c r="FG88" s="229"/>
      <c r="FH88" s="230"/>
      <c r="FI88" s="87"/>
      <c r="FL88" s="227"/>
      <c r="FM88" s="228">
        <v>22</v>
      </c>
      <c r="FN88" s="229"/>
      <c r="FO88" s="36"/>
      <c r="FP88" s="229"/>
      <c r="FQ88" s="230"/>
      <c r="FR88" s="87"/>
      <c r="FU88" s="227"/>
      <c r="FV88" s="228">
        <v>22</v>
      </c>
      <c r="FW88" s="229"/>
      <c r="FX88" s="36"/>
      <c r="FY88" s="229"/>
      <c r="FZ88" s="230"/>
      <c r="GA88" s="87"/>
      <c r="GD88" s="227"/>
      <c r="GE88" s="228">
        <v>22</v>
      </c>
      <c r="GF88" s="229"/>
      <c r="GG88" s="36"/>
      <c r="GH88" s="229"/>
      <c r="GI88" s="230"/>
      <c r="GJ88" s="87"/>
      <c r="GM88" s="227"/>
      <c r="GN88" s="228">
        <v>22</v>
      </c>
      <c r="GO88" s="229"/>
      <c r="GP88" s="36"/>
      <c r="GQ88" s="229"/>
      <c r="GR88" s="230"/>
      <c r="GS88" s="87"/>
      <c r="GT88" s="187"/>
      <c r="GU88"/>
      <c r="GW88" s="235"/>
      <c r="GX88" s="235"/>
      <c r="GY88" s="235"/>
      <c r="GZ88"/>
    </row>
    <row r="89" spans="1:208" ht="16.5" thickBot="1" x14ac:dyDescent="0.3">
      <c r="A89" s="1">
        <v>27</v>
      </c>
      <c r="B89" t="e">
        <f>#REF!</f>
        <v>#REF!</v>
      </c>
      <c r="C89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38"/>
      <c r="U89" s="242"/>
      <c r="X89" s="227"/>
      <c r="Y89" s="228"/>
      <c r="Z89" s="231"/>
      <c r="AA89" s="36"/>
      <c r="AB89" s="229"/>
      <c r="AC89" s="230"/>
      <c r="AD89" s="87"/>
      <c r="AG89" s="243"/>
      <c r="AH89" s="244"/>
      <c r="AI89" s="245"/>
      <c r="AJ89" s="246"/>
      <c r="AK89" s="247"/>
      <c r="AL89" s="248"/>
      <c r="AP89" s="227"/>
      <c r="AQ89" s="228">
        <v>23</v>
      </c>
      <c r="AR89" s="231"/>
      <c r="AS89" s="232"/>
      <c r="AT89" s="229"/>
      <c r="AU89" s="230"/>
      <c r="AV89" s="87"/>
      <c r="AY89" s="227"/>
      <c r="AZ89" s="228"/>
      <c r="BA89" s="231"/>
      <c r="BB89" s="232"/>
      <c r="BC89" s="249"/>
      <c r="BD89" s="230"/>
      <c r="BE89" s="87"/>
      <c r="BH89" s="243"/>
      <c r="BI89" s="250"/>
      <c r="BJ89" s="245"/>
      <c r="BK89" s="251"/>
      <c r="BL89" s="247"/>
      <c r="BM89" s="252"/>
      <c r="BN89" s="87"/>
      <c r="BR89" s="228"/>
      <c r="BS89" s="231"/>
      <c r="BT89" s="36"/>
      <c r="BU89" s="231"/>
      <c r="BV89" s="230"/>
      <c r="BW89" s="87"/>
      <c r="BZ89" s="243"/>
      <c r="CA89" s="253"/>
      <c r="CB89" s="245"/>
      <c r="CC89" s="246"/>
      <c r="CD89" s="247"/>
      <c r="CE89" s="248"/>
      <c r="CI89" s="227"/>
      <c r="CJ89" s="228">
        <v>23</v>
      </c>
      <c r="CK89" s="231"/>
      <c r="CM89" s="231"/>
      <c r="CR89" s="243"/>
      <c r="CS89" s="253"/>
      <c r="CT89" s="245">
        <v>0</v>
      </c>
      <c r="CU89" s="246"/>
      <c r="CV89" s="247">
        <v>0</v>
      </c>
      <c r="CW89" s="248"/>
      <c r="DA89" s="243"/>
      <c r="DB89" s="253"/>
      <c r="DC89" s="245">
        <v>0</v>
      </c>
      <c r="DD89" s="246"/>
      <c r="DE89" s="247">
        <v>0</v>
      </c>
      <c r="DF89" s="248"/>
      <c r="DJ89" s="243"/>
      <c r="DK89" s="253"/>
      <c r="DL89" s="245">
        <v>0</v>
      </c>
      <c r="DM89" s="246"/>
      <c r="DN89" s="247">
        <v>0</v>
      </c>
      <c r="DO89" s="248"/>
      <c r="DS89" s="243"/>
      <c r="DT89" s="253"/>
      <c r="DU89" s="245">
        <v>0</v>
      </c>
      <c r="DV89" s="246"/>
      <c r="DW89" s="247">
        <v>0</v>
      </c>
      <c r="DX89" s="248"/>
      <c r="EB89" s="243"/>
      <c r="EC89" s="253"/>
      <c r="ED89" s="245">
        <v>0</v>
      </c>
      <c r="EE89" s="246"/>
      <c r="EF89" s="247">
        <v>0</v>
      </c>
      <c r="EG89" s="248"/>
      <c r="EK89" s="243"/>
      <c r="EL89" s="253"/>
      <c r="EM89" s="245">
        <v>0</v>
      </c>
      <c r="EN89" s="246"/>
      <c r="EO89" s="247">
        <v>0</v>
      </c>
      <c r="EP89" s="248"/>
      <c r="ET89" s="243"/>
      <c r="EU89" s="253"/>
      <c r="EV89" s="245">
        <v>0</v>
      </c>
      <c r="EW89" s="246"/>
      <c r="EX89" s="247">
        <v>0</v>
      </c>
      <c r="EY89" s="248"/>
      <c r="FC89" s="243"/>
      <c r="FD89" s="253"/>
      <c r="FE89" s="245">
        <v>0</v>
      </c>
      <c r="FF89" s="246"/>
      <c r="FG89" s="247">
        <v>0</v>
      </c>
      <c r="FH89" s="248"/>
      <c r="FL89" s="243"/>
      <c r="FM89" s="253"/>
      <c r="FN89" s="245">
        <v>0</v>
      </c>
      <c r="FO89" s="246"/>
      <c r="FP89" s="247">
        <v>0</v>
      </c>
      <c r="FQ89" s="248"/>
      <c r="FU89" s="243"/>
      <c r="FV89" s="253"/>
      <c r="FW89" s="245">
        <v>0</v>
      </c>
      <c r="FX89" s="246"/>
      <c r="FY89" s="247">
        <v>0</v>
      </c>
      <c r="FZ89" s="248"/>
      <c r="GD89" s="243"/>
      <c r="GE89" s="253"/>
      <c r="GF89" s="245">
        <v>0</v>
      </c>
      <c r="GG89" s="246"/>
      <c r="GH89" s="247">
        <v>0</v>
      </c>
      <c r="GI89" s="248"/>
      <c r="GM89" s="243"/>
      <c r="GN89" s="253"/>
      <c r="GO89" s="245">
        <v>0</v>
      </c>
      <c r="GP89" s="246"/>
      <c r="GQ89" s="247">
        <v>0</v>
      </c>
      <c r="GR89" s="248"/>
      <c r="GU89"/>
      <c r="GW89" s="235"/>
      <c r="GX89" s="235"/>
      <c r="GY89" s="235"/>
      <c r="GZ89"/>
    </row>
    <row r="90" spans="1:208" x14ac:dyDescent="0.25">
      <c r="J90" s="177"/>
      <c r="K90" s="178"/>
      <c r="T90" s="39"/>
      <c r="U90" s="217"/>
      <c r="GU90"/>
      <c r="GW90" s="235"/>
      <c r="GX90" s="235"/>
      <c r="GY90" s="235"/>
      <c r="GZ90"/>
    </row>
    <row r="91" spans="1:208" x14ac:dyDescent="0.25">
      <c r="J91" s="238"/>
      <c r="K91" s="178"/>
      <c r="T91" s="39"/>
      <c r="U91" s="217"/>
      <c r="GU91"/>
      <c r="GW91" s="235"/>
      <c r="GX91" s="235"/>
      <c r="GY91" s="235"/>
      <c r="GZ91"/>
    </row>
    <row r="92" spans="1:208" x14ac:dyDescent="0.25">
      <c r="J92" s="177"/>
      <c r="K92" s="178"/>
      <c r="O92" s="224"/>
      <c r="P92" s="225"/>
      <c r="Q92" s="226"/>
      <c r="R92" s="226"/>
      <c r="S92" s="226"/>
      <c r="T92" s="39"/>
      <c r="U92" s="217"/>
      <c r="GU92"/>
      <c r="GW92" s="235"/>
      <c r="GX92" s="235"/>
      <c r="GY92" s="235"/>
      <c r="GZ92"/>
    </row>
    <row r="93" spans="1:208" x14ac:dyDescent="0.25">
      <c r="J93" s="238"/>
      <c r="K93" s="178"/>
      <c r="M93" s="212"/>
      <c r="O93" s="224"/>
      <c r="P93" s="225"/>
      <c r="Q93" s="226"/>
      <c r="R93" s="226"/>
      <c r="S93" s="226"/>
      <c r="T93" s="39"/>
      <c r="U93" s="217"/>
      <c r="GU93"/>
      <c r="GW93" s="235"/>
      <c r="GX93" s="235"/>
      <c r="GY93" s="235"/>
      <c r="GZ93"/>
    </row>
    <row r="94" spans="1:208" x14ac:dyDescent="0.25">
      <c r="J94" s="177"/>
      <c r="K94" s="178"/>
      <c r="M94" s="212"/>
      <c r="O94" s="884"/>
      <c r="P94" s="884"/>
      <c r="Q94" s="884"/>
      <c r="T94" s="39"/>
      <c r="U94" s="217"/>
      <c r="GU94"/>
      <c r="GW94" s="235"/>
      <c r="GX94" s="235"/>
      <c r="GY94" s="235"/>
      <c r="GZ94"/>
    </row>
    <row r="95" spans="1:208" x14ac:dyDescent="0.25">
      <c r="J95" s="238"/>
      <c r="GU95"/>
      <c r="GW95" s="235"/>
      <c r="GX95" s="235"/>
      <c r="GY95" s="235"/>
      <c r="GZ95"/>
    </row>
    <row r="96" spans="1:208" x14ac:dyDescent="0.25">
      <c r="J96" s="177"/>
      <c r="GU96"/>
      <c r="GW96" s="235"/>
      <c r="GX96" s="235"/>
      <c r="GY96" s="235"/>
      <c r="GZ96"/>
    </row>
    <row r="97" spans="1:208" ht="15" x14ac:dyDescent="0.25">
      <c r="A97"/>
      <c r="F97"/>
      <c r="J97" s="177"/>
      <c r="K97" s="254"/>
      <c r="L97"/>
      <c r="M97"/>
      <c r="N97"/>
      <c r="O97" s="37"/>
      <c r="P97"/>
      <c r="Q97"/>
      <c r="R97"/>
      <c r="S97"/>
      <c r="V97"/>
      <c r="W97"/>
      <c r="GU97"/>
      <c r="GW97" s="235"/>
      <c r="GX97" s="235"/>
      <c r="GY97" s="235"/>
      <c r="GZ97"/>
    </row>
    <row r="98" spans="1:208" ht="15" x14ac:dyDescent="0.25">
      <c r="A98"/>
      <c r="F98"/>
      <c r="J98" s="238"/>
      <c r="K98" s="254"/>
      <c r="L98"/>
      <c r="M98"/>
      <c r="N98"/>
      <c r="O98" s="37"/>
      <c r="P98"/>
      <c r="Q98"/>
      <c r="R98"/>
      <c r="S98"/>
      <c r="V98"/>
      <c r="W98"/>
      <c r="GU98"/>
      <c r="GW98" s="235"/>
      <c r="GX98" s="235"/>
      <c r="GY98" s="235"/>
      <c r="GZ98"/>
    </row>
    <row r="99" spans="1:208" ht="15" x14ac:dyDescent="0.25">
      <c r="A99"/>
      <c r="F99"/>
      <c r="J99" s="238"/>
      <c r="K99" s="254"/>
      <c r="L99"/>
      <c r="M99"/>
      <c r="N99"/>
      <c r="O99" s="37"/>
      <c r="P99"/>
      <c r="Q99"/>
      <c r="R99"/>
      <c r="S99"/>
      <c r="V99"/>
      <c r="W99"/>
      <c r="GU99"/>
      <c r="GW99" s="235"/>
      <c r="GX99" s="235"/>
      <c r="GY99" s="235"/>
      <c r="GZ99"/>
    </row>
    <row r="100" spans="1:208" ht="15" x14ac:dyDescent="0.25">
      <c r="A100"/>
      <c r="F100"/>
      <c r="J100" s="238"/>
      <c r="K100" s="254"/>
      <c r="L100"/>
      <c r="M100"/>
      <c r="N100"/>
      <c r="O100" s="37"/>
      <c r="P100"/>
      <c r="Q100"/>
      <c r="R100"/>
      <c r="S100"/>
      <c r="V100"/>
      <c r="W100"/>
      <c r="GU100"/>
      <c r="GW100" s="235"/>
      <c r="GX100" s="235"/>
      <c r="GY100" s="235"/>
      <c r="GZ100"/>
    </row>
    <row r="101" spans="1:208" ht="15" x14ac:dyDescent="0.25">
      <c r="A101"/>
      <c r="F101"/>
      <c r="J101" s="255"/>
      <c r="K101" s="254"/>
      <c r="L101"/>
      <c r="M101"/>
      <c r="N101"/>
      <c r="O101" s="37"/>
      <c r="P101"/>
      <c r="Q101"/>
      <c r="R101"/>
      <c r="S101"/>
      <c r="V101"/>
      <c r="W101"/>
      <c r="GU101"/>
      <c r="GW101" s="235"/>
      <c r="GX101" s="235"/>
      <c r="GY101" s="235"/>
      <c r="GZ101"/>
    </row>
    <row r="102" spans="1:208" ht="15" x14ac:dyDescent="0.25">
      <c r="A102"/>
      <c r="F102"/>
      <c r="J102" s="208"/>
      <c r="K102" s="254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235"/>
      <c r="GZ102"/>
    </row>
    <row r="103" spans="1:208" ht="15" x14ac:dyDescent="0.25">
      <c r="A103"/>
      <c r="F103"/>
      <c r="J103" s="177"/>
      <c r="K103" s="254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235"/>
      <c r="GZ103"/>
    </row>
    <row r="104" spans="1:208" ht="15" x14ac:dyDescent="0.25">
      <c r="A104"/>
      <c r="F104"/>
      <c r="J104" s="177"/>
      <c r="K104" s="254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235"/>
      <c r="GZ104"/>
    </row>
    <row r="105" spans="1:208" ht="15" x14ac:dyDescent="0.25">
      <c r="A105"/>
      <c r="F105"/>
      <c r="J105" s="177"/>
      <c r="K105" s="254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235"/>
      <c r="GZ105"/>
    </row>
    <row r="106" spans="1:208" ht="15" x14ac:dyDescent="0.25">
      <c r="A106"/>
      <c r="F106"/>
      <c r="J106" s="177"/>
      <c r="K106" s="254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235"/>
      <c r="GZ106"/>
    </row>
    <row r="107" spans="1:208" ht="15" x14ac:dyDescent="0.25">
      <c r="A107"/>
      <c r="F107"/>
      <c r="J107" s="177"/>
      <c r="K107" s="254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235"/>
      <c r="GZ107"/>
    </row>
    <row r="108" spans="1:208" ht="15" x14ac:dyDescent="0.25">
      <c r="A108"/>
      <c r="F108"/>
      <c r="J108" s="177"/>
      <c r="K108" s="254"/>
      <c r="L108"/>
      <c r="M108"/>
      <c r="N108"/>
      <c r="O108" s="37"/>
      <c r="P108"/>
      <c r="Q108"/>
      <c r="R108"/>
      <c r="S108"/>
      <c r="V108"/>
      <c r="W108"/>
      <c r="GU108"/>
      <c r="GW108" s="235"/>
      <c r="GX108" s="235"/>
      <c r="GY108" s="235"/>
      <c r="GZ108"/>
    </row>
    <row r="109" spans="1:208" ht="15" x14ac:dyDescent="0.25">
      <c r="A109"/>
      <c r="F109"/>
      <c r="J109" s="177"/>
      <c r="K109" s="254"/>
      <c r="L109"/>
      <c r="M109"/>
      <c r="N109"/>
      <c r="O109" s="37"/>
      <c r="P109"/>
      <c r="Q109"/>
      <c r="R109"/>
      <c r="S109"/>
      <c r="V109"/>
      <c r="W109"/>
      <c r="GU109"/>
      <c r="GW109" s="235"/>
      <c r="GX109" s="235"/>
      <c r="GY109" s="235"/>
      <c r="GZ109"/>
    </row>
  </sheetData>
  <mergeCells count="28">
    <mergeCell ref="GC1:GI1"/>
    <mergeCell ref="GL1:GR1"/>
    <mergeCell ref="R41:S41"/>
    <mergeCell ref="M76:N76"/>
    <mergeCell ref="O76:O7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80:Q80"/>
    <mergeCell ref="O83:Q84"/>
    <mergeCell ref="T83:U84"/>
    <mergeCell ref="O94:Q94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N173"/>
  <sheetViews>
    <sheetView topLeftCell="B78" workbookViewId="0">
      <selection activeCell="J82" sqref="J82"/>
    </sheetView>
  </sheetViews>
  <sheetFormatPr baseColWidth="10" defaultRowHeight="15" x14ac:dyDescent="0.25"/>
  <cols>
    <col min="1" max="1" width="25.5703125" style="8" customWidth="1"/>
    <col min="2" max="2" width="15" style="268" customWidth="1"/>
    <col min="3" max="3" width="11.42578125" style="62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2.42578125" style="183" customWidth="1"/>
    <col min="9" max="9" width="11.85546875" style="8" customWidth="1"/>
    <col min="10" max="10" width="13.85546875" style="715" bestFit="1" customWidth="1"/>
    <col min="11" max="11" width="11.42578125" style="195"/>
  </cols>
  <sheetData>
    <row r="1" spans="1:14" ht="21" x14ac:dyDescent="0.35">
      <c r="A1" s="885" t="s">
        <v>1249</v>
      </c>
      <c r="B1" s="885"/>
      <c r="C1" s="885"/>
      <c r="D1" s="885"/>
      <c r="E1" s="885"/>
      <c r="F1" s="885"/>
      <c r="G1" s="885"/>
    </row>
    <row r="2" spans="1:14" ht="15.75" thickBot="1" x14ac:dyDescent="0.3">
      <c r="D2" s="260"/>
    </row>
    <row r="3" spans="1:14" ht="16.5" thickTop="1" thickBot="1" x14ac:dyDescent="0.3">
      <c r="A3" s="262" t="s">
        <v>8</v>
      </c>
      <c r="B3" s="703" t="s">
        <v>16</v>
      </c>
      <c r="C3" s="263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675"/>
    </row>
    <row r="4" spans="1:14" ht="15.75" thickTop="1" x14ac:dyDescent="0.25">
      <c r="A4" s="183" t="s">
        <v>1220</v>
      </c>
      <c r="B4" s="268" t="s">
        <v>1267</v>
      </c>
      <c r="C4" s="31">
        <v>42795</v>
      </c>
      <c r="D4" s="270">
        <v>4108</v>
      </c>
      <c r="E4" s="261">
        <v>133.1</v>
      </c>
      <c r="F4" s="29">
        <v>27</v>
      </c>
      <c r="G4" s="39">
        <f t="shared" ref="G4:G131" si="0">F4*E4</f>
        <v>3593.7</v>
      </c>
      <c r="H4" s="31">
        <v>42804</v>
      </c>
      <c r="I4" s="8" t="s">
        <v>1172</v>
      </c>
    </row>
    <row r="5" spans="1:14" x14ac:dyDescent="0.25">
      <c r="A5" s="268" t="s">
        <v>1171</v>
      </c>
      <c r="B5" s="268" t="s">
        <v>206</v>
      </c>
      <c r="C5" s="269">
        <v>42795</v>
      </c>
      <c r="D5" s="270">
        <v>4109</v>
      </c>
      <c r="E5" s="261">
        <v>1233.8</v>
      </c>
      <c r="F5" s="29">
        <v>66.5</v>
      </c>
      <c r="G5" s="39">
        <f t="shared" si="0"/>
        <v>82047.7</v>
      </c>
      <c r="H5" s="31">
        <v>42797</v>
      </c>
      <c r="I5" s="8" t="s">
        <v>1172</v>
      </c>
      <c r="L5" s="195"/>
      <c r="M5" s="195"/>
      <c r="N5" s="195"/>
    </row>
    <row r="6" spans="1:14" x14ac:dyDescent="0.25">
      <c r="A6" s="268"/>
      <c r="C6" s="269"/>
      <c r="D6" s="270">
        <v>4110</v>
      </c>
      <c r="G6" s="39">
        <f t="shared" si="0"/>
        <v>0</v>
      </c>
      <c r="H6" s="31"/>
      <c r="L6" s="195"/>
      <c r="M6" s="195"/>
      <c r="N6" s="195"/>
    </row>
    <row r="7" spans="1:14" x14ac:dyDescent="0.25">
      <c r="A7" s="268" t="s">
        <v>1179</v>
      </c>
      <c r="B7" s="268" t="s">
        <v>206</v>
      </c>
      <c r="C7" s="269">
        <v>42795</v>
      </c>
      <c r="D7" s="270">
        <f>D6+1</f>
        <v>4111</v>
      </c>
      <c r="E7" s="261">
        <v>760.6</v>
      </c>
      <c r="F7" s="29">
        <v>66</v>
      </c>
      <c r="G7" s="39">
        <f t="shared" si="0"/>
        <v>50199.6</v>
      </c>
      <c r="H7" s="31">
        <v>42797</v>
      </c>
      <c r="I7" s="8" t="s">
        <v>1172</v>
      </c>
      <c r="L7" s="195"/>
      <c r="M7" s="195"/>
      <c r="N7" s="195"/>
    </row>
    <row r="8" spans="1:14" x14ac:dyDescent="0.25">
      <c r="A8" s="268" t="s">
        <v>1250</v>
      </c>
      <c r="B8" s="268" t="s">
        <v>206</v>
      </c>
      <c r="C8" s="269">
        <v>42796</v>
      </c>
      <c r="D8" s="270">
        <f t="shared" ref="D8:D71" si="1">D7+1</f>
        <v>4112</v>
      </c>
      <c r="E8" s="261">
        <v>1709.4</v>
      </c>
      <c r="F8" s="29">
        <v>66.5</v>
      </c>
      <c r="G8" s="39">
        <f t="shared" si="0"/>
        <v>113675.1</v>
      </c>
      <c r="H8" s="31">
        <v>42798</v>
      </c>
      <c r="I8" s="8" t="s">
        <v>1172</v>
      </c>
      <c r="L8" s="195"/>
      <c r="M8" s="195"/>
      <c r="N8" s="195"/>
    </row>
    <row r="9" spans="1:14" x14ac:dyDescent="0.25">
      <c r="A9" s="268" t="s">
        <v>1197</v>
      </c>
      <c r="B9" s="268" t="s">
        <v>1260</v>
      </c>
      <c r="C9" s="269">
        <v>42796</v>
      </c>
      <c r="D9" s="270">
        <f t="shared" si="1"/>
        <v>4113</v>
      </c>
      <c r="E9" s="261">
        <v>501</v>
      </c>
      <c r="F9" s="29">
        <v>39</v>
      </c>
      <c r="G9" s="39">
        <f t="shared" si="0"/>
        <v>19539</v>
      </c>
      <c r="H9" s="31">
        <v>42800</v>
      </c>
      <c r="I9" s="8" t="s">
        <v>1172</v>
      </c>
      <c r="L9" s="195"/>
      <c r="M9" s="195"/>
      <c r="N9" s="195"/>
    </row>
    <row r="10" spans="1:14" x14ac:dyDescent="0.25">
      <c r="A10" s="268" t="s">
        <v>1213</v>
      </c>
      <c r="B10" s="268" t="s">
        <v>206</v>
      </c>
      <c r="C10" s="269">
        <v>42797</v>
      </c>
      <c r="D10" s="270">
        <f t="shared" si="1"/>
        <v>4114</v>
      </c>
      <c r="E10" s="261">
        <v>610.9</v>
      </c>
      <c r="F10" s="29">
        <v>66</v>
      </c>
      <c r="G10" s="39">
        <f t="shared" si="0"/>
        <v>40319.4</v>
      </c>
      <c r="H10" s="31">
        <v>42797</v>
      </c>
      <c r="I10" s="8" t="s">
        <v>1172</v>
      </c>
      <c r="L10" s="195"/>
      <c r="M10" s="195"/>
      <c r="N10" s="195"/>
    </row>
    <row r="11" spans="1:14" x14ac:dyDescent="0.25">
      <c r="A11" s="268" t="s">
        <v>1180</v>
      </c>
      <c r="B11" s="268" t="s">
        <v>1248</v>
      </c>
      <c r="C11" s="269">
        <v>42797</v>
      </c>
      <c r="D11" s="270">
        <f t="shared" si="1"/>
        <v>4115</v>
      </c>
      <c r="E11" s="261">
        <v>434</v>
      </c>
      <c r="F11" s="29">
        <v>35</v>
      </c>
      <c r="G11" s="39">
        <f t="shared" si="0"/>
        <v>15190</v>
      </c>
      <c r="H11" s="31">
        <v>42797</v>
      </c>
      <c r="I11" s="8" t="s">
        <v>1172</v>
      </c>
      <c r="L11" s="195"/>
      <c r="M11" s="195"/>
      <c r="N11" s="195"/>
    </row>
    <row r="12" spans="1:14" x14ac:dyDescent="0.25">
      <c r="A12" s="268" t="s">
        <v>176</v>
      </c>
      <c r="C12" s="269"/>
      <c r="D12" s="270">
        <f t="shared" si="1"/>
        <v>4116</v>
      </c>
      <c r="G12" s="39">
        <f t="shared" si="0"/>
        <v>0</v>
      </c>
      <c r="H12" s="31"/>
      <c r="L12" s="195"/>
      <c r="M12" s="195"/>
      <c r="N12" s="195"/>
    </row>
    <row r="13" spans="1:14" x14ac:dyDescent="0.25">
      <c r="A13" s="268" t="s">
        <v>176</v>
      </c>
      <c r="C13" s="269"/>
      <c r="D13" s="270">
        <f t="shared" si="1"/>
        <v>4117</v>
      </c>
      <c r="G13" s="39">
        <f t="shared" si="0"/>
        <v>0</v>
      </c>
      <c r="H13" s="31"/>
      <c r="L13" s="195"/>
      <c r="M13" s="195"/>
      <c r="N13" s="195"/>
    </row>
    <row r="14" spans="1:14" x14ac:dyDescent="0.25">
      <c r="A14" s="268" t="s">
        <v>361</v>
      </c>
      <c r="B14" s="268" t="s">
        <v>1367</v>
      </c>
      <c r="C14" s="269">
        <v>42797</v>
      </c>
      <c r="D14" s="270">
        <f t="shared" si="1"/>
        <v>4118</v>
      </c>
      <c r="E14" s="261">
        <v>2.4</v>
      </c>
      <c r="F14" s="29">
        <v>82</v>
      </c>
      <c r="G14" s="39">
        <f t="shared" si="0"/>
        <v>196.79999999999998</v>
      </c>
      <c r="H14" s="700">
        <v>42845</v>
      </c>
      <c r="I14" s="701" t="s">
        <v>1172</v>
      </c>
      <c r="L14" s="195"/>
      <c r="M14" s="195"/>
      <c r="N14" s="195"/>
    </row>
    <row r="15" spans="1:14" x14ac:dyDescent="0.25">
      <c r="A15" s="268" t="s">
        <v>1171</v>
      </c>
      <c r="B15" s="268" t="s">
        <v>206</v>
      </c>
      <c r="C15" s="269">
        <v>42797</v>
      </c>
      <c r="D15" s="270">
        <f t="shared" si="1"/>
        <v>4119</v>
      </c>
      <c r="E15" s="261">
        <v>1745</v>
      </c>
      <c r="F15" s="29">
        <v>66.5</v>
      </c>
      <c r="G15" s="39">
        <f t="shared" si="0"/>
        <v>116042.5</v>
      </c>
      <c r="H15" s="31">
        <v>42797</v>
      </c>
      <c r="I15" s="8" t="s">
        <v>1172</v>
      </c>
      <c r="L15" s="195"/>
      <c r="M15" s="195"/>
      <c r="N15" s="195"/>
    </row>
    <row r="16" spans="1:14" x14ac:dyDescent="0.25">
      <c r="A16" s="268" t="s">
        <v>1197</v>
      </c>
      <c r="B16" s="268" t="s">
        <v>1260</v>
      </c>
      <c r="C16" s="269">
        <v>42797</v>
      </c>
      <c r="D16" s="270">
        <f t="shared" si="1"/>
        <v>4120</v>
      </c>
      <c r="E16" s="261">
        <v>504.7</v>
      </c>
      <c r="F16" s="29">
        <v>39</v>
      </c>
      <c r="G16" s="39">
        <f t="shared" si="0"/>
        <v>19683.3</v>
      </c>
      <c r="H16" s="31">
        <v>42800</v>
      </c>
      <c r="I16" s="8" t="s">
        <v>1172</v>
      </c>
      <c r="L16" s="195"/>
      <c r="M16" s="195"/>
      <c r="N16" s="195"/>
    </row>
    <row r="17" spans="1:14" x14ac:dyDescent="0.25">
      <c r="A17" s="268" t="s">
        <v>1171</v>
      </c>
      <c r="B17" s="268" t="s">
        <v>206</v>
      </c>
      <c r="C17" s="269">
        <v>42798</v>
      </c>
      <c r="D17" s="270">
        <f t="shared" si="1"/>
        <v>4121</v>
      </c>
      <c r="E17" s="261">
        <v>1702.1</v>
      </c>
      <c r="F17" s="29">
        <v>66.5</v>
      </c>
      <c r="G17" s="39">
        <f t="shared" si="0"/>
        <v>113189.65</v>
      </c>
      <c r="H17" s="31">
        <v>42798</v>
      </c>
      <c r="I17" s="8" t="s">
        <v>1172</v>
      </c>
      <c r="L17" s="195"/>
      <c r="M17" s="195"/>
      <c r="N17" s="195"/>
    </row>
    <row r="18" spans="1:14" x14ac:dyDescent="0.25">
      <c r="A18" s="268" t="s">
        <v>1197</v>
      </c>
      <c r="B18" s="268" t="s">
        <v>1259</v>
      </c>
      <c r="C18" s="269">
        <v>42798</v>
      </c>
      <c r="D18" s="270">
        <f t="shared" si="1"/>
        <v>4122</v>
      </c>
      <c r="E18" s="261">
        <v>687.3</v>
      </c>
      <c r="F18" s="29">
        <v>39</v>
      </c>
      <c r="G18" s="39">
        <f>F18*E18+75.38*56</f>
        <v>31025.979999999996</v>
      </c>
      <c r="H18" s="31">
        <v>42800</v>
      </c>
      <c r="I18" s="8" t="s">
        <v>1172</v>
      </c>
      <c r="L18" s="195"/>
      <c r="M18" s="195"/>
      <c r="N18" s="195"/>
    </row>
    <row r="19" spans="1:14" x14ac:dyDescent="0.25">
      <c r="A19" s="268" t="s">
        <v>1213</v>
      </c>
      <c r="B19" s="268" t="s">
        <v>206</v>
      </c>
      <c r="C19" s="269">
        <v>42798</v>
      </c>
      <c r="D19" s="270">
        <f t="shared" si="1"/>
        <v>4123</v>
      </c>
      <c r="E19" s="261">
        <v>464.8</v>
      </c>
      <c r="F19" s="29">
        <v>66</v>
      </c>
      <c r="G19" s="39">
        <f t="shared" si="0"/>
        <v>30676.799999999999</v>
      </c>
      <c r="H19" s="31">
        <v>42799</v>
      </c>
      <c r="I19" s="8" t="s">
        <v>1172</v>
      </c>
      <c r="L19" s="195"/>
      <c r="M19" s="195"/>
      <c r="N19" s="195"/>
    </row>
    <row r="20" spans="1:14" x14ac:dyDescent="0.25">
      <c r="A20" s="268" t="s">
        <v>1197</v>
      </c>
      <c r="B20" s="268" t="s">
        <v>1255</v>
      </c>
      <c r="C20" s="269">
        <v>42798</v>
      </c>
      <c r="D20" s="270">
        <f t="shared" si="1"/>
        <v>4124</v>
      </c>
      <c r="E20" s="261">
        <v>506.6</v>
      </c>
      <c r="F20" s="29">
        <v>39</v>
      </c>
      <c r="G20" s="39">
        <f t="shared" si="0"/>
        <v>19757.400000000001</v>
      </c>
      <c r="H20" s="31">
        <v>42798</v>
      </c>
      <c r="I20" s="8" t="s">
        <v>1172</v>
      </c>
      <c r="L20" s="195"/>
      <c r="M20" s="195"/>
      <c r="N20" s="195"/>
    </row>
    <row r="21" spans="1:14" x14ac:dyDescent="0.25">
      <c r="A21" s="268" t="s">
        <v>1251</v>
      </c>
      <c r="B21" s="268" t="s">
        <v>1252</v>
      </c>
      <c r="C21" s="269">
        <v>42798</v>
      </c>
      <c r="D21" s="270">
        <f t="shared" si="1"/>
        <v>4125</v>
      </c>
      <c r="E21" s="261">
        <v>22.5</v>
      </c>
      <c r="F21" s="29">
        <v>58</v>
      </c>
      <c r="G21" s="39">
        <f t="shared" si="0"/>
        <v>1305</v>
      </c>
      <c r="H21" s="31">
        <v>42798</v>
      </c>
      <c r="I21" s="8" t="s">
        <v>1172</v>
      </c>
      <c r="L21" s="195"/>
      <c r="M21" s="195"/>
      <c r="N21" s="195"/>
    </row>
    <row r="22" spans="1:14" x14ac:dyDescent="0.25">
      <c r="A22" s="268" t="s">
        <v>1220</v>
      </c>
      <c r="B22" s="268" t="s">
        <v>1253</v>
      </c>
      <c r="C22" s="269">
        <v>42798</v>
      </c>
      <c r="D22" s="270">
        <f t="shared" si="1"/>
        <v>4126</v>
      </c>
      <c r="E22" s="261">
        <v>49159.8</v>
      </c>
      <c r="F22" s="29">
        <v>1</v>
      </c>
      <c r="G22" s="39">
        <f t="shared" si="0"/>
        <v>49159.8</v>
      </c>
      <c r="H22" s="31">
        <v>42798</v>
      </c>
      <c r="I22" s="8" t="s">
        <v>1172</v>
      </c>
      <c r="L22" s="195"/>
      <c r="M22" s="195"/>
      <c r="N22" s="195"/>
    </row>
    <row r="23" spans="1:14" x14ac:dyDescent="0.25">
      <c r="A23" s="268" t="s">
        <v>1216</v>
      </c>
      <c r="B23" s="268" t="s">
        <v>1254</v>
      </c>
      <c r="C23" s="269">
        <v>42798</v>
      </c>
      <c r="D23" s="270">
        <f t="shared" si="1"/>
        <v>4127</v>
      </c>
      <c r="E23" s="261">
        <v>326</v>
      </c>
      <c r="F23" s="29">
        <v>48</v>
      </c>
      <c r="G23" s="39">
        <f>F23*E23+95.7*27</f>
        <v>18231.900000000001</v>
      </c>
      <c r="H23" s="31">
        <v>42798</v>
      </c>
      <c r="I23" s="8" t="s">
        <v>1172</v>
      </c>
      <c r="L23" s="195"/>
      <c r="M23" s="195"/>
      <c r="N23" s="195"/>
    </row>
    <row r="24" spans="1:14" x14ac:dyDescent="0.25">
      <c r="A24" s="268" t="s">
        <v>1246</v>
      </c>
      <c r="B24" s="268" t="s">
        <v>1256</v>
      </c>
      <c r="C24" s="269">
        <v>42798</v>
      </c>
      <c r="D24" s="270">
        <f t="shared" si="1"/>
        <v>4128</v>
      </c>
      <c r="E24" s="261">
        <v>310.5</v>
      </c>
      <c r="F24" s="29">
        <v>37</v>
      </c>
      <c r="G24" s="39">
        <f t="shared" si="0"/>
        <v>11488.5</v>
      </c>
      <c r="H24" s="31">
        <v>42802</v>
      </c>
      <c r="I24" s="8" t="s">
        <v>1172</v>
      </c>
      <c r="L24" s="195"/>
      <c r="M24" s="195"/>
      <c r="N24" s="195"/>
    </row>
    <row r="25" spans="1:14" x14ac:dyDescent="0.25">
      <c r="A25" s="268" t="s">
        <v>1213</v>
      </c>
      <c r="B25" s="268" t="s">
        <v>206</v>
      </c>
      <c r="C25" s="269">
        <v>42800</v>
      </c>
      <c r="D25" s="270">
        <f t="shared" si="1"/>
        <v>4129</v>
      </c>
      <c r="E25" s="261">
        <v>439.6</v>
      </c>
      <c r="F25" s="29">
        <v>66</v>
      </c>
      <c r="G25" s="39">
        <f t="shared" si="0"/>
        <v>29013.600000000002</v>
      </c>
      <c r="H25" s="31">
        <v>42800</v>
      </c>
      <c r="I25" s="8" t="s">
        <v>1172</v>
      </c>
      <c r="L25" s="195"/>
      <c r="M25" s="195"/>
      <c r="N25" s="195"/>
    </row>
    <row r="26" spans="1:14" x14ac:dyDescent="0.25">
      <c r="A26" s="268" t="s">
        <v>1213</v>
      </c>
      <c r="B26" s="268" t="s">
        <v>206</v>
      </c>
      <c r="C26" s="269">
        <v>42800</v>
      </c>
      <c r="D26" s="270">
        <f t="shared" si="1"/>
        <v>4130</v>
      </c>
      <c r="E26" s="261">
        <v>422.5</v>
      </c>
      <c r="F26" s="29">
        <v>66</v>
      </c>
      <c r="G26" s="39">
        <f t="shared" si="0"/>
        <v>27885</v>
      </c>
      <c r="H26" s="31">
        <v>42800</v>
      </c>
      <c r="I26" s="8" t="s">
        <v>1172</v>
      </c>
      <c r="L26" s="195"/>
      <c r="M26" s="195"/>
      <c r="N26" s="195"/>
    </row>
    <row r="27" spans="1:14" x14ac:dyDescent="0.25">
      <c r="A27" s="268" t="s">
        <v>1171</v>
      </c>
      <c r="B27" s="268" t="s">
        <v>206</v>
      </c>
      <c r="C27" s="269">
        <v>42800</v>
      </c>
      <c r="D27" s="270">
        <f t="shared" si="1"/>
        <v>4131</v>
      </c>
      <c r="E27" s="261">
        <v>2083</v>
      </c>
      <c r="F27" s="29">
        <v>66.5</v>
      </c>
      <c r="G27" s="39">
        <f t="shared" si="0"/>
        <v>138519.5</v>
      </c>
      <c r="H27" s="31">
        <v>42800</v>
      </c>
      <c r="I27" s="8" t="s">
        <v>1172</v>
      </c>
      <c r="L27" s="195"/>
      <c r="M27" s="195"/>
      <c r="N27" s="195"/>
    </row>
    <row r="28" spans="1:14" x14ac:dyDescent="0.25">
      <c r="A28" s="268" t="s">
        <v>1197</v>
      </c>
      <c r="B28" s="268" t="s">
        <v>1255</v>
      </c>
      <c r="C28" s="269">
        <v>42800</v>
      </c>
      <c r="D28" s="270">
        <f t="shared" si="1"/>
        <v>4132</v>
      </c>
      <c r="E28" s="261">
        <v>593.79999999999995</v>
      </c>
      <c r="F28" s="29">
        <v>39</v>
      </c>
      <c r="G28" s="39">
        <f t="shared" si="0"/>
        <v>23158.199999999997</v>
      </c>
      <c r="H28" s="31">
        <v>42802</v>
      </c>
      <c r="I28" s="8" t="s">
        <v>1172</v>
      </c>
      <c r="L28" s="195"/>
      <c r="M28" s="195"/>
      <c r="N28" s="195"/>
    </row>
    <row r="29" spans="1:14" x14ac:dyDescent="0.25">
      <c r="A29" s="268" t="s">
        <v>1220</v>
      </c>
      <c r="B29" s="268" t="s">
        <v>1268</v>
      </c>
      <c r="C29" s="269">
        <v>42800</v>
      </c>
      <c r="D29" s="270">
        <f t="shared" si="1"/>
        <v>4133</v>
      </c>
      <c r="E29" s="261">
        <v>39</v>
      </c>
      <c r="F29" s="29">
        <v>80</v>
      </c>
      <c r="G29" s="39">
        <f>F29*E29+111.8*70+22.7*48+2*45</f>
        <v>12125.6</v>
      </c>
      <c r="H29" s="31">
        <v>42804</v>
      </c>
      <c r="I29" s="8" t="s">
        <v>1172</v>
      </c>
      <c r="L29" s="195"/>
      <c r="M29" s="195"/>
      <c r="N29" s="195"/>
    </row>
    <row r="30" spans="1:14" x14ac:dyDescent="0.25">
      <c r="A30" s="268" t="s">
        <v>1171</v>
      </c>
      <c r="B30" s="268" t="s">
        <v>206</v>
      </c>
      <c r="C30" s="269">
        <v>42800</v>
      </c>
      <c r="D30" s="270">
        <f t="shared" si="1"/>
        <v>4134</v>
      </c>
      <c r="E30" s="261">
        <v>270.2</v>
      </c>
      <c r="F30" s="29">
        <v>66.5</v>
      </c>
      <c r="G30" s="39">
        <f t="shared" si="0"/>
        <v>17968.3</v>
      </c>
      <c r="H30" s="31">
        <v>42800</v>
      </c>
      <c r="I30" s="8" t="s">
        <v>1172</v>
      </c>
      <c r="L30" s="195"/>
      <c r="M30" s="195"/>
      <c r="N30" s="195"/>
    </row>
    <row r="31" spans="1:14" x14ac:dyDescent="0.25">
      <c r="A31" s="268" t="s">
        <v>1261</v>
      </c>
      <c r="B31" s="268" t="s">
        <v>1262</v>
      </c>
      <c r="C31" s="269">
        <v>42800</v>
      </c>
      <c r="D31" s="270">
        <f t="shared" si="1"/>
        <v>4135</v>
      </c>
      <c r="E31" s="261">
        <v>16.100000000000001</v>
      </c>
      <c r="F31" s="29">
        <v>47</v>
      </c>
      <c r="G31" s="39">
        <f t="shared" si="0"/>
        <v>756.7</v>
      </c>
      <c r="H31" s="31">
        <v>42800</v>
      </c>
      <c r="I31" s="8" t="s">
        <v>1172</v>
      </c>
      <c r="L31" s="195"/>
      <c r="M31" s="195"/>
      <c r="N31" s="195"/>
    </row>
    <row r="32" spans="1:14" x14ac:dyDescent="0.25">
      <c r="A32" s="268" t="s">
        <v>1197</v>
      </c>
      <c r="B32" s="268" t="s">
        <v>1252</v>
      </c>
      <c r="C32" s="269">
        <v>42800</v>
      </c>
      <c r="D32" s="270">
        <f t="shared" si="1"/>
        <v>4136</v>
      </c>
      <c r="E32" s="261">
        <v>134.1</v>
      </c>
      <c r="F32" s="29">
        <v>54</v>
      </c>
      <c r="G32" s="39">
        <f t="shared" si="0"/>
        <v>7241.4</v>
      </c>
      <c r="H32" s="31">
        <v>42802</v>
      </c>
      <c r="I32" s="8" t="s">
        <v>1172</v>
      </c>
      <c r="L32" s="195"/>
      <c r="M32" s="195"/>
      <c r="N32" s="195"/>
    </row>
    <row r="33" spans="1:14" x14ac:dyDescent="0.25">
      <c r="A33" s="268" t="s">
        <v>1263</v>
      </c>
      <c r="B33" s="268" t="s">
        <v>1215</v>
      </c>
      <c r="C33" s="269">
        <v>42800</v>
      </c>
      <c r="D33" s="270">
        <f t="shared" si="1"/>
        <v>4137</v>
      </c>
      <c r="E33" s="261">
        <v>341.6</v>
      </c>
      <c r="F33" s="29">
        <v>96</v>
      </c>
      <c r="G33" s="39">
        <f t="shared" si="0"/>
        <v>32793.600000000006</v>
      </c>
      <c r="H33" s="31">
        <v>42800</v>
      </c>
      <c r="I33" s="8" t="s">
        <v>1172</v>
      </c>
      <c r="L33" s="195"/>
      <c r="M33" s="195"/>
      <c r="N33" s="195"/>
    </row>
    <row r="34" spans="1:14" x14ac:dyDescent="0.25">
      <c r="A34" s="268" t="s">
        <v>176</v>
      </c>
      <c r="C34" s="269"/>
      <c r="D34" s="270">
        <f t="shared" si="1"/>
        <v>4138</v>
      </c>
      <c r="G34" s="39">
        <f t="shared" si="0"/>
        <v>0</v>
      </c>
      <c r="H34" s="31"/>
      <c r="L34" s="195"/>
      <c r="M34" s="195"/>
      <c r="N34" s="195"/>
    </row>
    <row r="35" spans="1:14" x14ac:dyDescent="0.25">
      <c r="A35" s="268" t="s">
        <v>1213</v>
      </c>
      <c r="B35" s="268" t="s">
        <v>206</v>
      </c>
      <c r="C35" s="269">
        <v>42801</v>
      </c>
      <c r="D35" s="270">
        <f t="shared" si="1"/>
        <v>4139</v>
      </c>
      <c r="E35" s="261">
        <v>393</v>
      </c>
      <c r="F35" s="29">
        <v>66</v>
      </c>
      <c r="G35" s="39">
        <f t="shared" si="0"/>
        <v>25938</v>
      </c>
      <c r="H35" s="31">
        <v>42802</v>
      </c>
      <c r="I35" s="8" t="s">
        <v>1172</v>
      </c>
      <c r="L35" s="195"/>
      <c r="M35" s="195"/>
      <c r="N35" s="195"/>
    </row>
    <row r="36" spans="1:14" x14ac:dyDescent="0.25">
      <c r="A36" s="268" t="s">
        <v>1197</v>
      </c>
      <c r="B36" s="268" t="s">
        <v>1255</v>
      </c>
      <c r="C36" s="269">
        <v>42801</v>
      </c>
      <c r="D36" s="270">
        <f t="shared" si="1"/>
        <v>4140</v>
      </c>
      <c r="E36" s="261">
        <v>329.2</v>
      </c>
      <c r="F36" s="29">
        <v>39</v>
      </c>
      <c r="G36" s="39">
        <f t="shared" si="0"/>
        <v>12838.8</v>
      </c>
      <c r="H36" s="31">
        <v>42802</v>
      </c>
      <c r="I36" s="8" t="s">
        <v>1172</v>
      </c>
      <c r="L36" s="195"/>
      <c r="M36" s="195"/>
      <c r="N36" s="195"/>
    </row>
    <row r="37" spans="1:14" x14ac:dyDescent="0.25">
      <c r="A37" s="268" t="s">
        <v>1264</v>
      </c>
      <c r="B37" s="268" t="s">
        <v>1255</v>
      </c>
      <c r="C37" s="269">
        <v>42801</v>
      </c>
      <c r="D37" s="270">
        <f t="shared" si="1"/>
        <v>4141</v>
      </c>
      <c r="E37" s="261">
        <v>33.200000000000003</v>
      </c>
      <c r="F37" s="29">
        <v>35</v>
      </c>
      <c r="G37" s="39">
        <f t="shared" si="0"/>
        <v>1162</v>
      </c>
      <c r="H37" s="31">
        <v>42801</v>
      </c>
      <c r="I37" s="8" t="s">
        <v>1172</v>
      </c>
      <c r="L37" s="195"/>
      <c r="M37" s="195"/>
      <c r="N37" s="195"/>
    </row>
    <row r="38" spans="1:14" x14ac:dyDescent="0.25">
      <c r="A38" s="268" t="s">
        <v>1213</v>
      </c>
      <c r="B38" s="268" t="s">
        <v>206</v>
      </c>
      <c r="C38" s="269">
        <v>42802</v>
      </c>
      <c r="D38" s="270">
        <f t="shared" si="1"/>
        <v>4142</v>
      </c>
      <c r="E38" s="261">
        <v>614.37</v>
      </c>
      <c r="F38" s="29">
        <v>66</v>
      </c>
      <c r="G38" s="39">
        <f t="shared" si="0"/>
        <v>40548.42</v>
      </c>
      <c r="H38" s="31">
        <v>42802</v>
      </c>
      <c r="I38" s="8" t="s">
        <v>1172</v>
      </c>
      <c r="L38" s="195"/>
      <c r="M38" s="195"/>
      <c r="N38" s="195"/>
    </row>
    <row r="39" spans="1:14" x14ac:dyDescent="0.25">
      <c r="A39" s="268" t="s">
        <v>1171</v>
      </c>
      <c r="B39" s="268" t="s">
        <v>206</v>
      </c>
      <c r="C39" s="269">
        <v>42802</v>
      </c>
      <c r="D39" s="270">
        <f t="shared" si="1"/>
        <v>4143</v>
      </c>
      <c r="E39" s="261">
        <v>1761.8</v>
      </c>
      <c r="F39" s="29">
        <v>66.5</v>
      </c>
      <c r="G39" s="39">
        <f t="shared" si="0"/>
        <v>117159.7</v>
      </c>
      <c r="H39" s="31">
        <v>42802</v>
      </c>
      <c r="I39" s="8" t="s">
        <v>1172</v>
      </c>
      <c r="L39" s="195"/>
      <c r="M39" s="195"/>
      <c r="N39" s="195"/>
    </row>
    <row r="40" spans="1:14" x14ac:dyDescent="0.25">
      <c r="A40" s="268" t="s">
        <v>1179</v>
      </c>
      <c r="B40" s="268" t="s">
        <v>206</v>
      </c>
      <c r="C40" s="269">
        <v>42802</v>
      </c>
      <c r="D40" s="270">
        <f t="shared" si="1"/>
        <v>4144</v>
      </c>
      <c r="E40" s="261">
        <v>524.4</v>
      </c>
      <c r="F40" s="29">
        <v>66</v>
      </c>
      <c r="G40" s="39">
        <f t="shared" si="0"/>
        <v>34610.400000000001</v>
      </c>
      <c r="H40" s="31">
        <v>42804</v>
      </c>
      <c r="I40" s="8" t="s">
        <v>1172</v>
      </c>
      <c r="L40" s="195"/>
      <c r="M40" s="195"/>
      <c r="N40" s="195"/>
    </row>
    <row r="41" spans="1:14" x14ac:dyDescent="0.25">
      <c r="A41" s="268" t="s">
        <v>1216</v>
      </c>
      <c r="B41" s="268" t="s">
        <v>1254</v>
      </c>
      <c r="C41" s="269">
        <v>42802</v>
      </c>
      <c r="D41" s="270">
        <f t="shared" si="1"/>
        <v>4145</v>
      </c>
      <c r="E41" s="261">
        <v>98.3</v>
      </c>
      <c r="F41" s="29">
        <v>27</v>
      </c>
      <c r="G41" s="39">
        <f>F41*E41+102.3*58+194*48+928*15</f>
        <v>31819.5</v>
      </c>
      <c r="H41" s="31">
        <v>42805</v>
      </c>
      <c r="I41" s="8" t="s">
        <v>1172</v>
      </c>
      <c r="L41" s="195"/>
      <c r="M41" s="195"/>
      <c r="N41" s="195"/>
    </row>
    <row r="42" spans="1:14" x14ac:dyDescent="0.25">
      <c r="A42" s="268" t="s">
        <v>1213</v>
      </c>
      <c r="B42" s="268" t="s">
        <v>206</v>
      </c>
      <c r="C42" s="269">
        <v>42803</v>
      </c>
      <c r="D42" s="270">
        <f t="shared" si="1"/>
        <v>4146</v>
      </c>
      <c r="E42" s="261">
        <v>572</v>
      </c>
      <c r="F42" s="29">
        <v>66</v>
      </c>
      <c r="G42" s="39">
        <f t="shared" si="0"/>
        <v>37752</v>
      </c>
      <c r="H42" s="31">
        <v>43168</v>
      </c>
      <c r="I42" s="8" t="s">
        <v>1172</v>
      </c>
      <c r="L42" s="195"/>
      <c r="M42" s="195"/>
      <c r="N42" s="195"/>
    </row>
    <row r="43" spans="1:14" x14ac:dyDescent="0.25">
      <c r="A43" s="268" t="s">
        <v>1216</v>
      </c>
      <c r="B43" s="268" t="s">
        <v>1271</v>
      </c>
      <c r="C43" s="269">
        <v>42803</v>
      </c>
      <c r="D43" s="270">
        <f t="shared" si="1"/>
        <v>4147</v>
      </c>
      <c r="E43" s="261">
        <v>41.8</v>
      </c>
      <c r="F43" s="29">
        <v>27</v>
      </c>
      <c r="G43" s="39">
        <f t="shared" si="0"/>
        <v>1128.5999999999999</v>
      </c>
      <c r="H43" s="31">
        <v>42807</v>
      </c>
      <c r="I43" s="8" t="s">
        <v>1172</v>
      </c>
      <c r="L43" s="195"/>
      <c r="M43" s="195"/>
      <c r="N43" s="195"/>
    </row>
    <row r="44" spans="1:14" x14ac:dyDescent="0.25">
      <c r="A44" s="268" t="s">
        <v>1265</v>
      </c>
      <c r="B44" s="268" t="s">
        <v>1266</v>
      </c>
      <c r="C44" s="269">
        <v>42803</v>
      </c>
      <c r="D44" s="270">
        <f t="shared" si="1"/>
        <v>4148</v>
      </c>
      <c r="E44" s="261">
        <v>49.8</v>
      </c>
      <c r="F44" s="29">
        <v>80</v>
      </c>
      <c r="G44" s="39">
        <f t="shared" si="0"/>
        <v>3984</v>
      </c>
      <c r="H44" s="31">
        <v>42803</v>
      </c>
      <c r="I44" s="8" t="s">
        <v>1172</v>
      </c>
      <c r="L44" s="195"/>
      <c r="M44" s="195"/>
      <c r="N44" s="195"/>
    </row>
    <row r="45" spans="1:14" x14ac:dyDescent="0.25">
      <c r="A45" s="268" t="s">
        <v>1171</v>
      </c>
      <c r="B45" s="268" t="s">
        <v>206</v>
      </c>
      <c r="C45" s="269">
        <v>42803</v>
      </c>
      <c r="D45" s="270">
        <f t="shared" si="1"/>
        <v>4149</v>
      </c>
      <c r="E45" s="261">
        <v>1022.5</v>
      </c>
      <c r="F45" s="29">
        <v>66.5</v>
      </c>
      <c r="G45" s="39">
        <f t="shared" si="0"/>
        <v>67996.25</v>
      </c>
      <c r="H45" s="31">
        <v>42803</v>
      </c>
      <c r="I45" s="8" t="s">
        <v>1172</v>
      </c>
      <c r="L45" s="195"/>
      <c r="M45" s="195"/>
      <c r="N45" s="195"/>
    </row>
    <row r="46" spans="1:14" x14ac:dyDescent="0.25">
      <c r="A46" s="268" t="s">
        <v>1213</v>
      </c>
      <c r="B46" s="268" t="s">
        <v>206</v>
      </c>
      <c r="C46" s="269">
        <v>42804</v>
      </c>
      <c r="D46" s="270">
        <f t="shared" si="1"/>
        <v>4150</v>
      </c>
      <c r="E46" s="261">
        <v>561.4</v>
      </c>
      <c r="F46" s="29">
        <v>66</v>
      </c>
      <c r="G46" s="39">
        <f t="shared" si="0"/>
        <v>37052.400000000001</v>
      </c>
      <c r="H46" s="31">
        <v>42804</v>
      </c>
      <c r="I46" s="8" t="s">
        <v>1172</v>
      </c>
      <c r="L46" s="195"/>
      <c r="M46" s="195"/>
      <c r="N46" s="195"/>
    </row>
    <row r="47" spans="1:14" x14ac:dyDescent="0.25">
      <c r="A47" s="268" t="s">
        <v>1220</v>
      </c>
      <c r="B47" s="268" t="s">
        <v>1293</v>
      </c>
      <c r="C47" s="269">
        <v>42804</v>
      </c>
      <c r="D47" s="270">
        <f t="shared" si="1"/>
        <v>4151</v>
      </c>
      <c r="E47" s="261">
        <v>463.2</v>
      </c>
      <c r="F47" s="29">
        <v>56</v>
      </c>
      <c r="G47" s="39">
        <f t="shared" si="0"/>
        <v>25939.200000000001</v>
      </c>
      <c r="H47" s="31">
        <v>42804</v>
      </c>
      <c r="I47" s="8" t="s">
        <v>1172</v>
      </c>
      <c r="J47" s="715" t="s">
        <v>1294</v>
      </c>
      <c r="L47" s="195"/>
      <c r="M47" s="195"/>
      <c r="N47" s="195"/>
    </row>
    <row r="48" spans="1:14" x14ac:dyDescent="0.25">
      <c r="A48" s="273" t="s">
        <v>237</v>
      </c>
      <c r="B48" s="268" t="s">
        <v>274</v>
      </c>
      <c r="C48" s="438">
        <v>42804</v>
      </c>
      <c r="D48" s="270">
        <f t="shared" si="1"/>
        <v>4152</v>
      </c>
      <c r="E48" s="261">
        <v>1065</v>
      </c>
      <c r="F48" s="29">
        <v>65</v>
      </c>
      <c r="G48" s="39">
        <f t="shared" si="0"/>
        <v>69225</v>
      </c>
      <c r="H48" s="711">
        <v>42824</v>
      </c>
      <c r="I48" s="712" t="s">
        <v>238</v>
      </c>
      <c r="L48" s="195"/>
      <c r="M48" s="195"/>
      <c r="N48" s="195"/>
    </row>
    <row r="49" spans="1:14" x14ac:dyDescent="0.25">
      <c r="A49" s="273" t="s">
        <v>1263</v>
      </c>
      <c r="B49" s="268" t="s">
        <v>1256</v>
      </c>
      <c r="C49" s="274">
        <v>42804</v>
      </c>
      <c r="D49" s="270">
        <f t="shared" si="1"/>
        <v>4153</v>
      </c>
      <c r="E49" s="261">
        <v>3340</v>
      </c>
      <c r="F49" s="29">
        <v>33</v>
      </c>
      <c r="G49" s="39">
        <f t="shared" si="0"/>
        <v>110220</v>
      </c>
      <c r="H49" s="31">
        <v>42810</v>
      </c>
      <c r="I49" s="8" t="s">
        <v>1172</v>
      </c>
      <c r="L49" s="195"/>
      <c r="M49" s="195"/>
      <c r="N49" s="195"/>
    </row>
    <row r="50" spans="1:14" x14ac:dyDescent="0.25">
      <c r="A50" s="273" t="s">
        <v>1269</v>
      </c>
      <c r="B50" s="268" t="s">
        <v>1270</v>
      </c>
      <c r="C50" s="274">
        <v>42804</v>
      </c>
      <c r="D50" s="270">
        <f t="shared" si="1"/>
        <v>4154</v>
      </c>
      <c r="E50" s="261">
        <v>2.8</v>
      </c>
      <c r="F50" s="29">
        <v>80</v>
      </c>
      <c r="G50" s="39">
        <f t="shared" si="0"/>
        <v>224</v>
      </c>
      <c r="H50" s="31">
        <v>42805</v>
      </c>
      <c r="I50" s="8" t="s">
        <v>1172</v>
      </c>
      <c r="L50" s="195"/>
      <c r="M50" s="195"/>
      <c r="N50" s="195"/>
    </row>
    <row r="51" spans="1:14" x14ac:dyDescent="0.25">
      <c r="A51" s="273" t="s">
        <v>1171</v>
      </c>
      <c r="B51" s="268" t="s">
        <v>206</v>
      </c>
      <c r="C51" s="274">
        <v>42804</v>
      </c>
      <c r="D51" s="270">
        <f t="shared" si="1"/>
        <v>4155</v>
      </c>
      <c r="E51" s="261">
        <v>601.6</v>
      </c>
      <c r="F51" s="29">
        <v>66.5</v>
      </c>
      <c r="G51" s="39">
        <f t="shared" si="0"/>
        <v>40006.400000000001</v>
      </c>
      <c r="H51" s="31">
        <v>43169</v>
      </c>
      <c r="I51" s="8" t="s">
        <v>1172</v>
      </c>
      <c r="L51" s="195"/>
      <c r="M51" s="195"/>
      <c r="N51" s="195"/>
    </row>
    <row r="52" spans="1:14" x14ac:dyDescent="0.25">
      <c r="A52" s="275" t="s">
        <v>1213</v>
      </c>
      <c r="B52" s="268" t="s">
        <v>206</v>
      </c>
      <c r="C52" s="274">
        <v>42805</v>
      </c>
      <c r="D52" s="270">
        <f t="shared" si="1"/>
        <v>4156</v>
      </c>
      <c r="E52" s="261">
        <v>565.20000000000005</v>
      </c>
      <c r="F52" s="29">
        <v>66</v>
      </c>
      <c r="G52" s="39">
        <f t="shared" si="0"/>
        <v>37303.200000000004</v>
      </c>
      <c r="H52" s="31">
        <v>42805</v>
      </c>
      <c r="I52" s="8" t="s">
        <v>1172</v>
      </c>
      <c r="L52" s="195"/>
      <c r="M52" s="195"/>
      <c r="N52" s="195"/>
    </row>
    <row r="53" spans="1:14" x14ac:dyDescent="0.25">
      <c r="A53" s="275" t="s">
        <v>1206</v>
      </c>
      <c r="B53" s="268" t="s">
        <v>1207</v>
      </c>
      <c r="C53" s="274">
        <v>42805</v>
      </c>
      <c r="D53" s="270">
        <f t="shared" si="1"/>
        <v>4157</v>
      </c>
      <c r="E53" s="261">
        <v>103.4</v>
      </c>
      <c r="F53" s="29">
        <v>72</v>
      </c>
      <c r="G53" s="39">
        <f t="shared" si="0"/>
        <v>7444.8</v>
      </c>
      <c r="H53" s="31">
        <v>42805</v>
      </c>
      <c r="I53" s="8" t="s">
        <v>1172</v>
      </c>
      <c r="L53" s="195"/>
      <c r="M53" s="195"/>
      <c r="N53" s="195"/>
    </row>
    <row r="54" spans="1:14" x14ac:dyDescent="0.25">
      <c r="A54" s="275" t="s">
        <v>1213</v>
      </c>
      <c r="B54" s="268" t="s">
        <v>206</v>
      </c>
      <c r="C54" s="274">
        <v>42806</v>
      </c>
      <c r="D54" s="270">
        <f t="shared" si="1"/>
        <v>4158</v>
      </c>
      <c r="E54" s="261">
        <v>513.9</v>
      </c>
      <c r="F54" s="29">
        <v>66</v>
      </c>
      <c r="G54" s="39">
        <f t="shared" si="0"/>
        <v>33917.4</v>
      </c>
      <c r="H54" s="31">
        <v>42806</v>
      </c>
      <c r="I54" s="8" t="s">
        <v>1172</v>
      </c>
      <c r="L54" s="195"/>
      <c r="M54" s="195"/>
      <c r="N54" s="195"/>
    </row>
    <row r="55" spans="1:14" x14ac:dyDescent="0.25">
      <c r="A55" s="275" t="s">
        <v>1213</v>
      </c>
      <c r="B55" s="268" t="s">
        <v>206</v>
      </c>
      <c r="C55" s="274">
        <v>42806</v>
      </c>
      <c r="D55" s="270">
        <f t="shared" si="1"/>
        <v>4159</v>
      </c>
      <c r="E55" s="261">
        <v>466.8</v>
      </c>
      <c r="F55" s="29">
        <v>66</v>
      </c>
      <c r="G55" s="39">
        <f t="shared" si="0"/>
        <v>30808.799999999999</v>
      </c>
      <c r="H55" s="31">
        <v>42807</v>
      </c>
      <c r="I55" s="8" t="s">
        <v>1172</v>
      </c>
      <c r="L55" s="195"/>
      <c r="M55" s="195"/>
      <c r="N55" s="195"/>
    </row>
    <row r="56" spans="1:14" x14ac:dyDescent="0.25">
      <c r="A56" s="275" t="s">
        <v>1171</v>
      </c>
      <c r="B56" s="268" t="s">
        <v>206</v>
      </c>
      <c r="C56" s="274">
        <v>42806</v>
      </c>
      <c r="D56" s="270">
        <f t="shared" si="1"/>
        <v>4160</v>
      </c>
      <c r="E56" s="261">
        <v>1283.5</v>
      </c>
      <c r="F56" s="29">
        <v>66.5</v>
      </c>
      <c r="G56" s="39">
        <f t="shared" si="0"/>
        <v>85352.75</v>
      </c>
      <c r="H56" s="31">
        <v>42807</v>
      </c>
      <c r="I56" s="8" t="s">
        <v>1172</v>
      </c>
      <c r="L56" s="195"/>
      <c r="M56" s="195"/>
      <c r="N56" s="195"/>
    </row>
    <row r="57" spans="1:14" x14ac:dyDescent="0.25">
      <c r="A57" s="275" t="s">
        <v>1226</v>
      </c>
      <c r="B57" s="268" t="s">
        <v>1272</v>
      </c>
      <c r="C57" s="274">
        <v>42807</v>
      </c>
      <c r="D57" s="270">
        <f t="shared" si="1"/>
        <v>4161</v>
      </c>
      <c r="E57" s="261">
        <v>86</v>
      </c>
      <c r="F57" s="29">
        <v>66</v>
      </c>
      <c r="G57" s="39">
        <f t="shared" si="0"/>
        <v>5676</v>
      </c>
      <c r="H57" s="31">
        <v>42807</v>
      </c>
      <c r="I57" s="8" t="s">
        <v>1172</v>
      </c>
      <c r="L57" s="195"/>
      <c r="M57" s="195"/>
      <c r="N57" s="195"/>
    </row>
    <row r="58" spans="1:14" x14ac:dyDescent="0.25">
      <c r="A58" s="275" t="s">
        <v>1216</v>
      </c>
      <c r="B58" s="268" t="s">
        <v>1254</v>
      </c>
      <c r="C58" s="274">
        <v>42807</v>
      </c>
      <c r="D58" s="270">
        <f t="shared" si="1"/>
        <v>4162</v>
      </c>
      <c r="E58" s="261">
        <v>119.9</v>
      </c>
      <c r="F58" s="29">
        <v>58</v>
      </c>
      <c r="G58" s="39">
        <f>F58*E58+255*48+100.2*27</f>
        <v>21899.600000000002</v>
      </c>
      <c r="H58" s="31">
        <v>42807</v>
      </c>
      <c r="I58" s="8" t="s">
        <v>1172</v>
      </c>
      <c r="L58" s="195"/>
      <c r="M58" s="195"/>
      <c r="N58" s="195"/>
    </row>
    <row r="59" spans="1:14" x14ac:dyDescent="0.25">
      <c r="A59" s="273" t="s">
        <v>1211</v>
      </c>
      <c r="B59" s="268" t="s">
        <v>1273</v>
      </c>
      <c r="C59" s="274">
        <v>42807</v>
      </c>
      <c r="D59" s="270">
        <f t="shared" si="1"/>
        <v>4163</v>
      </c>
      <c r="E59" s="261">
        <v>186.1</v>
      </c>
      <c r="F59" s="29">
        <v>69</v>
      </c>
      <c r="G59" s="39">
        <f t="shared" si="0"/>
        <v>12840.9</v>
      </c>
      <c r="H59" s="31">
        <v>42807</v>
      </c>
      <c r="I59" s="8" t="s">
        <v>1172</v>
      </c>
      <c r="L59" s="195"/>
      <c r="M59" s="195"/>
      <c r="N59" s="195"/>
    </row>
    <row r="60" spans="1:14" x14ac:dyDescent="0.25">
      <c r="A60" s="273" t="s">
        <v>1213</v>
      </c>
      <c r="B60" s="268" t="s">
        <v>206</v>
      </c>
      <c r="C60" s="274">
        <v>42808</v>
      </c>
      <c r="D60" s="270">
        <f t="shared" si="1"/>
        <v>4164</v>
      </c>
      <c r="E60" s="261">
        <v>460.8</v>
      </c>
      <c r="F60" s="29">
        <v>66</v>
      </c>
      <c r="G60" s="39">
        <f t="shared" si="0"/>
        <v>30412.799999999999</v>
      </c>
      <c r="H60" s="31">
        <v>42809</v>
      </c>
      <c r="I60" s="8" t="s">
        <v>1172</v>
      </c>
      <c r="L60" s="195"/>
      <c r="M60" s="195"/>
      <c r="N60" s="195"/>
    </row>
    <row r="61" spans="1:14" x14ac:dyDescent="0.25">
      <c r="A61" s="273" t="s">
        <v>1220</v>
      </c>
      <c r="B61" s="268" t="s">
        <v>1295</v>
      </c>
      <c r="C61" s="274">
        <v>42807</v>
      </c>
      <c r="D61" s="270">
        <f t="shared" si="1"/>
        <v>4165</v>
      </c>
      <c r="E61" s="261">
        <v>188.4</v>
      </c>
      <c r="F61" s="29">
        <v>52</v>
      </c>
      <c r="G61" s="39">
        <f>F61*E61+64.4*48+63.2*60+53.6*70</f>
        <v>20432</v>
      </c>
      <c r="H61" s="31">
        <v>42815</v>
      </c>
      <c r="I61" s="8" t="s">
        <v>1172</v>
      </c>
      <c r="J61" s="715" t="s">
        <v>1296</v>
      </c>
      <c r="L61" s="195"/>
      <c r="M61" s="195"/>
      <c r="N61" s="195"/>
    </row>
    <row r="62" spans="1:14" x14ac:dyDescent="0.25">
      <c r="A62" s="273" t="s">
        <v>1182</v>
      </c>
      <c r="B62" s="268" t="s">
        <v>1281</v>
      </c>
      <c r="C62" s="274">
        <v>42807</v>
      </c>
      <c r="D62" s="270">
        <f t="shared" si="1"/>
        <v>4166</v>
      </c>
      <c r="E62" s="261">
        <v>34701</v>
      </c>
      <c r="F62" s="29">
        <v>1</v>
      </c>
      <c r="G62" s="39">
        <f t="shared" si="0"/>
        <v>34701</v>
      </c>
      <c r="H62" s="31">
        <v>42810</v>
      </c>
      <c r="I62" s="8" t="s">
        <v>1172</v>
      </c>
      <c r="L62" s="195"/>
      <c r="M62" s="195"/>
      <c r="N62" s="195"/>
    </row>
    <row r="63" spans="1:14" x14ac:dyDescent="0.25">
      <c r="A63" s="273" t="s">
        <v>1171</v>
      </c>
      <c r="B63" s="268" t="s">
        <v>206</v>
      </c>
      <c r="C63" s="274">
        <v>42808</v>
      </c>
      <c r="D63" s="270">
        <f t="shared" si="1"/>
        <v>4167</v>
      </c>
      <c r="E63" s="261">
        <v>1493.7</v>
      </c>
      <c r="F63" s="29">
        <v>66.5</v>
      </c>
      <c r="G63" s="39">
        <f>F63*E63+164.5*64</f>
        <v>109859.05</v>
      </c>
      <c r="H63" s="31">
        <v>42808</v>
      </c>
      <c r="I63" s="8" t="s">
        <v>1172</v>
      </c>
      <c r="L63" s="195"/>
      <c r="M63" s="195"/>
      <c r="N63" s="195"/>
    </row>
    <row r="64" spans="1:14" x14ac:dyDescent="0.25">
      <c r="A64" s="273" t="s">
        <v>1220</v>
      </c>
      <c r="B64" s="268" t="s">
        <v>1297</v>
      </c>
      <c r="C64" s="274">
        <v>42808</v>
      </c>
      <c r="D64" s="270">
        <f t="shared" si="1"/>
        <v>4168</v>
      </c>
      <c r="E64" s="261">
        <v>39.4</v>
      </c>
      <c r="F64" s="29">
        <v>60</v>
      </c>
      <c r="G64" s="39">
        <f t="shared" si="0"/>
        <v>2364</v>
      </c>
      <c r="H64" s="31" t="s">
        <v>15</v>
      </c>
      <c r="I64" s="8" t="s">
        <v>1172</v>
      </c>
      <c r="L64" s="195"/>
      <c r="M64" s="195"/>
      <c r="N64" s="195"/>
    </row>
    <row r="65" spans="1:14" x14ac:dyDescent="0.25">
      <c r="A65" s="273" t="s">
        <v>1278</v>
      </c>
      <c r="B65" s="268" t="s">
        <v>1279</v>
      </c>
      <c r="C65" s="274">
        <v>42809</v>
      </c>
      <c r="D65" s="270">
        <f t="shared" si="1"/>
        <v>4169</v>
      </c>
      <c r="E65" s="261">
        <v>65.8</v>
      </c>
      <c r="F65" s="209">
        <v>45</v>
      </c>
      <c r="G65" s="39">
        <f t="shared" si="0"/>
        <v>2961</v>
      </c>
      <c r="H65" s="31">
        <v>42809</v>
      </c>
      <c r="I65" s="8" t="s">
        <v>1172</v>
      </c>
      <c r="K65" s="281"/>
      <c r="L65" s="195"/>
      <c r="M65" s="195"/>
      <c r="N65" s="195"/>
    </row>
    <row r="66" spans="1:14" x14ac:dyDescent="0.25">
      <c r="A66" s="282" t="s">
        <v>1213</v>
      </c>
      <c r="B66" s="713" t="s">
        <v>206</v>
      </c>
      <c r="C66" s="284">
        <v>42809</v>
      </c>
      <c r="D66" s="270">
        <f t="shared" si="1"/>
        <v>4170</v>
      </c>
      <c r="E66" s="261">
        <v>484.8</v>
      </c>
      <c r="F66" s="209">
        <v>66</v>
      </c>
      <c r="G66" s="39">
        <f t="shared" si="0"/>
        <v>31996.799999999999</v>
      </c>
      <c r="H66" s="31">
        <v>42810</v>
      </c>
      <c r="I66" s="8" t="s">
        <v>1172</v>
      </c>
      <c r="K66" s="281"/>
      <c r="L66" s="195"/>
      <c r="M66" s="195"/>
      <c r="N66" s="195"/>
    </row>
    <row r="67" spans="1:14" x14ac:dyDescent="0.25">
      <c r="A67" s="282" t="s">
        <v>1171</v>
      </c>
      <c r="B67" s="713" t="s">
        <v>206</v>
      </c>
      <c r="C67" s="284">
        <v>42809</v>
      </c>
      <c r="D67" s="270">
        <f t="shared" si="1"/>
        <v>4171</v>
      </c>
      <c r="E67" s="261">
        <v>967.3</v>
      </c>
      <c r="F67" s="209">
        <v>66.5</v>
      </c>
      <c r="G67" s="39">
        <f t="shared" si="0"/>
        <v>64325.45</v>
      </c>
      <c r="H67" s="31">
        <v>42809</v>
      </c>
      <c r="I67" s="8" t="s">
        <v>1172</v>
      </c>
      <c r="K67" s="281"/>
      <c r="L67" s="195"/>
      <c r="M67" s="195"/>
      <c r="N67" s="195"/>
    </row>
    <row r="68" spans="1:14" x14ac:dyDescent="0.25">
      <c r="A68" s="282" t="s">
        <v>1179</v>
      </c>
      <c r="B68" s="713" t="s">
        <v>206</v>
      </c>
      <c r="C68" s="284">
        <v>42809</v>
      </c>
      <c r="D68" s="270">
        <f t="shared" si="1"/>
        <v>4172</v>
      </c>
      <c r="E68" s="261">
        <v>683.2</v>
      </c>
      <c r="F68" s="209">
        <v>66</v>
      </c>
      <c r="G68" s="39">
        <f t="shared" si="0"/>
        <v>45091.200000000004</v>
      </c>
      <c r="H68" s="31">
        <v>42810</v>
      </c>
      <c r="I68" s="8" t="s">
        <v>1172</v>
      </c>
      <c r="K68" s="281"/>
      <c r="L68" s="195"/>
      <c r="M68" s="195"/>
      <c r="N68" s="195"/>
    </row>
    <row r="69" spans="1:14" x14ac:dyDescent="0.25">
      <c r="A69" s="282" t="s">
        <v>1213</v>
      </c>
      <c r="B69" s="268" t="s">
        <v>206</v>
      </c>
      <c r="C69" s="284">
        <v>42810</v>
      </c>
      <c r="D69" s="270">
        <f t="shared" si="1"/>
        <v>4173</v>
      </c>
      <c r="E69" s="261">
        <v>482.3</v>
      </c>
      <c r="F69" s="209">
        <v>66</v>
      </c>
      <c r="G69" s="39">
        <f t="shared" si="0"/>
        <v>31831.8</v>
      </c>
      <c r="H69" s="31">
        <v>42810</v>
      </c>
      <c r="I69" s="219" t="s">
        <v>1172</v>
      </c>
      <c r="K69" s="281"/>
      <c r="L69" s="195"/>
      <c r="M69" s="195"/>
      <c r="N69" s="195"/>
    </row>
    <row r="70" spans="1:14" x14ac:dyDescent="0.25">
      <c r="A70" s="282" t="s">
        <v>1171</v>
      </c>
      <c r="B70" s="268" t="s">
        <v>206</v>
      </c>
      <c r="C70" s="284">
        <v>42810</v>
      </c>
      <c r="D70" s="270">
        <f t="shared" si="1"/>
        <v>4174</v>
      </c>
      <c r="E70" s="261">
        <v>1545.3</v>
      </c>
      <c r="F70" s="209">
        <v>66.5</v>
      </c>
      <c r="G70" s="39">
        <f t="shared" si="0"/>
        <v>102762.45</v>
      </c>
      <c r="H70" s="31">
        <v>42812</v>
      </c>
      <c r="I70" s="219" t="s">
        <v>1172</v>
      </c>
      <c r="K70" s="281"/>
      <c r="L70" s="195"/>
      <c r="M70" s="195"/>
      <c r="N70" s="195"/>
    </row>
    <row r="71" spans="1:14" x14ac:dyDescent="0.25">
      <c r="A71" s="282" t="s">
        <v>1182</v>
      </c>
      <c r="B71" s="268" t="s">
        <v>1280</v>
      </c>
      <c r="C71" s="284">
        <v>42810</v>
      </c>
      <c r="D71" s="270">
        <f t="shared" si="1"/>
        <v>4175</v>
      </c>
      <c r="E71" s="261">
        <v>684.6</v>
      </c>
      <c r="F71" s="209">
        <v>50.3</v>
      </c>
      <c r="G71" s="39">
        <f t="shared" si="0"/>
        <v>34435.379999999997</v>
      </c>
      <c r="H71" s="31">
        <v>42810</v>
      </c>
      <c r="I71" s="219" t="s">
        <v>1172</v>
      </c>
      <c r="K71" s="281"/>
      <c r="L71" s="195"/>
      <c r="M71" s="195"/>
      <c r="N71" s="195"/>
    </row>
    <row r="72" spans="1:14" x14ac:dyDescent="0.25">
      <c r="A72" s="282" t="s">
        <v>1220</v>
      </c>
      <c r="B72" s="268" t="s">
        <v>1291</v>
      </c>
      <c r="C72" s="284">
        <v>42809</v>
      </c>
      <c r="D72" s="270">
        <f t="shared" ref="D72:D132" si="2">D71+1</f>
        <v>4176</v>
      </c>
      <c r="E72" s="261">
        <v>100</v>
      </c>
      <c r="F72" s="209">
        <v>38</v>
      </c>
      <c r="G72" s="39">
        <f t="shared" si="0"/>
        <v>3800</v>
      </c>
      <c r="H72" s="31">
        <v>42815</v>
      </c>
      <c r="I72" s="219" t="s">
        <v>1172</v>
      </c>
      <c r="J72" s="715" t="s">
        <v>1292</v>
      </c>
      <c r="K72" s="281"/>
      <c r="L72" s="195"/>
      <c r="M72" s="195"/>
      <c r="N72" s="195"/>
    </row>
    <row r="73" spans="1:14" x14ac:dyDescent="0.25">
      <c r="A73" s="275" t="s">
        <v>1216</v>
      </c>
      <c r="B73" s="268" t="s">
        <v>1254</v>
      </c>
      <c r="C73" s="274">
        <v>42810</v>
      </c>
      <c r="D73" s="270">
        <f t="shared" si="2"/>
        <v>4177</v>
      </c>
      <c r="E73" s="261">
        <v>326</v>
      </c>
      <c r="F73" s="209">
        <v>48</v>
      </c>
      <c r="G73" s="39">
        <f>F73*E73+1100.2*15</f>
        <v>32151</v>
      </c>
      <c r="H73" s="31">
        <v>42811</v>
      </c>
      <c r="I73" s="182" t="s">
        <v>1172</v>
      </c>
      <c r="L73" s="195"/>
      <c r="M73" s="195"/>
      <c r="N73" s="195"/>
    </row>
    <row r="74" spans="1:14" x14ac:dyDescent="0.25">
      <c r="A74" s="275" t="s">
        <v>1213</v>
      </c>
      <c r="B74" s="268" t="s">
        <v>206</v>
      </c>
      <c r="C74" s="274">
        <v>42811</v>
      </c>
      <c r="D74" s="270">
        <f t="shared" si="2"/>
        <v>4178</v>
      </c>
      <c r="E74" s="261">
        <v>452.6</v>
      </c>
      <c r="F74" s="209">
        <v>66</v>
      </c>
      <c r="G74" s="39">
        <f t="shared" si="0"/>
        <v>29871.600000000002</v>
      </c>
      <c r="H74" s="31">
        <v>42811</v>
      </c>
      <c r="I74" s="182" t="s">
        <v>1172</v>
      </c>
      <c r="L74" s="195"/>
      <c r="M74" s="195"/>
      <c r="N74" s="195"/>
    </row>
    <row r="75" spans="1:14" x14ac:dyDescent="0.25">
      <c r="A75" s="275" t="s">
        <v>176</v>
      </c>
      <c r="C75" s="274"/>
      <c r="D75" s="270">
        <f t="shared" si="2"/>
        <v>4179</v>
      </c>
      <c r="F75" s="209"/>
      <c r="G75" s="39">
        <f t="shared" si="0"/>
        <v>0</v>
      </c>
      <c r="H75" s="31"/>
      <c r="I75" s="182"/>
      <c r="L75" s="195"/>
      <c r="M75" s="195"/>
      <c r="N75" s="195"/>
    </row>
    <row r="76" spans="1:14" s="8" customFormat="1" x14ac:dyDescent="0.25">
      <c r="A76" s="275" t="s">
        <v>1171</v>
      </c>
      <c r="B76" s="268" t="s">
        <v>206</v>
      </c>
      <c r="C76" s="274">
        <v>42811</v>
      </c>
      <c r="D76" s="270">
        <f t="shared" si="2"/>
        <v>4180</v>
      </c>
      <c r="E76" s="261">
        <v>939.6</v>
      </c>
      <c r="F76" s="209">
        <v>66.5</v>
      </c>
      <c r="G76" s="39">
        <f t="shared" si="0"/>
        <v>62483.4</v>
      </c>
      <c r="H76" s="31">
        <v>42812</v>
      </c>
      <c r="I76" s="287" t="s">
        <v>1172</v>
      </c>
      <c r="J76" s="715"/>
    </row>
    <row r="77" spans="1:14" s="8" customFormat="1" x14ac:dyDescent="0.25">
      <c r="A77" s="275" t="s">
        <v>1213</v>
      </c>
      <c r="B77" s="268" t="s">
        <v>206</v>
      </c>
      <c r="C77" s="274">
        <v>42812</v>
      </c>
      <c r="D77" s="270">
        <f t="shared" si="2"/>
        <v>4181</v>
      </c>
      <c r="E77" s="261">
        <v>466.4</v>
      </c>
      <c r="F77" s="29">
        <v>66</v>
      </c>
      <c r="G77" s="39">
        <f t="shared" si="0"/>
        <v>30782.399999999998</v>
      </c>
      <c r="H77" s="31">
        <v>42812</v>
      </c>
      <c r="I77" s="287" t="s">
        <v>1172</v>
      </c>
      <c r="J77" s="715"/>
    </row>
    <row r="78" spans="1:14" s="8" customFormat="1" x14ac:dyDescent="0.25">
      <c r="A78" s="275" t="s">
        <v>1216</v>
      </c>
      <c r="B78" s="268" t="s">
        <v>1271</v>
      </c>
      <c r="C78" s="274">
        <v>42812</v>
      </c>
      <c r="D78" s="270">
        <f t="shared" si="2"/>
        <v>4182</v>
      </c>
      <c r="E78" s="261">
        <v>43.4</v>
      </c>
      <c r="F78" s="29">
        <v>27</v>
      </c>
      <c r="G78" s="39">
        <f t="shared" si="0"/>
        <v>1171.8</v>
      </c>
      <c r="H78" s="31">
        <v>42815</v>
      </c>
      <c r="I78" s="287" t="s">
        <v>1172</v>
      </c>
      <c r="J78" s="715"/>
    </row>
    <row r="79" spans="1:14" s="8" customFormat="1" x14ac:dyDescent="0.25">
      <c r="A79" s="275" t="s">
        <v>1206</v>
      </c>
      <c r="B79" s="268" t="s">
        <v>1207</v>
      </c>
      <c r="C79" s="274">
        <v>42812</v>
      </c>
      <c r="D79" s="270">
        <f t="shared" si="2"/>
        <v>4183</v>
      </c>
      <c r="E79" s="261">
        <v>203.2</v>
      </c>
      <c r="F79" s="29">
        <v>72</v>
      </c>
      <c r="G79" s="39">
        <f t="shared" si="0"/>
        <v>14630.4</v>
      </c>
      <c r="H79" s="31">
        <v>42812</v>
      </c>
      <c r="I79" s="287" t="s">
        <v>1172</v>
      </c>
      <c r="J79" s="715"/>
    </row>
    <row r="80" spans="1:14" s="8" customFormat="1" x14ac:dyDescent="0.25">
      <c r="A80" s="275" t="s">
        <v>1171</v>
      </c>
      <c r="B80" s="268" t="s">
        <v>1287</v>
      </c>
      <c r="C80" s="274">
        <v>42812</v>
      </c>
      <c r="D80" s="270">
        <f t="shared" si="2"/>
        <v>4184</v>
      </c>
      <c r="E80" s="261">
        <v>102.9</v>
      </c>
      <c r="F80" s="29">
        <v>73</v>
      </c>
      <c r="G80" s="39">
        <f>F80*E80+173*66.5</f>
        <v>19016.2</v>
      </c>
      <c r="H80" s="31">
        <v>42812</v>
      </c>
      <c r="I80" s="182" t="s">
        <v>1172</v>
      </c>
      <c r="J80" s="715"/>
    </row>
    <row r="81" spans="1:14" x14ac:dyDescent="0.25">
      <c r="A81" s="275" t="s">
        <v>1220</v>
      </c>
      <c r="B81" s="268" t="s">
        <v>1394</v>
      </c>
      <c r="C81" s="274">
        <v>42812</v>
      </c>
      <c r="D81" s="270">
        <f t="shared" si="2"/>
        <v>4185</v>
      </c>
      <c r="E81" s="261">
        <v>78.400000000000006</v>
      </c>
      <c r="F81" s="29">
        <v>60</v>
      </c>
      <c r="G81" s="39">
        <f>F81*E81+4*40</f>
        <v>4864</v>
      </c>
      <c r="H81" s="742">
        <v>42858</v>
      </c>
      <c r="I81" s="743" t="s">
        <v>1172</v>
      </c>
      <c r="J81" s="715" t="s">
        <v>1401</v>
      </c>
      <c r="L81" s="195"/>
      <c r="M81" s="195"/>
      <c r="N81" s="195"/>
    </row>
    <row r="82" spans="1:14" x14ac:dyDescent="0.25">
      <c r="A82" s="275" t="s">
        <v>1265</v>
      </c>
      <c r="B82" s="268" t="s">
        <v>1286</v>
      </c>
      <c r="C82" s="274">
        <v>42812</v>
      </c>
      <c r="D82" s="270">
        <f t="shared" si="2"/>
        <v>4186</v>
      </c>
      <c r="E82" s="261">
        <v>146</v>
      </c>
      <c r="F82" s="29">
        <v>65</v>
      </c>
      <c r="G82" s="39">
        <f t="shared" si="0"/>
        <v>9490</v>
      </c>
      <c r="H82" s="31">
        <v>42812</v>
      </c>
      <c r="I82" s="182" t="s">
        <v>1172</v>
      </c>
      <c r="L82" s="195"/>
      <c r="M82" s="195"/>
      <c r="N82" s="195"/>
    </row>
    <row r="83" spans="1:14" x14ac:dyDescent="0.25">
      <c r="A83" s="290" t="s">
        <v>1197</v>
      </c>
      <c r="B83" s="704" t="s">
        <v>206</v>
      </c>
      <c r="C83" s="269">
        <v>42812</v>
      </c>
      <c r="D83" s="270">
        <f t="shared" si="2"/>
        <v>4187</v>
      </c>
      <c r="E83" s="261">
        <v>2.02</v>
      </c>
      <c r="F83" s="29">
        <v>68.5</v>
      </c>
      <c r="G83" s="39">
        <f t="shared" si="0"/>
        <v>138.37</v>
      </c>
      <c r="H83" s="31">
        <v>42812</v>
      </c>
      <c r="I83" s="182" t="s">
        <v>1172</v>
      </c>
      <c r="L83" s="195"/>
      <c r="M83" s="195"/>
      <c r="N83" s="195"/>
    </row>
    <row r="84" spans="1:14" x14ac:dyDescent="0.25">
      <c r="A84" s="290" t="s">
        <v>1216</v>
      </c>
      <c r="B84" s="704" t="s">
        <v>1254</v>
      </c>
      <c r="C84" s="269">
        <v>42812</v>
      </c>
      <c r="D84" s="270">
        <f t="shared" si="2"/>
        <v>4188</v>
      </c>
      <c r="E84" s="261">
        <v>248.6</v>
      </c>
      <c r="F84" s="29">
        <v>48</v>
      </c>
      <c r="G84" s="39">
        <f>F84*E84+61*59</f>
        <v>15531.8</v>
      </c>
      <c r="H84" s="31">
        <v>42812</v>
      </c>
      <c r="I84" s="182" t="s">
        <v>1172</v>
      </c>
      <c r="L84" s="195"/>
      <c r="M84" s="195"/>
      <c r="N84" s="195"/>
    </row>
    <row r="85" spans="1:14" x14ac:dyDescent="0.25">
      <c r="A85" s="291" t="s">
        <v>1213</v>
      </c>
      <c r="B85" s="704" t="s">
        <v>206</v>
      </c>
      <c r="C85" s="292">
        <v>42813</v>
      </c>
      <c r="D85" s="270">
        <f t="shared" si="2"/>
        <v>4189</v>
      </c>
      <c r="E85" s="261">
        <v>341.5</v>
      </c>
      <c r="F85" s="29">
        <v>66</v>
      </c>
      <c r="G85" s="39">
        <f t="shared" si="0"/>
        <v>22539</v>
      </c>
      <c r="H85" s="31">
        <v>42813</v>
      </c>
      <c r="I85" s="182" t="s">
        <v>1172</v>
      </c>
      <c r="L85" s="195"/>
      <c r="M85" s="195"/>
      <c r="N85" s="195"/>
    </row>
    <row r="86" spans="1:14" x14ac:dyDescent="0.25">
      <c r="A86" s="290" t="s">
        <v>1213</v>
      </c>
      <c r="B86" s="704" t="s">
        <v>206</v>
      </c>
      <c r="C86" s="269">
        <v>42814</v>
      </c>
      <c r="D86" s="270">
        <f t="shared" si="2"/>
        <v>4190</v>
      </c>
      <c r="E86" s="261">
        <v>392.4</v>
      </c>
      <c r="F86" s="29">
        <v>66</v>
      </c>
      <c r="G86" s="39">
        <f t="shared" si="0"/>
        <v>25898.399999999998</v>
      </c>
      <c r="H86" s="31">
        <v>42815</v>
      </c>
      <c r="I86" s="182" t="s">
        <v>1172</v>
      </c>
      <c r="L86" s="195"/>
      <c r="M86" s="195"/>
      <c r="N86" s="195"/>
    </row>
    <row r="87" spans="1:14" x14ac:dyDescent="0.25">
      <c r="A87" s="290" t="s">
        <v>1180</v>
      </c>
      <c r="B87" s="704" t="s">
        <v>1248</v>
      </c>
      <c r="C87" s="269">
        <v>42813</v>
      </c>
      <c r="D87" s="270">
        <f t="shared" si="2"/>
        <v>4191</v>
      </c>
      <c r="E87" s="261">
        <v>453.8</v>
      </c>
      <c r="F87" s="29">
        <v>35</v>
      </c>
      <c r="G87" s="39">
        <f t="shared" si="0"/>
        <v>15883</v>
      </c>
      <c r="H87" s="31">
        <v>42813</v>
      </c>
      <c r="I87" s="182" t="s">
        <v>1172</v>
      </c>
      <c r="L87" s="195"/>
      <c r="M87" s="195"/>
      <c r="N87" s="195"/>
    </row>
    <row r="88" spans="1:14" x14ac:dyDescent="0.25">
      <c r="A88" s="290" t="s">
        <v>1264</v>
      </c>
      <c r="B88" s="704" t="s">
        <v>1289</v>
      </c>
      <c r="C88" s="269">
        <v>42814</v>
      </c>
      <c r="D88" s="270">
        <f t="shared" si="2"/>
        <v>4192</v>
      </c>
      <c r="E88" s="261">
        <v>38.799999999999997</v>
      </c>
      <c r="F88" s="29">
        <v>36</v>
      </c>
      <c r="G88" s="39">
        <f t="shared" si="0"/>
        <v>1396.8</v>
      </c>
      <c r="H88" s="31">
        <v>42814</v>
      </c>
      <c r="I88" s="182" t="s">
        <v>1172</v>
      </c>
      <c r="L88" s="195"/>
      <c r="M88" s="195"/>
      <c r="N88" s="195"/>
    </row>
    <row r="89" spans="1:14" x14ac:dyDescent="0.25">
      <c r="A89" s="290" t="s">
        <v>1171</v>
      </c>
      <c r="B89" s="704" t="s">
        <v>206</v>
      </c>
      <c r="C89" s="269">
        <v>42814</v>
      </c>
      <c r="D89" s="270">
        <f t="shared" si="2"/>
        <v>4193</v>
      </c>
      <c r="E89" s="261">
        <v>2465.66</v>
      </c>
      <c r="F89" s="29">
        <v>66.5</v>
      </c>
      <c r="G89" s="39">
        <f t="shared" si="0"/>
        <v>163966.38999999998</v>
      </c>
      <c r="H89" s="31">
        <v>42814</v>
      </c>
      <c r="I89" s="182" t="s">
        <v>1172</v>
      </c>
      <c r="L89" s="195"/>
      <c r="M89" s="195"/>
      <c r="N89" s="195"/>
    </row>
    <row r="90" spans="1:14" x14ac:dyDescent="0.25">
      <c r="A90" s="290" t="s">
        <v>176</v>
      </c>
      <c r="B90" s="704"/>
      <c r="C90" s="269"/>
      <c r="D90" s="270">
        <f t="shared" si="2"/>
        <v>4194</v>
      </c>
      <c r="G90" s="39">
        <f t="shared" si="0"/>
        <v>0</v>
      </c>
      <c r="H90" s="31"/>
      <c r="I90" s="182"/>
      <c r="L90" s="195"/>
      <c r="M90" s="195"/>
      <c r="N90" s="195"/>
    </row>
    <row r="91" spans="1:14" x14ac:dyDescent="0.25">
      <c r="A91" s="290" t="s">
        <v>1182</v>
      </c>
      <c r="B91" s="704" t="s">
        <v>1281</v>
      </c>
      <c r="C91" s="269">
        <v>42814</v>
      </c>
      <c r="D91" s="270">
        <f t="shared" si="2"/>
        <v>4195</v>
      </c>
      <c r="E91" s="261">
        <v>66676</v>
      </c>
      <c r="F91" s="29">
        <v>1</v>
      </c>
      <c r="G91" s="39">
        <f t="shared" si="0"/>
        <v>66676</v>
      </c>
      <c r="H91" s="700">
        <v>42829</v>
      </c>
      <c r="I91" s="723" t="s">
        <v>1172</v>
      </c>
      <c r="L91" s="195"/>
      <c r="M91" s="195"/>
      <c r="N91" s="195"/>
    </row>
    <row r="92" spans="1:14" x14ac:dyDescent="0.25">
      <c r="A92" s="290" t="s">
        <v>1263</v>
      </c>
      <c r="B92" s="704" t="s">
        <v>1304</v>
      </c>
      <c r="C92" s="269">
        <v>42814</v>
      </c>
      <c r="D92" s="270">
        <f t="shared" si="2"/>
        <v>4196</v>
      </c>
      <c r="E92" s="261">
        <v>4080</v>
      </c>
      <c r="F92" s="29">
        <v>32</v>
      </c>
      <c r="G92" s="39">
        <f>F92*E92+1032*66</f>
        <v>198672</v>
      </c>
      <c r="H92" s="31">
        <v>42823</v>
      </c>
      <c r="I92" s="8" t="s">
        <v>1172</v>
      </c>
      <c r="L92" s="195"/>
      <c r="M92" s="195"/>
      <c r="N92" s="195"/>
    </row>
    <row r="93" spans="1:14" x14ac:dyDescent="0.25">
      <c r="A93" s="290" t="s">
        <v>1213</v>
      </c>
      <c r="B93" s="704" t="s">
        <v>206</v>
      </c>
      <c r="C93" s="269">
        <v>42815</v>
      </c>
      <c r="D93" s="270">
        <f t="shared" si="2"/>
        <v>4197</v>
      </c>
      <c r="E93" s="261">
        <v>576.79999999999995</v>
      </c>
      <c r="F93" s="29">
        <v>66</v>
      </c>
      <c r="G93" s="39">
        <f t="shared" si="0"/>
        <v>38068.799999999996</v>
      </c>
      <c r="H93" s="31">
        <v>42815</v>
      </c>
      <c r="I93" s="8" t="s">
        <v>1172</v>
      </c>
      <c r="L93" s="195"/>
      <c r="M93" s="195"/>
      <c r="N93" s="195"/>
    </row>
    <row r="94" spans="1:14" x14ac:dyDescent="0.25">
      <c r="A94" s="290" t="s">
        <v>223</v>
      </c>
      <c r="B94" s="704"/>
      <c r="C94" s="269"/>
      <c r="D94" s="270">
        <f t="shared" si="2"/>
        <v>4198</v>
      </c>
      <c r="G94" s="39">
        <f t="shared" si="0"/>
        <v>0</v>
      </c>
      <c r="H94" s="31"/>
      <c r="I94" s="182"/>
      <c r="L94" s="195"/>
      <c r="M94" s="195"/>
      <c r="N94" s="195"/>
    </row>
    <row r="95" spans="1:14" x14ac:dyDescent="0.25">
      <c r="A95" s="290" t="s">
        <v>1216</v>
      </c>
      <c r="B95" s="704" t="s">
        <v>1254</v>
      </c>
      <c r="C95" s="269">
        <v>42815</v>
      </c>
      <c r="D95" s="270">
        <f t="shared" si="2"/>
        <v>4199</v>
      </c>
      <c r="E95" s="261">
        <v>101.2</v>
      </c>
      <c r="F95" s="29">
        <v>60</v>
      </c>
      <c r="G95" s="39">
        <f>F95*E95+117.8*48+113.6*27</f>
        <v>14793.599999999999</v>
      </c>
      <c r="H95" s="700">
        <v>42832</v>
      </c>
      <c r="I95" s="723" t="s">
        <v>1172</v>
      </c>
      <c r="L95" s="195"/>
      <c r="M95" s="195"/>
      <c r="N95" s="195"/>
    </row>
    <row r="96" spans="1:14" x14ac:dyDescent="0.25">
      <c r="A96" s="290" t="s">
        <v>1171</v>
      </c>
      <c r="B96" s="704" t="s">
        <v>206</v>
      </c>
      <c r="C96" s="269">
        <v>42815</v>
      </c>
      <c r="D96" s="270">
        <f t="shared" si="2"/>
        <v>4200</v>
      </c>
      <c r="E96" s="261">
        <v>1222.9000000000001</v>
      </c>
      <c r="F96" s="29">
        <v>66.5</v>
      </c>
      <c r="G96" s="39">
        <f>F96*E96+124.6*64.5</f>
        <v>89359.55</v>
      </c>
      <c r="H96" s="31">
        <v>42816</v>
      </c>
      <c r="I96" s="182" t="s">
        <v>1172</v>
      </c>
      <c r="L96" s="195"/>
      <c r="M96" s="195"/>
      <c r="N96" s="195"/>
    </row>
    <row r="97" spans="1:14" ht="15.75" x14ac:dyDescent="0.25">
      <c r="A97" s="293" t="s">
        <v>1213</v>
      </c>
      <c r="B97" s="704" t="s">
        <v>274</v>
      </c>
      <c r="C97" s="294">
        <v>42816</v>
      </c>
      <c r="D97" s="270">
        <f t="shared" si="2"/>
        <v>4201</v>
      </c>
      <c r="E97" s="261">
        <v>542.5</v>
      </c>
      <c r="F97" s="29">
        <v>66</v>
      </c>
      <c r="G97" s="39">
        <f t="shared" si="0"/>
        <v>35805</v>
      </c>
      <c r="H97" s="31">
        <v>42817</v>
      </c>
      <c r="I97" s="182" t="s">
        <v>1172</v>
      </c>
      <c r="L97" s="195"/>
      <c r="M97" s="195"/>
      <c r="N97" s="195"/>
    </row>
    <row r="98" spans="1:14" ht="15.75" x14ac:dyDescent="0.25">
      <c r="A98" s="293" t="s">
        <v>1300</v>
      </c>
      <c r="B98" s="704" t="s">
        <v>1193</v>
      </c>
      <c r="C98" s="294">
        <v>42816</v>
      </c>
      <c r="D98" s="270">
        <f t="shared" si="2"/>
        <v>4202</v>
      </c>
      <c r="E98" s="261">
        <v>26.5</v>
      </c>
      <c r="F98" s="29">
        <v>20</v>
      </c>
      <c r="G98" s="39">
        <f t="shared" si="0"/>
        <v>530</v>
      </c>
      <c r="H98" s="31">
        <v>42817</v>
      </c>
      <c r="I98" s="182" t="s">
        <v>1172</v>
      </c>
      <c r="L98" s="195"/>
      <c r="M98" s="195"/>
      <c r="N98" s="195"/>
    </row>
    <row r="99" spans="1:14" ht="15.75" x14ac:dyDescent="0.25">
      <c r="A99" s="293" t="s">
        <v>1171</v>
      </c>
      <c r="B99" s="704" t="s">
        <v>206</v>
      </c>
      <c r="C99" s="294">
        <v>42816</v>
      </c>
      <c r="D99" s="270">
        <f t="shared" si="2"/>
        <v>4203</v>
      </c>
      <c r="E99" s="261">
        <v>1825.5</v>
      </c>
      <c r="F99" s="29">
        <v>66.5</v>
      </c>
      <c r="G99" s="39">
        <f t="shared" si="0"/>
        <v>121395.75</v>
      </c>
      <c r="H99" s="31">
        <v>42817</v>
      </c>
      <c r="I99" s="182" t="s">
        <v>1172</v>
      </c>
      <c r="L99" s="195"/>
      <c r="M99" s="195"/>
      <c r="N99" s="195"/>
    </row>
    <row r="100" spans="1:14" x14ac:dyDescent="0.25">
      <c r="A100" s="290" t="s">
        <v>1220</v>
      </c>
      <c r="B100" s="705" t="s">
        <v>1319</v>
      </c>
      <c r="C100" s="269">
        <v>42816</v>
      </c>
      <c r="D100" s="270">
        <f t="shared" si="2"/>
        <v>4204</v>
      </c>
      <c r="E100" s="261">
        <v>21832</v>
      </c>
      <c r="F100" s="29">
        <v>1</v>
      </c>
      <c r="G100" s="39">
        <f t="shared" si="0"/>
        <v>21832</v>
      </c>
      <c r="H100" s="31">
        <v>42833</v>
      </c>
      <c r="I100" s="182" t="s">
        <v>1172</v>
      </c>
      <c r="J100" s="715" t="s">
        <v>1320</v>
      </c>
      <c r="L100" s="195"/>
      <c r="M100" s="195"/>
      <c r="N100" s="195"/>
    </row>
    <row r="101" spans="1:14" x14ac:dyDescent="0.25">
      <c r="A101" s="290" t="s">
        <v>1179</v>
      </c>
      <c r="B101" s="705" t="s">
        <v>206</v>
      </c>
      <c r="C101" s="269">
        <v>42816</v>
      </c>
      <c r="D101" s="270">
        <f t="shared" si="2"/>
        <v>4205</v>
      </c>
      <c r="E101" s="261">
        <v>569</v>
      </c>
      <c r="F101" s="29">
        <v>66</v>
      </c>
      <c r="G101" s="39">
        <f t="shared" si="0"/>
        <v>37554</v>
      </c>
      <c r="H101" s="31">
        <v>42822</v>
      </c>
      <c r="I101" s="182" t="s">
        <v>1172</v>
      </c>
      <c r="L101" s="195"/>
      <c r="M101" s="195"/>
      <c r="N101" s="195"/>
    </row>
    <row r="102" spans="1:14" x14ac:dyDescent="0.25">
      <c r="A102" s="290" t="s">
        <v>1221</v>
      </c>
      <c r="B102" s="705" t="s">
        <v>248</v>
      </c>
      <c r="C102" s="269">
        <v>42817</v>
      </c>
      <c r="D102" s="270">
        <f t="shared" si="2"/>
        <v>4206</v>
      </c>
      <c r="E102" s="261">
        <v>300</v>
      </c>
      <c r="F102" s="29">
        <v>33</v>
      </c>
      <c r="G102" s="39">
        <f t="shared" si="0"/>
        <v>9900</v>
      </c>
      <c r="H102" s="31">
        <v>42817</v>
      </c>
      <c r="I102" s="182" t="s">
        <v>1172</v>
      </c>
      <c r="L102" s="195"/>
      <c r="M102" s="195"/>
      <c r="N102" s="195"/>
    </row>
    <row r="103" spans="1:14" x14ac:dyDescent="0.25">
      <c r="A103" s="290" t="s">
        <v>1298</v>
      </c>
      <c r="B103" s="704" t="s">
        <v>1299</v>
      </c>
      <c r="C103" s="269">
        <v>42817</v>
      </c>
      <c r="D103" s="270">
        <f t="shared" si="2"/>
        <v>4207</v>
      </c>
      <c r="E103" s="261">
        <v>14.4</v>
      </c>
      <c r="F103" s="29">
        <v>49</v>
      </c>
      <c r="G103" s="39">
        <f t="shared" si="0"/>
        <v>705.6</v>
      </c>
      <c r="H103" s="31">
        <v>42817</v>
      </c>
      <c r="I103" s="182" t="s">
        <v>1172</v>
      </c>
      <c r="L103" s="195"/>
      <c r="M103" s="195"/>
      <c r="N103" s="195"/>
    </row>
    <row r="104" spans="1:14" x14ac:dyDescent="0.25">
      <c r="A104" s="290" t="s">
        <v>1213</v>
      </c>
      <c r="B104" s="704" t="s">
        <v>206</v>
      </c>
      <c r="C104" s="269">
        <v>42818</v>
      </c>
      <c r="D104" s="270">
        <f t="shared" si="2"/>
        <v>4208</v>
      </c>
      <c r="E104" s="261">
        <v>326.5</v>
      </c>
      <c r="F104" s="29">
        <v>66</v>
      </c>
      <c r="G104" s="39">
        <f t="shared" si="0"/>
        <v>21549</v>
      </c>
      <c r="H104" s="31">
        <v>42818</v>
      </c>
      <c r="I104" s="182" t="s">
        <v>1172</v>
      </c>
      <c r="L104" s="195"/>
      <c r="M104" s="195"/>
      <c r="N104" s="195"/>
    </row>
    <row r="105" spans="1:14" x14ac:dyDescent="0.25">
      <c r="A105" s="290" t="s">
        <v>237</v>
      </c>
      <c r="B105" s="704" t="s">
        <v>206</v>
      </c>
      <c r="C105" s="269">
        <v>42818</v>
      </c>
      <c r="D105" s="270">
        <f t="shared" si="2"/>
        <v>4209</v>
      </c>
      <c r="E105" s="261">
        <v>951</v>
      </c>
      <c r="F105" s="29">
        <v>66</v>
      </c>
      <c r="G105" s="39">
        <f t="shared" si="0"/>
        <v>62766</v>
      </c>
      <c r="H105" s="31">
        <v>42819</v>
      </c>
      <c r="I105" s="182" t="s">
        <v>1172</v>
      </c>
      <c r="L105" s="195"/>
      <c r="M105" s="195"/>
      <c r="N105" s="195"/>
    </row>
    <row r="106" spans="1:14" x14ac:dyDescent="0.25">
      <c r="A106" s="290" t="s">
        <v>1220</v>
      </c>
      <c r="B106" s="704" t="s">
        <v>1281</v>
      </c>
      <c r="C106" s="269">
        <v>42818</v>
      </c>
      <c r="D106" s="270">
        <f t="shared" si="2"/>
        <v>4210</v>
      </c>
      <c r="E106" s="261">
        <v>22559</v>
      </c>
      <c r="F106" s="29">
        <v>1</v>
      </c>
      <c r="G106" s="39">
        <f t="shared" si="0"/>
        <v>22559</v>
      </c>
      <c r="H106" s="31">
        <v>42818</v>
      </c>
      <c r="I106" s="182" t="s">
        <v>1172</v>
      </c>
      <c r="L106" s="195"/>
      <c r="M106" s="195"/>
      <c r="N106" s="195"/>
    </row>
    <row r="107" spans="1:14" ht="30" x14ac:dyDescent="0.25">
      <c r="A107" s="290" t="s">
        <v>1171</v>
      </c>
      <c r="B107" s="704" t="s">
        <v>206</v>
      </c>
      <c r="C107" s="269">
        <v>42818</v>
      </c>
      <c r="D107" s="270">
        <f t="shared" si="2"/>
        <v>4211</v>
      </c>
      <c r="E107" s="261">
        <v>2113.9</v>
      </c>
      <c r="F107" s="29">
        <v>66.5</v>
      </c>
      <c r="G107" s="717">
        <f t="shared" si="0"/>
        <v>140574.35</v>
      </c>
      <c r="H107" s="718" t="s">
        <v>1301</v>
      </c>
      <c r="I107" s="182" t="s">
        <v>1172</v>
      </c>
      <c r="J107" s="716">
        <f>74860+65714.35</f>
        <v>140574.35</v>
      </c>
      <c r="L107" s="195"/>
      <c r="M107" s="195"/>
      <c r="N107" s="195"/>
    </row>
    <row r="108" spans="1:14" x14ac:dyDescent="0.25">
      <c r="A108" s="290" t="s">
        <v>1220</v>
      </c>
      <c r="B108" s="704" t="s">
        <v>1287</v>
      </c>
      <c r="C108" s="269">
        <v>42818</v>
      </c>
      <c r="D108" s="270">
        <f t="shared" si="2"/>
        <v>4212</v>
      </c>
      <c r="E108" s="261">
        <v>80</v>
      </c>
      <c r="F108" s="29">
        <v>38</v>
      </c>
      <c r="G108" s="39">
        <f t="shared" si="0"/>
        <v>3040</v>
      </c>
      <c r="H108" s="700">
        <v>42833</v>
      </c>
      <c r="I108" s="723" t="s">
        <v>1172</v>
      </c>
      <c r="J108" s="715" t="s">
        <v>1321</v>
      </c>
      <c r="L108" s="195"/>
      <c r="M108" s="195"/>
      <c r="N108" s="195"/>
    </row>
    <row r="109" spans="1:14" ht="17.25" customHeight="1" x14ac:dyDescent="0.25">
      <c r="A109" s="290" t="s">
        <v>1213</v>
      </c>
      <c r="B109" s="714" t="s">
        <v>206</v>
      </c>
      <c r="C109" s="269">
        <v>42818</v>
      </c>
      <c r="D109" s="270">
        <f t="shared" si="2"/>
        <v>4213</v>
      </c>
      <c r="E109" s="296">
        <v>546.5</v>
      </c>
      <c r="F109" s="297">
        <v>66</v>
      </c>
      <c r="G109" s="39">
        <f t="shared" si="0"/>
        <v>36069</v>
      </c>
      <c r="H109" s="298">
        <v>42821</v>
      </c>
      <c r="I109" s="299" t="s">
        <v>1172</v>
      </c>
      <c r="J109" s="719"/>
      <c r="K109" s="208"/>
      <c r="L109" s="301"/>
      <c r="M109" s="301"/>
      <c r="N109" s="301"/>
    </row>
    <row r="110" spans="1:14" x14ac:dyDescent="0.25">
      <c r="A110" s="290" t="s">
        <v>1206</v>
      </c>
      <c r="B110" s="704" t="s">
        <v>1207</v>
      </c>
      <c r="C110" s="269">
        <v>42819</v>
      </c>
      <c r="D110" s="270">
        <f t="shared" si="2"/>
        <v>4214</v>
      </c>
      <c r="E110" s="261">
        <v>201.2</v>
      </c>
      <c r="F110" s="29">
        <v>72</v>
      </c>
      <c r="G110" s="39">
        <f t="shared" si="0"/>
        <v>14486.4</v>
      </c>
      <c r="H110" s="31">
        <v>42819</v>
      </c>
      <c r="I110" s="8" t="s">
        <v>1172</v>
      </c>
      <c r="K110" s="302"/>
      <c r="L110" s="302"/>
      <c r="M110" s="302"/>
      <c r="N110" s="302"/>
    </row>
    <row r="111" spans="1:14" x14ac:dyDescent="0.25">
      <c r="A111" s="290" t="s">
        <v>1182</v>
      </c>
      <c r="B111" s="704" t="s">
        <v>1281</v>
      </c>
      <c r="C111" s="269">
        <v>42816</v>
      </c>
      <c r="D111" s="270">
        <f t="shared" si="2"/>
        <v>4215</v>
      </c>
      <c r="E111" s="261">
        <v>40331.599999999999</v>
      </c>
      <c r="F111" s="29">
        <v>1</v>
      </c>
      <c r="G111" s="39">
        <f t="shared" si="0"/>
        <v>40331.599999999999</v>
      </c>
      <c r="H111" s="700">
        <v>42832</v>
      </c>
      <c r="I111" s="701" t="s">
        <v>1172</v>
      </c>
      <c r="K111" s="302"/>
      <c r="L111" s="302"/>
      <c r="M111" s="302"/>
      <c r="N111" s="302"/>
    </row>
    <row r="112" spans="1:14" x14ac:dyDescent="0.25">
      <c r="A112" s="290" t="s">
        <v>1213</v>
      </c>
      <c r="B112" s="706" t="s">
        <v>206</v>
      </c>
      <c r="C112" s="269">
        <v>42820</v>
      </c>
      <c r="D112" s="270">
        <f t="shared" si="2"/>
        <v>4216</v>
      </c>
      <c r="E112" s="261">
        <v>468.7</v>
      </c>
      <c r="F112" s="29">
        <v>66</v>
      </c>
      <c r="G112" s="39">
        <f t="shared" si="0"/>
        <v>30934.2</v>
      </c>
      <c r="H112" s="31">
        <v>42822</v>
      </c>
      <c r="I112" s="8" t="s">
        <v>1172</v>
      </c>
      <c r="L112" s="195"/>
      <c r="M112" s="195"/>
      <c r="N112" s="195"/>
    </row>
    <row r="113" spans="1:14" x14ac:dyDescent="0.25">
      <c r="A113" s="290" t="s">
        <v>1171</v>
      </c>
      <c r="B113" s="706" t="s">
        <v>206</v>
      </c>
      <c r="C113" s="269">
        <v>42821</v>
      </c>
      <c r="D113" s="270">
        <f t="shared" si="2"/>
        <v>4217</v>
      </c>
      <c r="E113" s="261">
        <v>1567.6</v>
      </c>
      <c r="F113" s="29">
        <v>66.5</v>
      </c>
      <c r="G113" s="39">
        <f t="shared" si="0"/>
        <v>104245.4</v>
      </c>
      <c r="H113" s="718" t="s">
        <v>15</v>
      </c>
      <c r="I113" s="8" t="s">
        <v>1172</v>
      </c>
      <c r="J113" s="715">
        <f>91470+12775.4</f>
        <v>104245.4</v>
      </c>
      <c r="L113" s="195"/>
      <c r="M113" s="195"/>
      <c r="N113" s="195"/>
    </row>
    <row r="114" spans="1:14" x14ac:dyDescent="0.25">
      <c r="A114" s="290" t="s">
        <v>1213</v>
      </c>
      <c r="B114" s="704" t="s">
        <v>206</v>
      </c>
      <c r="C114" s="269">
        <v>42821</v>
      </c>
      <c r="D114" s="270">
        <f t="shared" si="2"/>
        <v>4218</v>
      </c>
      <c r="E114" s="261">
        <v>395.3</v>
      </c>
      <c r="F114" s="29">
        <v>66</v>
      </c>
      <c r="G114" s="39">
        <f t="shared" si="0"/>
        <v>26089.8</v>
      </c>
      <c r="H114" s="31">
        <v>42823</v>
      </c>
      <c r="I114" s="8" t="s">
        <v>1172</v>
      </c>
      <c r="L114" s="195"/>
      <c r="M114" s="195"/>
      <c r="N114" s="195"/>
    </row>
    <row r="115" spans="1:14" x14ac:dyDescent="0.25">
      <c r="A115" s="290" t="s">
        <v>1220</v>
      </c>
      <c r="B115" s="704" t="s">
        <v>1317</v>
      </c>
      <c r="C115" s="269">
        <v>42821</v>
      </c>
      <c r="D115" s="270">
        <f t="shared" si="2"/>
        <v>4219</v>
      </c>
      <c r="E115" s="261">
        <v>200</v>
      </c>
      <c r="F115" s="29">
        <v>16</v>
      </c>
      <c r="G115" s="39">
        <f>F115*E115+137.4*14</f>
        <v>5123.6000000000004</v>
      </c>
      <c r="H115" s="700">
        <v>42833</v>
      </c>
      <c r="I115" s="701" t="s">
        <v>1172</v>
      </c>
      <c r="J115" s="715" t="s">
        <v>1318</v>
      </c>
      <c r="L115" s="195"/>
      <c r="M115" s="195"/>
      <c r="N115" s="195"/>
    </row>
    <row r="116" spans="1:14" x14ac:dyDescent="0.25">
      <c r="A116" s="291" t="s">
        <v>1213</v>
      </c>
      <c r="B116" s="704" t="s">
        <v>206</v>
      </c>
      <c r="C116" s="292">
        <v>42822</v>
      </c>
      <c r="D116" s="270">
        <f t="shared" si="2"/>
        <v>4220</v>
      </c>
      <c r="E116" s="261">
        <v>321.60000000000002</v>
      </c>
      <c r="F116" s="29">
        <v>66</v>
      </c>
      <c r="G116" s="39">
        <f t="shared" si="0"/>
        <v>21225.600000000002</v>
      </c>
      <c r="H116" s="31">
        <v>42824</v>
      </c>
      <c r="I116" s="8" t="s">
        <v>1172</v>
      </c>
      <c r="L116" s="195"/>
      <c r="M116" s="195"/>
      <c r="N116" s="195"/>
    </row>
    <row r="117" spans="1:14" x14ac:dyDescent="0.25">
      <c r="A117" s="290" t="s">
        <v>1221</v>
      </c>
      <c r="B117" s="704" t="s">
        <v>248</v>
      </c>
      <c r="C117" s="269">
        <v>42822</v>
      </c>
      <c r="D117" s="270">
        <f t="shared" si="2"/>
        <v>4221</v>
      </c>
      <c r="E117" s="261">
        <v>300</v>
      </c>
      <c r="F117" s="29">
        <v>33</v>
      </c>
      <c r="G117" s="39">
        <f t="shared" si="0"/>
        <v>9900</v>
      </c>
      <c r="H117" s="31">
        <v>42822</v>
      </c>
      <c r="I117" s="8" t="s">
        <v>1172</v>
      </c>
      <c r="L117" s="195"/>
      <c r="M117" s="195"/>
      <c r="N117" s="195"/>
    </row>
    <row r="118" spans="1:14" x14ac:dyDescent="0.25">
      <c r="A118" s="290" t="s">
        <v>176</v>
      </c>
      <c r="B118" s="704"/>
      <c r="C118" s="269"/>
      <c r="D118" s="270">
        <f t="shared" si="2"/>
        <v>4222</v>
      </c>
      <c r="G118" s="39">
        <f t="shared" si="0"/>
        <v>0</v>
      </c>
      <c r="H118" s="31"/>
      <c r="L118" s="195"/>
      <c r="M118" s="195"/>
      <c r="N118" s="195"/>
    </row>
    <row r="119" spans="1:14" ht="30" x14ac:dyDescent="0.25">
      <c r="A119" s="290" t="s">
        <v>1171</v>
      </c>
      <c r="B119" s="704" t="s">
        <v>206</v>
      </c>
      <c r="C119" s="269">
        <v>42822</v>
      </c>
      <c r="D119" s="270">
        <f t="shared" si="2"/>
        <v>4223</v>
      </c>
      <c r="E119" s="261">
        <v>2005.7</v>
      </c>
      <c r="F119" s="29">
        <v>66.5</v>
      </c>
      <c r="G119" s="717">
        <f t="shared" si="0"/>
        <v>133379.05000000002</v>
      </c>
      <c r="H119" s="718" t="s">
        <v>1306</v>
      </c>
      <c r="I119" s="8" t="s">
        <v>1172</v>
      </c>
      <c r="J119" s="715">
        <f>118394.5+14984.5</f>
        <v>133379</v>
      </c>
      <c r="L119" s="195"/>
      <c r="M119" s="195"/>
      <c r="N119" s="195"/>
    </row>
    <row r="120" spans="1:14" x14ac:dyDescent="0.25">
      <c r="A120" s="291" t="s">
        <v>1216</v>
      </c>
      <c r="B120" s="704" t="s">
        <v>1254</v>
      </c>
      <c r="C120" s="292">
        <v>42822</v>
      </c>
      <c r="D120" s="270">
        <f t="shared" si="2"/>
        <v>4224</v>
      </c>
      <c r="E120" s="261">
        <v>378</v>
      </c>
      <c r="F120" s="29">
        <v>48</v>
      </c>
      <c r="G120" s="39">
        <f>F120*E120+179.5*27</f>
        <v>22990.5</v>
      </c>
      <c r="H120" s="700">
        <v>42832</v>
      </c>
      <c r="I120" s="701" t="s">
        <v>1172</v>
      </c>
      <c r="L120" s="195"/>
      <c r="M120" s="195"/>
      <c r="N120" s="195"/>
    </row>
    <row r="121" spans="1:14" x14ac:dyDescent="0.25">
      <c r="A121" s="290" t="s">
        <v>1180</v>
      </c>
      <c r="B121" s="704" t="s">
        <v>1303</v>
      </c>
      <c r="C121" s="269">
        <v>42823</v>
      </c>
      <c r="D121" s="270">
        <f t="shared" si="2"/>
        <v>4225</v>
      </c>
      <c r="E121" s="261">
        <v>356.4</v>
      </c>
      <c r="F121" s="29">
        <v>35</v>
      </c>
      <c r="G121" s="39">
        <f t="shared" si="0"/>
        <v>12474</v>
      </c>
      <c r="H121" s="31">
        <v>42823</v>
      </c>
      <c r="I121" s="8" t="s">
        <v>1172</v>
      </c>
      <c r="L121" s="195"/>
      <c r="M121" s="195"/>
      <c r="N121" s="195"/>
    </row>
    <row r="122" spans="1:14" x14ac:dyDescent="0.25">
      <c r="A122" s="290" t="s">
        <v>1302</v>
      </c>
      <c r="B122" s="705" t="s">
        <v>1270</v>
      </c>
      <c r="C122" s="269">
        <v>42823</v>
      </c>
      <c r="D122" s="270">
        <f t="shared" si="2"/>
        <v>4226</v>
      </c>
      <c r="E122" s="261">
        <v>1.8</v>
      </c>
      <c r="F122" s="29">
        <v>74</v>
      </c>
      <c r="G122" s="39">
        <f t="shared" si="0"/>
        <v>133.20000000000002</v>
      </c>
      <c r="H122" s="31">
        <v>42823</v>
      </c>
      <c r="I122" s="8" t="s">
        <v>1172</v>
      </c>
      <c r="L122" s="195"/>
      <c r="M122" s="195"/>
      <c r="N122" s="195"/>
    </row>
    <row r="123" spans="1:14" x14ac:dyDescent="0.25">
      <c r="A123" s="290" t="s">
        <v>1246</v>
      </c>
      <c r="B123" s="705" t="s">
        <v>1307</v>
      </c>
      <c r="C123" s="269">
        <v>42823</v>
      </c>
      <c r="D123" s="270">
        <f t="shared" si="2"/>
        <v>4227</v>
      </c>
      <c r="E123" s="261">
        <v>300.39999999999998</v>
      </c>
      <c r="F123" s="29">
        <v>52</v>
      </c>
      <c r="G123" s="39">
        <f t="shared" si="0"/>
        <v>15620.8</v>
      </c>
      <c r="H123" s="700">
        <v>42826</v>
      </c>
      <c r="I123" s="701" t="s">
        <v>1172</v>
      </c>
      <c r="L123" s="195"/>
      <c r="M123" s="195"/>
      <c r="N123" s="195"/>
    </row>
    <row r="124" spans="1:14" x14ac:dyDescent="0.25">
      <c r="A124" s="290" t="s">
        <v>1171</v>
      </c>
      <c r="B124" s="704" t="s">
        <v>206</v>
      </c>
      <c r="C124" s="269">
        <v>42823</v>
      </c>
      <c r="D124" s="270">
        <f t="shared" si="2"/>
        <v>4228</v>
      </c>
      <c r="E124" s="261">
        <v>1283.5999999999999</v>
      </c>
      <c r="F124" s="29">
        <v>66.5</v>
      </c>
      <c r="G124" s="39">
        <f t="shared" si="0"/>
        <v>85359.4</v>
      </c>
      <c r="H124" s="31">
        <v>42825</v>
      </c>
      <c r="I124" s="8" t="s">
        <v>1172</v>
      </c>
      <c r="L124" s="195"/>
      <c r="M124" s="195"/>
      <c r="N124" s="195"/>
    </row>
    <row r="125" spans="1:14" x14ac:dyDescent="0.25">
      <c r="A125" s="290" t="s">
        <v>1179</v>
      </c>
      <c r="B125" s="704" t="s">
        <v>206</v>
      </c>
      <c r="C125" s="269">
        <v>42823</v>
      </c>
      <c r="D125" s="270">
        <f t="shared" si="2"/>
        <v>4229</v>
      </c>
      <c r="E125" s="261">
        <v>552</v>
      </c>
      <c r="F125" s="29">
        <v>66</v>
      </c>
      <c r="G125" s="39">
        <f t="shared" si="0"/>
        <v>36432</v>
      </c>
      <c r="H125" s="700">
        <v>42833</v>
      </c>
      <c r="I125" s="701" t="s">
        <v>1172</v>
      </c>
      <c r="L125" s="195"/>
      <c r="M125" s="195"/>
      <c r="N125" s="195"/>
    </row>
    <row r="126" spans="1:14" x14ac:dyDescent="0.25">
      <c r="A126" s="290" t="s">
        <v>176</v>
      </c>
      <c r="B126" s="704"/>
      <c r="C126" s="269"/>
      <c r="D126" s="270">
        <f t="shared" si="2"/>
        <v>4230</v>
      </c>
      <c r="G126" s="39">
        <f t="shared" si="0"/>
        <v>0</v>
      </c>
      <c r="H126" s="31"/>
      <c r="L126" s="195"/>
      <c r="M126" s="195"/>
      <c r="N126" s="195"/>
    </row>
    <row r="127" spans="1:14" x14ac:dyDescent="0.25">
      <c r="A127" s="290" t="s">
        <v>1305</v>
      </c>
      <c r="B127" s="704" t="s">
        <v>1258</v>
      </c>
      <c r="C127" s="269">
        <v>42824</v>
      </c>
      <c r="D127" s="270">
        <f t="shared" si="2"/>
        <v>4231</v>
      </c>
      <c r="E127" s="261">
        <v>9.6999999999999993</v>
      </c>
      <c r="F127" s="29">
        <v>27</v>
      </c>
      <c r="G127" s="39">
        <f t="shared" si="0"/>
        <v>261.89999999999998</v>
      </c>
      <c r="H127" s="31">
        <v>42824</v>
      </c>
      <c r="I127" s="8" t="s">
        <v>1172</v>
      </c>
      <c r="L127" s="195"/>
      <c r="M127" s="195"/>
      <c r="N127" s="195"/>
    </row>
    <row r="128" spans="1:14" ht="15.75" x14ac:dyDescent="0.25">
      <c r="A128" s="290" t="s">
        <v>1171</v>
      </c>
      <c r="B128" s="704" t="s">
        <v>206</v>
      </c>
      <c r="C128" s="269">
        <v>42824</v>
      </c>
      <c r="D128" s="270">
        <f t="shared" si="2"/>
        <v>4232</v>
      </c>
      <c r="E128" s="261">
        <v>1304.7</v>
      </c>
      <c r="F128" s="29">
        <v>66.5</v>
      </c>
      <c r="G128" s="39">
        <f t="shared" si="0"/>
        <v>86762.55</v>
      </c>
      <c r="H128" s="700" t="s">
        <v>1309</v>
      </c>
      <c r="I128" s="701" t="s">
        <v>1172</v>
      </c>
      <c r="J128" s="716">
        <f>66763+19999.55</f>
        <v>86762.55</v>
      </c>
      <c r="L128" s="195"/>
      <c r="M128" s="195"/>
      <c r="N128" s="195"/>
    </row>
    <row r="129" spans="1:14" x14ac:dyDescent="0.25">
      <c r="A129" s="290" t="s">
        <v>1182</v>
      </c>
      <c r="B129" s="704" t="s">
        <v>1281</v>
      </c>
      <c r="C129" s="269">
        <v>42824</v>
      </c>
      <c r="D129" s="270">
        <f t="shared" si="2"/>
        <v>4233</v>
      </c>
      <c r="E129" s="261">
        <v>79336.399999999994</v>
      </c>
      <c r="F129" s="29">
        <v>1</v>
      </c>
      <c r="G129" s="39">
        <f t="shared" si="0"/>
        <v>79336.399999999994</v>
      </c>
      <c r="H129" s="700">
        <v>42829</v>
      </c>
      <c r="I129" s="701" t="s">
        <v>1172</v>
      </c>
      <c r="J129" s="715" t="s">
        <v>1312</v>
      </c>
      <c r="L129" s="195"/>
      <c r="M129" s="195"/>
      <c r="N129" s="195"/>
    </row>
    <row r="130" spans="1:14" x14ac:dyDescent="0.25">
      <c r="A130" s="290" t="s">
        <v>1216</v>
      </c>
      <c r="B130" s="704" t="s">
        <v>1254</v>
      </c>
      <c r="C130" s="269">
        <v>42825</v>
      </c>
      <c r="D130" s="270">
        <f t="shared" si="2"/>
        <v>4234</v>
      </c>
      <c r="E130" s="261">
        <v>70</v>
      </c>
      <c r="F130" s="29">
        <v>58</v>
      </c>
      <c r="G130" s="39">
        <f>F130*E130+116.4*27</f>
        <v>7202.8</v>
      </c>
      <c r="H130" s="700">
        <v>42832</v>
      </c>
      <c r="I130" s="701" t="s">
        <v>1172</v>
      </c>
      <c r="L130" s="195"/>
      <c r="M130" s="195"/>
      <c r="N130" s="195"/>
    </row>
    <row r="131" spans="1:14" x14ac:dyDescent="0.25">
      <c r="A131" s="290" t="s">
        <v>237</v>
      </c>
      <c r="B131" s="704" t="s">
        <v>206</v>
      </c>
      <c r="C131" s="269">
        <v>42825</v>
      </c>
      <c r="D131" s="270">
        <f t="shared" si="2"/>
        <v>4235</v>
      </c>
      <c r="E131" s="261">
        <v>597.6</v>
      </c>
      <c r="F131" s="29">
        <v>66</v>
      </c>
      <c r="G131" s="39">
        <f t="shared" si="0"/>
        <v>39441.599999999999</v>
      </c>
      <c r="H131" s="700">
        <v>42826</v>
      </c>
      <c r="I131" s="701" t="s">
        <v>1172</v>
      </c>
      <c r="L131" s="195"/>
      <c r="M131" s="195"/>
      <c r="N131" s="195"/>
    </row>
    <row r="132" spans="1:14" ht="15.75" x14ac:dyDescent="0.25">
      <c r="A132" s="290" t="s">
        <v>1171</v>
      </c>
      <c r="B132" s="704" t="s">
        <v>206</v>
      </c>
      <c r="C132" s="269">
        <v>42825</v>
      </c>
      <c r="D132" s="270">
        <f t="shared" si="2"/>
        <v>4236</v>
      </c>
      <c r="E132" s="261">
        <v>1148.4000000000001</v>
      </c>
      <c r="F132" s="29">
        <v>66.5</v>
      </c>
      <c r="G132" s="39">
        <f t="shared" ref="G132:G133" si="3">F132*E132</f>
        <v>76368.600000000006</v>
      </c>
      <c r="H132" s="700" t="s">
        <v>1310</v>
      </c>
      <c r="I132" s="701" t="s">
        <v>1172</v>
      </c>
      <c r="J132" s="716">
        <f>36368.6+40000</f>
        <v>76368.600000000006</v>
      </c>
      <c r="L132" s="195"/>
      <c r="M132" s="195"/>
      <c r="N132" s="195"/>
    </row>
    <row r="133" spans="1:14" x14ac:dyDescent="0.25">
      <c r="A133" s="290" t="s">
        <v>176</v>
      </c>
      <c r="B133" s="704"/>
      <c r="C133" s="269"/>
      <c r="D133" s="270"/>
      <c r="G133" s="39">
        <f t="shared" si="3"/>
        <v>0</v>
      </c>
      <c r="H133" s="31"/>
      <c r="L133" s="195"/>
      <c r="M133" s="195"/>
      <c r="N133" s="195"/>
    </row>
    <row r="134" spans="1:14" x14ac:dyDescent="0.25">
      <c r="A134" s="288"/>
      <c r="B134" s="707"/>
      <c r="C134" s="309"/>
      <c r="D134" s="270"/>
      <c r="G134" s="39">
        <f t="shared" ref="G134:G135" si="4">F134*E134</f>
        <v>0</v>
      </c>
      <c r="H134" s="31"/>
      <c r="L134" s="195"/>
      <c r="M134" s="195"/>
      <c r="N134" s="195"/>
    </row>
    <row r="135" spans="1:14" ht="15.75" thickBot="1" x14ac:dyDescent="0.3">
      <c r="A135" s="288"/>
      <c r="B135" s="707"/>
      <c r="C135" s="309"/>
      <c r="D135" s="310"/>
      <c r="E135" s="311"/>
      <c r="G135" s="39">
        <f t="shared" si="4"/>
        <v>0</v>
      </c>
      <c r="H135" s="312"/>
      <c r="L135" s="195"/>
      <c r="M135" s="195"/>
      <c r="N135" s="195"/>
    </row>
    <row r="136" spans="1:14" ht="19.5" thickBot="1" x14ac:dyDescent="0.35">
      <c r="A136" s="313"/>
      <c r="B136" s="704"/>
      <c r="C136" s="31"/>
      <c r="D136" s="314"/>
      <c r="E136" s="891" t="s">
        <v>30</v>
      </c>
      <c r="F136" s="892"/>
      <c r="G136" s="214">
        <f>SUM(G65:G135)</f>
        <v>2536967.69</v>
      </c>
      <c r="H136" s="315"/>
    </row>
    <row r="137" spans="1:14" x14ac:dyDescent="0.25">
      <c r="A137" s="313"/>
      <c r="B137" s="704"/>
      <c r="C137" s="31"/>
      <c r="D137" s="314"/>
      <c r="E137" s="311"/>
      <c r="F137" s="316"/>
      <c r="G137" s="39"/>
      <c r="H137" s="315"/>
    </row>
    <row r="138" spans="1:14" x14ac:dyDescent="0.25">
      <c r="A138" s="313"/>
      <c r="B138" s="704"/>
      <c r="C138" s="31"/>
      <c r="D138" s="314"/>
      <c r="E138" s="311"/>
      <c r="F138" s="316"/>
      <c r="G138" s="39"/>
      <c r="H138" s="315"/>
    </row>
    <row r="139" spans="1:14" x14ac:dyDescent="0.25">
      <c r="A139" s="313"/>
      <c r="B139" s="704"/>
      <c r="C139" s="31"/>
      <c r="D139" s="314"/>
      <c r="E139" s="311"/>
      <c r="F139" s="316"/>
      <c r="G139" s="39"/>
      <c r="H139" s="315"/>
    </row>
    <row r="140" spans="1:14" ht="18.75" x14ac:dyDescent="0.25">
      <c r="A140" s="313"/>
      <c r="B140" s="704"/>
      <c r="C140" s="31"/>
      <c r="D140" s="317"/>
      <c r="E140" s="318"/>
      <c r="F140" s="319"/>
      <c r="G140" s="320"/>
      <c r="H140" s="315"/>
    </row>
    <row r="141" spans="1:14" ht="18.75" x14ac:dyDescent="0.25">
      <c r="A141" s="313"/>
      <c r="B141" s="704"/>
      <c r="C141" s="31"/>
      <c r="D141" s="317"/>
      <c r="E141" s="318"/>
      <c r="F141" s="319"/>
      <c r="G141" s="320"/>
      <c r="H141" s="315"/>
    </row>
    <row r="142" spans="1:14" x14ac:dyDescent="0.25">
      <c r="A142" s="313"/>
      <c r="B142" s="704"/>
      <c r="C142" s="31"/>
      <c r="D142" s="317"/>
      <c r="E142" s="321"/>
      <c r="F142" s="322"/>
      <c r="G142" s="323"/>
      <c r="H142" s="315"/>
      <c r="K142"/>
    </row>
    <row r="143" spans="1:14" x14ac:dyDescent="0.25">
      <c r="A143" s="313"/>
      <c r="B143" s="704"/>
      <c r="C143" s="31"/>
      <c r="D143" s="317"/>
      <c r="E143" s="321"/>
      <c r="F143" s="322"/>
      <c r="G143" s="323"/>
      <c r="H143" s="315"/>
      <c r="K143"/>
    </row>
    <row r="144" spans="1:14" x14ac:dyDescent="0.25">
      <c r="A144" s="313"/>
      <c r="B144" s="704"/>
      <c r="C144" s="31"/>
      <c r="D144" s="317"/>
      <c r="E144" s="321"/>
      <c r="F144" s="322"/>
      <c r="G144" s="323"/>
      <c r="H144" s="315"/>
      <c r="K144"/>
    </row>
    <row r="145" spans="1:11" x14ac:dyDescent="0.25">
      <c r="A145" s="313"/>
      <c r="B145" s="704"/>
      <c r="C145" s="31"/>
      <c r="D145" s="317"/>
      <c r="E145" s="321"/>
      <c r="F145" s="322"/>
      <c r="G145" s="323"/>
      <c r="H145" s="315"/>
      <c r="K145"/>
    </row>
    <row r="146" spans="1:11" x14ac:dyDescent="0.25">
      <c r="A146" s="313"/>
      <c r="B146" s="704"/>
      <c r="C146" s="31"/>
      <c r="D146" s="317"/>
      <c r="E146" s="321"/>
      <c r="F146" s="322"/>
      <c r="G146" s="323"/>
      <c r="H146" s="315"/>
      <c r="K146"/>
    </row>
    <row r="147" spans="1:11" x14ac:dyDescent="0.25">
      <c r="A147" s="313"/>
      <c r="B147" s="704"/>
      <c r="C147" s="31"/>
      <c r="D147" s="317"/>
      <c r="E147" s="321"/>
      <c r="F147" s="322"/>
      <c r="G147" s="323"/>
      <c r="H147" s="315"/>
      <c r="K147"/>
    </row>
    <row r="148" spans="1:11" x14ac:dyDescent="0.25">
      <c r="A148" s="313"/>
      <c r="B148" s="704"/>
      <c r="C148" s="31"/>
      <c r="D148" s="317"/>
      <c r="E148" s="321"/>
      <c r="F148" s="322"/>
      <c r="G148" s="323"/>
      <c r="H148" s="315"/>
      <c r="K148"/>
    </row>
    <row r="149" spans="1:11" x14ac:dyDescent="0.25">
      <c r="A149" s="313"/>
      <c r="B149" s="708"/>
      <c r="C149" s="31"/>
      <c r="D149" s="260"/>
      <c r="E149" s="325"/>
      <c r="F149" s="326"/>
      <c r="G149" s="39"/>
      <c r="H149" s="315"/>
      <c r="K149"/>
    </row>
    <row r="150" spans="1:11" x14ac:dyDescent="0.25">
      <c r="A150" s="313"/>
      <c r="B150" s="708"/>
      <c r="C150" s="31"/>
      <c r="D150" s="260"/>
      <c r="E150" s="325"/>
      <c r="F150" s="326"/>
      <c r="G150" s="39"/>
      <c r="H150" s="315"/>
      <c r="K150"/>
    </row>
    <row r="151" spans="1:11" x14ac:dyDescent="0.25">
      <c r="A151" s="313"/>
      <c r="B151" s="708"/>
      <c r="C151" s="31"/>
      <c r="D151" s="260"/>
      <c r="E151" s="325"/>
      <c r="F151" s="326"/>
      <c r="G151" s="39"/>
      <c r="H151" s="315"/>
      <c r="K151"/>
    </row>
    <row r="152" spans="1:11" x14ac:dyDescent="0.25">
      <c r="A152" s="313"/>
      <c r="B152" s="708"/>
      <c r="C152" s="31"/>
      <c r="D152" s="260"/>
      <c r="E152" s="325"/>
      <c r="F152" s="326"/>
      <c r="G152" s="39"/>
      <c r="H152" s="315"/>
      <c r="K152"/>
    </row>
    <row r="153" spans="1:11" x14ac:dyDescent="0.25">
      <c r="A153" s="313"/>
      <c r="B153" s="708"/>
      <c r="C153" s="31"/>
      <c r="D153" s="260"/>
      <c r="E153" s="325"/>
      <c r="F153" s="326"/>
      <c r="G153" s="39"/>
      <c r="H153" s="315"/>
      <c r="K153"/>
    </row>
    <row r="154" spans="1:11" x14ac:dyDescent="0.25">
      <c r="A154" s="313"/>
      <c r="B154" s="708"/>
      <c r="C154" s="31"/>
      <c r="D154" s="260"/>
      <c r="E154" s="325"/>
      <c r="F154" s="326"/>
      <c r="G154" s="39"/>
      <c r="H154" s="315"/>
      <c r="K154"/>
    </row>
    <row r="155" spans="1:11" x14ac:dyDescent="0.25">
      <c r="A155" s="313"/>
      <c r="B155" s="708"/>
      <c r="C155" s="31"/>
      <c r="D155" s="260"/>
      <c r="E155" s="325"/>
      <c r="F155" s="326"/>
      <c r="G155" s="39"/>
      <c r="H155" s="315"/>
      <c r="K155"/>
    </row>
    <row r="156" spans="1:11" x14ac:dyDescent="0.25">
      <c r="A156" s="313"/>
      <c r="B156" s="708"/>
      <c r="C156" s="31"/>
      <c r="D156" s="260"/>
      <c r="E156" s="325"/>
      <c r="F156" s="326"/>
      <c r="G156" s="39"/>
      <c r="H156" s="315"/>
      <c r="K156"/>
    </row>
    <row r="157" spans="1:11" x14ac:dyDescent="0.25">
      <c r="A157" s="313"/>
      <c r="B157" s="708"/>
      <c r="C157" s="31"/>
      <c r="D157" s="260"/>
      <c r="E157" s="325"/>
      <c r="F157" s="326"/>
      <c r="G157" s="39"/>
      <c r="H157" s="315"/>
      <c r="K157"/>
    </row>
    <row r="158" spans="1:11" x14ac:dyDescent="0.25">
      <c r="A158" s="313"/>
      <c r="B158" s="708"/>
      <c r="C158" s="31"/>
      <c r="D158" s="260"/>
      <c r="E158" s="325"/>
      <c r="F158" s="326"/>
      <c r="G158" s="39"/>
      <c r="H158" s="315"/>
      <c r="K158"/>
    </row>
    <row r="159" spans="1:11" x14ac:dyDescent="0.25">
      <c r="A159" s="313"/>
      <c r="B159" s="708"/>
      <c r="C159" s="31"/>
      <c r="D159" s="260"/>
      <c r="E159" s="327"/>
      <c r="F159" s="328"/>
      <c r="G159" s="39"/>
      <c r="H159" s="315"/>
      <c r="K159"/>
    </row>
    <row r="160" spans="1:11" x14ac:dyDescent="0.25">
      <c r="A160" s="183"/>
      <c r="B160" s="708"/>
      <c r="C160" s="329"/>
      <c r="D160" s="260"/>
      <c r="E160" s="327"/>
      <c r="F160" s="328"/>
      <c r="G160" s="39"/>
      <c r="H160" s="315"/>
      <c r="K160"/>
    </row>
    <row r="161" spans="1:11" x14ac:dyDescent="0.25">
      <c r="B161" s="708"/>
      <c r="C161" s="329"/>
      <c r="D161" s="260"/>
      <c r="E161" s="327"/>
      <c r="F161" s="328"/>
      <c r="G161" s="39"/>
      <c r="H161" s="315"/>
      <c r="K161"/>
    </row>
    <row r="162" spans="1:11" x14ac:dyDescent="0.25">
      <c r="B162" s="708"/>
      <c r="C162" s="329"/>
      <c r="D162" s="260"/>
      <c r="E162" s="327"/>
      <c r="F162" s="328"/>
      <c r="G162" s="39"/>
      <c r="H162" s="315"/>
      <c r="K162"/>
    </row>
    <row r="163" spans="1:11" x14ac:dyDescent="0.25">
      <c r="B163" s="708"/>
      <c r="C163" s="329"/>
      <c r="D163" s="260"/>
      <c r="E163" s="327"/>
      <c r="F163" s="328"/>
      <c r="G163" s="39"/>
      <c r="H163" s="315"/>
      <c r="K163"/>
    </row>
    <row r="164" spans="1:11" x14ac:dyDescent="0.25">
      <c r="B164" s="708"/>
      <c r="C164" s="329"/>
      <c r="D164" s="260"/>
      <c r="E164" s="327"/>
      <c r="F164" s="328"/>
      <c r="G164" s="39"/>
      <c r="H164" s="315"/>
      <c r="K164"/>
    </row>
    <row r="165" spans="1:11" x14ac:dyDescent="0.25">
      <c r="A165" s="290"/>
      <c r="B165" s="708"/>
      <c r="C165" s="329"/>
      <c r="D165" s="260"/>
      <c r="E165" s="327"/>
      <c r="F165" s="328"/>
      <c r="G165" s="27"/>
      <c r="H165" s="315"/>
      <c r="K165"/>
    </row>
    <row r="166" spans="1:11" x14ac:dyDescent="0.25">
      <c r="B166" s="708"/>
      <c r="C166" s="329"/>
      <c r="D166" s="260"/>
      <c r="E166" s="327"/>
      <c r="F166" s="328"/>
      <c r="G166" s="330"/>
      <c r="H166" s="315"/>
      <c r="K166"/>
    </row>
    <row r="167" spans="1:11" x14ac:dyDescent="0.25">
      <c r="B167" s="704"/>
      <c r="C167" s="329"/>
      <c r="D167" s="331"/>
      <c r="E167" s="311"/>
      <c r="F167" s="316"/>
      <c r="G167" s="330"/>
      <c r="H167" s="315"/>
      <c r="K167"/>
    </row>
    <row r="168" spans="1:11" x14ac:dyDescent="0.25">
      <c r="B168" s="704"/>
      <c r="C168" s="329"/>
      <c r="D168" s="331"/>
      <c r="E168" s="311"/>
      <c r="F168" s="316"/>
      <c r="G168" s="330"/>
      <c r="H168" s="315"/>
      <c r="K168"/>
    </row>
    <row r="169" spans="1:11" x14ac:dyDescent="0.25">
      <c r="B169" s="704"/>
      <c r="C169" s="329"/>
      <c r="D169" s="331"/>
      <c r="E169" s="311"/>
      <c r="F169" s="316"/>
      <c r="G169" s="330"/>
      <c r="H169" s="315"/>
      <c r="K169"/>
    </row>
    <row r="170" spans="1:11" x14ac:dyDescent="0.25">
      <c r="B170" s="704"/>
      <c r="C170" s="329"/>
      <c r="D170" s="331"/>
      <c r="E170" s="311"/>
      <c r="F170" s="316"/>
      <c r="G170" s="330"/>
      <c r="H170" s="315"/>
      <c r="K170"/>
    </row>
    <row r="171" spans="1:11" x14ac:dyDescent="0.25">
      <c r="B171" s="704"/>
      <c r="C171" s="329"/>
      <c r="D171" s="331"/>
      <c r="E171" s="311"/>
      <c r="F171" s="316"/>
      <c r="G171" s="330"/>
      <c r="H171" s="315"/>
      <c r="K171"/>
    </row>
    <row r="172" spans="1:11" x14ac:dyDescent="0.25">
      <c r="B172" s="704"/>
      <c r="C172" s="329"/>
      <c r="D172" s="331"/>
      <c r="E172" s="311"/>
      <c r="F172" s="316"/>
      <c r="G172" s="330"/>
      <c r="H172" s="315"/>
      <c r="K172"/>
    </row>
    <row r="173" spans="1:11" x14ac:dyDescent="0.25">
      <c r="B173" s="704"/>
      <c r="C173" s="329"/>
      <c r="D173" s="331"/>
      <c r="E173" s="311"/>
      <c r="F173" s="316"/>
      <c r="G173" s="330"/>
      <c r="H173" s="315"/>
      <c r="K173"/>
    </row>
  </sheetData>
  <mergeCells count="2">
    <mergeCell ref="A1:G1"/>
    <mergeCell ref="E136:F13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GZ107"/>
  <sheetViews>
    <sheetView topLeftCell="J1" workbookViewId="0">
      <pane xSplit="4" ySplit="1" topLeftCell="U5" activePane="bottomRight" state="frozen"/>
      <selection activeCell="J1" sqref="J1"/>
      <selection pane="topRight" activeCell="N1" sqref="N1"/>
      <selection pane="bottomLeft" activeCell="J2" sqref="J2"/>
      <selection pane="bottomRight" activeCell="U24" sqref="U2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196"/>
    <col min="208" max="208" width="11.42578125" style="219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278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386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387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48" t="s">
        <v>16</v>
      </c>
      <c r="L3" s="334" t="s">
        <v>17</v>
      </c>
      <c r="M3" s="335" t="s">
        <v>18</v>
      </c>
      <c r="N3" s="43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388"/>
      <c r="GZ3" s="55"/>
    </row>
    <row r="4" spans="1:208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250</v>
      </c>
      <c r="K4" s="407" t="s">
        <v>143</v>
      </c>
      <c r="L4" s="77">
        <v>240</v>
      </c>
      <c r="M4" s="71">
        <v>42827</v>
      </c>
      <c r="N4" s="56" t="s">
        <v>309</v>
      </c>
      <c r="O4" s="351">
        <v>240</v>
      </c>
      <c r="P4" s="60">
        <f t="shared" ref="P4:P67" si="0">O4-L4</f>
        <v>0</v>
      </c>
      <c r="Q4" s="333">
        <v>165</v>
      </c>
      <c r="R4" s="897" t="s">
        <v>349</v>
      </c>
      <c r="S4" s="898"/>
      <c r="T4" s="39">
        <f>Q4*O4</f>
        <v>39600</v>
      </c>
      <c r="U4" s="61" t="s">
        <v>72</v>
      </c>
      <c r="V4" s="62">
        <v>42849</v>
      </c>
      <c r="W4" s="63"/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257"/>
      <c r="GU4" s="226"/>
      <c r="GV4" s="258"/>
      <c r="GW4" s="31"/>
      <c r="GX4" s="31"/>
      <c r="GY4" s="387"/>
      <c r="GZ4" s="33"/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310</v>
      </c>
      <c r="K5" s="407" t="s">
        <v>46</v>
      </c>
      <c r="L5" s="77">
        <v>11430</v>
      </c>
      <c r="M5" s="71">
        <v>42828</v>
      </c>
      <c r="N5" s="380" t="s">
        <v>375</v>
      </c>
      <c r="O5" s="27">
        <v>10675</v>
      </c>
      <c r="P5" s="60">
        <f t="shared" si="0"/>
        <v>-755</v>
      </c>
      <c r="Q5" s="29">
        <v>23.5</v>
      </c>
      <c r="R5" s="57"/>
      <c r="S5" s="57"/>
      <c r="T5" s="39">
        <f>Q5*O5</f>
        <v>250862.5</v>
      </c>
      <c r="U5" s="485" t="s">
        <v>72</v>
      </c>
      <c r="V5" s="486">
        <v>42857</v>
      </c>
      <c r="W5" s="487">
        <v>7540</v>
      </c>
      <c r="X5" s="356"/>
      <c r="Y5" s="356"/>
      <c r="Z5" s="356"/>
      <c r="AA5" s="356"/>
      <c r="AB5" s="356"/>
      <c r="AC5" s="488"/>
      <c r="AD5" s="489"/>
      <c r="AE5" s="355"/>
      <c r="AF5" s="356"/>
      <c r="AG5" s="356"/>
      <c r="AH5" s="356"/>
      <c r="AI5" s="356"/>
      <c r="AJ5" s="356"/>
      <c r="AK5" s="356"/>
      <c r="AL5" s="488"/>
      <c r="AM5" s="489"/>
      <c r="AN5" s="355"/>
      <c r="AO5" s="356"/>
      <c r="AP5" s="356"/>
      <c r="AQ5" s="356"/>
      <c r="AR5" s="356"/>
      <c r="AS5" s="356"/>
      <c r="AT5" s="356"/>
      <c r="AU5" s="488"/>
      <c r="AV5" s="489"/>
      <c r="AW5" s="355"/>
      <c r="AX5" s="356"/>
      <c r="AY5" s="356"/>
      <c r="AZ5" s="356"/>
      <c r="BA5" s="356"/>
      <c r="BB5" s="356"/>
      <c r="BC5" s="356"/>
      <c r="BD5" s="488"/>
      <c r="BE5" s="489"/>
      <c r="BF5" s="355"/>
      <c r="BG5" s="356"/>
      <c r="BH5" s="356"/>
      <c r="BI5" s="356"/>
      <c r="BJ5" s="356"/>
      <c r="BK5" s="356"/>
      <c r="BL5" s="356"/>
      <c r="BM5" s="489"/>
      <c r="BN5" s="489"/>
      <c r="BO5" s="355"/>
      <c r="BP5" s="356"/>
      <c r="BQ5" s="356"/>
      <c r="BR5" s="356"/>
      <c r="BS5" s="356"/>
      <c r="BT5" s="356"/>
      <c r="BU5" s="356"/>
      <c r="BV5" s="489"/>
      <c r="BW5" s="489"/>
      <c r="BX5" s="355"/>
      <c r="BY5" s="356"/>
      <c r="BZ5" s="356"/>
      <c r="CA5" s="356"/>
      <c r="CB5" s="356"/>
      <c r="CC5" s="356"/>
      <c r="CD5" s="356"/>
      <c r="CE5" s="489"/>
      <c r="CF5" s="489"/>
      <c r="CG5" s="355"/>
      <c r="CH5" s="356"/>
      <c r="CI5" s="356"/>
      <c r="CJ5" s="356"/>
      <c r="CK5" s="356"/>
      <c r="CL5" s="356"/>
      <c r="CM5" s="356"/>
      <c r="CN5" s="488"/>
      <c r="CO5" s="489"/>
      <c r="CP5" s="355"/>
      <c r="CQ5" s="356"/>
      <c r="CR5" s="356"/>
      <c r="CS5" s="356"/>
      <c r="CT5" s="356"/>
      <c r="CU5" s="356"/>
      <c r="CV5" s="356"/>
      <c r="CW5" s="489"/>
      <c r="CX5" s="489"/>
      <c r="CY5" s="355"/>
      <c r="CZ5" s="356"/>
      <c r="DA5" s="356"/>
      <c r="DB5" s="356"/>
      <c r="DC5" s="356"/>
      <c r="DD5" s="356"/>
      <c r="DE5" s="356"/>
      <c r="DF5" s="489"/>
      <c r="DG5" s="489"/>
      <c r="DH5" s="355"/>
      <c r="DI5" s="356"/>
      <c r="DJ5" s="356"/>
      <c r="DK5" s="356"/>
      <c r="DL5" s="356"/>
      <c r="DM5" s="356"/>
      <c r="DN5" s="356"/>
      <c r="DO5" s="489"/>
      <c r="DP5" s="489"/>
      <c r="DQ5" s="355"/>
      <c r="DR5" s="356"/>
      <c r="DS5" s="356"/>
      <c r="DT5" s="356"/>
      <c r="DU5" s="356"/>
      <c r="DV5" s="356"/>
      <c r="DW5" s="356"/>
      <c r="DX5" s="489"/>
      <c r="DY5" s="489"/>
      <c r="DZ5" s="355"/>
      <c r="EA5" s="356"/>
      <c r="EB5" s="356"/>
      <c r="EC5" s="356"/>
      <c r="ED5" s="356"/>
      <c r="EE5" s="356"/>
      <c r="EF5" s="356"/>
      <c r="EG5" s="489"/>
      <c r="EH5" s="489"/>
      <c r="EI5" s="355"/>
      <c r="EJ5" s="356"/>
      <c r="EK5" s="356"/>
      <c r="EL5" s="356"/>
      <c r="EM5" s="356"/>
      <c r="EN5" s="356"/>
      <c r="EO5" s="356"/>
      <c r="EP5" s="489"/>
      <c r="EQ5" s="489"/>
      <c r="ER5" s="355"/>
      <c r="ES5" s="356"/>
      <c r="ET5" s="356"/>
      <c r="EU5" s="356"/>
      <c r="EV5" s="356"/>
      <c r="EW5" s="356"/>
      <c r="EX5" s="356"/>
      <c r="EY5" s="489"/>
      <c r="EZ5" s="489"/>
      <c r="FA5" s="355"/>
      <c r="FB5" s="356"/>
      <c r="FC5" s="356"/>
      <c r="FD5" s="356"/>
      <c r="FE5" s="356"/>
      <c r="FF5" s="356"/>
      <c r="FG5" s="356"/>
      <c r="FH5" s="489"/>
      <c r="FI5" s="489"/>
      <c r="FJ5" s="355"/>
      <c r="FK5" s="356"/>
      <c r="FL5" s="356"/>
      <c r="FM5" s="356"/>
      <c r="FN5" s="356"/>
      <c r="FO5" s="356"/>
      <c r="FP5" s="356"/>
      <c r="FQ5" s="489"/>
      <c r="FR5" s="489"/>
      <c r="FS5" s="355"/>
      <c r="FT5" s="356"/>
      <c r="FU5" s="356"/>
      <c r="FV5" s="356"/>
      <c r="FW5" s="356"/>
      <c r="FX5" s="356"/>
      <c r="FY5" s="356"/>
      <c r="FZ5" s="489"/>
      <c r="GA5" s="489"/>
      <c r="GB5" s="355"/>
      <c r="GC5" s="356"/>
      <c r="GD5" s="356"/>
      <c r="GE5" s="356"/>
      <c r="GF5" s="356"/>
      <c r="GG5" s="356"/>
      <c r="GH5" s="356"/>
      <c r="GI5" s="489"/>
      <c r="GJ5" s="489"/>
      <c r="GK5" s="355"/>
      <c r="GL5" s="356"/>
      <c r="GM5" s="356"/>
      <c r="GN5" s="356"/>
      <c r="GO5" s="356"/>
      <c r="GP5" s="356"/>
      <c r="GQ5" s="356"/>
      <c r="GR5" s="489"/>
      <c r="GS5" s="489"/>
      <c r="GT5" s="490">
        <v>42857</v>
      </c>
      <c r="GU5" s="491"/>
      <c r="GV5" s="65">
        <v>17584</v>
      </c>
      <c r="GW5" s="66" t="s">
        <v>325</v>
      </c>
      <c r="GX5" s="66"/>
      <c r="GY5" s="389"/>
      <c r="GZ5" s="67"/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311</v>
      </c>
      <c r="K6" s="407" t="s">
        <v>59</v>
      </c>
      <c r="L6" s="77">
        <v>19930</v>
      </c>
      <c r="M6" s="71">
        <v>42828</v>
      </c>
      <c r="N6" s="446" t="s">
        <v>374</v>
      </c>
      <c r="O6" s="27">
        <v>28110</v>
      </c>
      <c r="P6" s="60">
        <f t="shared" si="0"/>
        <v>8180</v>
      </c>
      <c r="Q6" s="29">
        <v>23.5</v>
      </c>
      <c r="R6" s="57"/>
      <c r="S6" s="57"/>
      <c r="T6" s="39">
        <f t="shared" ref="T6:T69" si="1">Q6*O6</f>
        <v>660585</v>
      </c>
      <c r="U6" s="485" t="s">
        <v>72</v>
      </c>
      <c r="V6" s="486">
        <v>42857</v>
      </c>
      <c r="W6" s="487">
        <v>17342</v>
      </c>
      <c r="X6" s="356"/>
      <c r="Y6" s="356"/>
      <c r="Z6" s="356"/>
      <c r="AA6" s="356"/>
      <c r="AB6" s="356"/>
      <c r="AC6" s="488"/>
      <c r="AD6" s="489"/>
      <c r="AE6" s="355"/>
      <c r="AF6" s="356"/>
      <c r="AG6" s="356"/>
      <c r="AH6" s="356"/>
      <c r="AI6" s="356"/>
      <c r="AJ6" s="356"/>
      <c r="AK6" s="356"/>
      <c r="AL6" s="488"/>
      <c r="AM6" s="489"/>
      <c r="AN6" s="355"/>
      <c r="AO6" s="356"/>
      <c r="AP6" s="356"/>
      <c r="AQ6" s="356"/>
      <c r="AR6" s="356"/>
      <c r="AS6" s="356"/>
      <c r="AT6" s="356"/>
      <c r="AU6" s="488"/>
      <c r="AV6" s="489"/>
      <c r="AW6" s="355"/>
      <c r="AX6" s="356"/>
      <c r="AY6" s="356"/>
      <c r="AZ6" s="356"/>
      <c r="BA6" s="356"/>
      <c r="BB6" s="356"/>
      <c r="BC6" s="356"/>
      <c r="BD6" s="488"/>
      <c r="BE6" s="489"/>
      <c r="BF6" s="355"/>
      <c r="BG6" s="356"/>
      <c r="BH6" s="356"/>
      <c r="BI6" s="356"/>
      <c r="BJ6" s="356"/>
      <c r="BK6" s="356"/>
      <c r="BL6" s="356"/>
      <c r="BM6" s="489"/>
      <c r="BN6" s="489"/>
      <c r="BO6" s="355"/>
      <c r="BP6" s="356"/>
      <c r="BQ6" s="356"/>
      <c r="BR6" s="356"/>
      <c r="BS6" s="356"/>
      <c r="BT6" s="356"/>
      <c r="BU6" s="356"/>
      <c r="BV6" s="489"/>
      <c r="BW6" s="489"/>
      <c r="BX6" s="355"/>
      <c r="BY6" s="356"/>
      <c r="BZ6" s="356"/>
      <c r="CA6" s="356"/>
      <c r="CB6" s="356"/>
      <c r="CC6" s="356"/>
      <c r="CD6" s="356"/>
      <c r="CE6" s="489"/>
      <c r="CF6" s="489"/>
      <c r="CG6" s="355"/>
      <c r="CH6" s="356"/>
      <c r="CI6" s="356"/>
      <c r="CJ6" s="356"/>
      <c r="CK6" s="356"/>
      <c r="CL6" s="356"/>
      <c r="CM6" s="356"/>
      <c r="CN6" s="488"/>
      <c r="CO6" s="489"/>
      <c r="CP6" s="355"/>
      <c r="CQ6" s="356"/>
      <c r="CR6" s="356"/>
      <c r="CS6" s="356"/>
      <c r="CT6" s="356"/>
      <c r="CU6" s="356"/>
      <c r="CV6" s="356"/>
      <c r="CW6" s="489"/>
      <c r="CX6" s="489"/>
      <c r="CY6" s="355"/>
      <c r="CZ6" s="356"/>
      <c r="DA6" s="356"/>
      <c r="DB6" s="356"/>
      <c r="DC6" s="356"/>
      <c r="DD6" s="356"/>
      <c r="DE6" s="356"/>
      <c r="DF6" s="489"/>
      <c r="DG6" s="489"/>
      <c r="DH6" s="355"/>
      <c r="DI6" s="356"/>
      <c r="DJ6" s="356"/>
      <c r="DK6" s="356"/>
      <c r="DL6" s="356"/>
      <c r="DM6" s="356"/>
      <c r="DN6" s="356"/>
      <c r="DO6" s="489"/>
      <c r="DP6" s="489"/>
      <c r="DQ6" s="355"/>
      <c r="DR6" s="356"/>
      <c r="DS6" s="356"/>
      <c r="DT6" s="356"/>
      <c r="DU6" s="356"/>
      <c r="DV6" s="356"/>
      <c r="DW6" s="356"/>
      <c r="DX6" s="489"/>
      <c r="DY6" s="489"/>
      <c r="DZ6" s="355"/>
      <c r="EA6" s="356"/>
      <c r="EB6" s="356"/>
      <c r="EC6" s="356"/>
      <c r="ED6" s="356"/>
      <c r="EE6" s="356"/>
      <c r="EF6" s="356"/>
      <c r="EG6" s="489"/>
      <c r="EH6" s="489"/>
      <c r="EI6" s="355"/>
      <c r="EJ6" s="356"/>
      <c r="EK6" s="356"/>
      <c r="EL6" s="356"/>
      <c r="EM6" s="356"/>
      <c r="EN6" s="356"/>
      <c r="EO6" s="356"/>
      <c r="EP6" s="489"/>
      <c r="EQ6" s="489"/>
      <c r="ER6" s="355"/>
      <c r="ES6" s="356"/>
      <c r="ET6" s="356"/>
      <c r="EU6" s="356"/>
      <c r="EV6" s="356"/>
      <c r="EW6" s="356"/>
      <c r="EX6" s="356"/>
      <c r="EY6" s="489"/>
      <c r="EZ6" s="489"/>
      <c r="FA6" s="355"/>
      <c r="FB6" s="356"/>
      <c r="FC6" s="356"/>
      <c r="FD6" s="356"/>
      <c r="FE6" s="356"/>
      <c r="FF6" s="356"/>
      <c r="FG6" s="356"/>
      <c r="FH6" s="489"/>
      <c r="FI6" s="489"/>
      <c r="FJ6" s="355"/>
      <c r="FK6" s="356"/>
      <c r="FL6" s="356"/>
      <c r="FM6" s="356"/>
      <c r="FN6" s="356"/>
      <c r="FO6" s="356"/>
      <c r="FP6" s="356"/>
      <c r="FQ6" s="489"/>
      <c r="FR6" s="489"/>
      <c r="FS6" s="355"/>
      <c r="FT6" s="356"/>
      <c r="FU6" s="356"/>
      <c r="FV6" s="356"/>
      <c r="FW6" s="356"/>
      <c r="FX6" s="356"/>
      <c r="FY6" s="356"/>
      <c r="FZ6" s="489"/>
      <c r="GA6" s="489"/>
      <c r="GB6" s="355"/>
      <c r="GC6" s="356"/>
      <c r="GD6" s="356"/>
      <c r="GE6" s="356"/>
      <c r="GF6" s="356"/>
      <c r="GG6" s="356"/>
      <c r="GH6" s="356"/>
      <c r="GI6" s="489"/>
      <c r="GJ6" s="489"/>
      <c r="GK6" s="355"/>
      <c r="GL6" s="356"/>
      <c r="GM6" s="356"/>
      <c r="GN6" s="356"/>
      <c r="GO6" s="356"/>
      <c r="GP6" s="356"/>
      <c r="GQ6" s="356"/>
      <c r="GR6" s="489"/>
      <c r="GS6" s="489"/>
      <c r="GT6" s="490">
        <v>42857</v>
      </c>
      <c r="GU6" s="491"/>
      <c r="GV6" s="65">
        <v>22176</v>
      </c>
      <c r="GW6" s="66" t="s">
        <v>326</v>
      </c>
      <c r="GX6" s="66"/>
      <c r="GY6" s="389" t="s">
        <v>405</v>
      </c>
      <c r="GZ6" s="67">
        <v>3480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312</v>
      </c>
      <c r="K7" s="407" t="s">
        <v>37</v>
      </c>
      <c r="L7" s="70">
        <v>17910</v>
      </c>
      <c r="M7" s="71">
        <v>42828</v>
      </c>
      <c r="N7" s="380" t="s">
        <v>382</v>
      </c>
      <c r="O7" s="72">
        <v>22515</v>
      </c>
      <c r="P7" s="60">
        <f t="shared" si="0"/>
        <v>4605</v>
      </c>
      <c r="Q7" s="64">
        <v>23.5</v>
      </c>
      <c r="R7" s="57" t="s">
        <v>15</v>
      </c>
      <c r="S7" s="57"/>
      <c r="T7" s="39">
        <f t="shared" si="1"/>
        <v>529102.5</v>
      </c>
      <c r="U7" s="492" t="s">
        <v>72</v>
      </c>
      <c r="V7" s="493">
        <v>42857</v>
      </c>
      <c r="W7" s="487">
        <v>15080</v>
      </c>
      <c r="X7" s="356"/>
      <c r="Y7" s="356"/>
      <c r="Z7" s="356"/>
      <c r="AA7" s="356"/>
      <c r="AB7" s="356"/>
      <c r="AC7" s="488"/>
      <c r="AD7" s="489"/>
      <c r="AE7" s="355"/>
      <c r="AF7" s="356"/>
      <c r="AG7" s="356"/>
      <c r="AH7" s="356"/>
      <c r="AI7" s="356"/>
      <c r="AJ7" s="356"/>
      <c r="AK7" s="356"/>
      <c r="AL7" s="488"/>
      <c r="AM7" s="489"/>
      <c r="AN7" s="355"/>
      <c r="AO7" s="356"/>
      <c r="AP7" s="356"/>
      <c r="AQ7" s="356"/>
      <c r="AR7" s="356"/>
      <c r="AS7" s="356"/>
      <c r="AT7" s="356"/>
      <c r="AU7" s="488"/>
      <c r="AV7" s="489"/>
      <c r="AW7" s="355"/>
      <c r="AX7" s="356"/>
      <c r="AY7" s="356"/>
      <c r="AZ7" s="356"/>
      <c r="BA7" s="356"/>
      <c r="BB7" s="356"/>
      <c r="BC7" s="356"/>
      <c r="BD7" s="488"/>
      <c r="BE7" s="489"/>
      <c r="BF7" s="355"/>
      <c r="BG7" s="356"/>
      <c r="BH7" s="356"/>
      <c r="BI7" s="356"/>
      <c r="BJ7" s="356"/>
      <c r="BK7" s="356"/>
      <c r="BL7" s="356"/>
      <c r="BM7" s="489"/>
      <c r="BN7" s="489"/>
      <c r="BO7" s="355"/>
      <c r="BP7" s="356"/>
      <c r="BQ7" s="356"/>
      <c r="BR7" s="356"/>
      <c r="BS7" s="356"/>
      <c r="BT7" s="356"/>
      <c r="BU7" s="356"/>
      <c r="BV7" s="489"/>
      <c r="BW7" s="489"/>
      <c r="BX7" s="355"/>
      <c r="BY7" s="356"/>
      <c r="BZ7" s="356"/>
      <c r="CA7" s="356"/>
      <c r="CB7" s="356"/>
      <c r="CC7" s="356"/>
      <c r="CD7" s="356"/>
      <c r="CE7" s="489"/>
      <c r="CF7" s="489"/>
      <c r="CG7" s="355"/>
      <c r="CH7" s="356"/>
      <c r="CI7" s="356"/>
      <c r="CJ7" s="356"/>
      <c r="CK7" s="356"/>
      <c r="CL7" s="356"/>
      <c r="CM7" s="356"/>
      <c r="CN7" s="488"/>
      <c r="CO7" s="489"/>
      <c r="CP7" s="355"/>
      <c r="CQ7" s="356"/>
      <c r="CR7" s="356"/>
      <c r="CS7" s="356"/>
      <c r="CT7" s="356"/>
      <c r="CU7" s="356"/>
      <c r="CV7" s="356"/>
      <c r="CW7" s="489"/>
      <c r="CX7" s="489"/>
      <c r="CY7" s="355"/>
      <c r="CZ7" s="356"/>
      <c r="DA7" s="356"/>
      <c r="DB7" s="356"/>
      <c r="DC7" s="356"/>
      <c r="DD7" s="356"/>
      <c r="DE7" s="356"/>
      <c r="DF7" s="489"/>
      <c r="DG7" s="489"/>
      <c r="DH7" s="355"/>
      <c r="DI7" s="356"/>
      <c r="DJ7" s="356"/>
      <c r="DK7" s="356"/>
      <c r="DL7" s="356"/>
      <c r="DM7" s="356"/>
      <c r="DN7" s="356"/>
      <c r="DO7" s="489"/>
      <c r="DP7" s="489"/>
      <c r="DQ7" s="355"/>
      <c r="DR7" s="356"/>
      <c r="DS7" s="356"/>
      <c r="DT7" s="356"/>
      <c r="DU7" s="356"/>
      <c r="DV7" s="356"/>
      <c r="DW7" s="356"/>
      <c r="DX7" s="489"/>
      <c r="DY7" s="489"/>
      <c r="DZ7" s="355"/>
      <c r="EA7" s="356"/>
      <c r="EB7" s="356"/>
      <c r="EC7" s="356"/>
      <c r="ED7" s="356"/>
      <c r="EE7" s="356"/>
      <c r="EF7" s="356"/>
      <c r="EG7" s="489"/>
      <c r="EH7" s="489"/>
      <c r="EI7" s="355"/>
      <c r="EJ7" s="356"/>
      <c r="EK7" s="356"/>
      <c r="EL7" s="356"/>
      <c r="EM7" s="356"/>
      <c r="EN7" s="356"/>
      <c r="EO7" s="356"/>
      <c r="EP7" s="489"/>
      <c r="EQ7" s="489"/>
      <c r="ER7" s="355"/>
      <c r="ES7" s="356"/>
      <c r="ET7" s="356"/>
      <c r="EU7" s="356"/>
      <c r="EV7" s="356"/>
      <c r="EW7" s="356"/>
      <c r="EX7" s="356"/>
      <c r="EY7" s="489"/>
      <c r="EZ7" s="489"/>
      <c r="FA7" s="355"/>
      <c r="FB7" s="356"/>
      <c r="FC7" s="356"/>
      <c r="FD7" s="356"/>
      <c r="FE7" s="356"/>
      <c r="FF7" s="356"/>
      <c r="FG7" s="356"/>
      <c r="FH7" s="489"/>
      <c r="FI7" s="489"/>
      <c r="FJ7" s="355"/>
      <c r="FK7" s="356"/>
      <c r="FL7" s="356"/>
      <c r="FM7" s="356"/>
      <c r="FN7" s="356"/>
      <c r="FO7" s="356"/>
      <c r="FP7" s="356"/>
      <c r="FQ7" s="489"/>
      <c r="FR7" s="489"/>
      <c r="FS7" s="355"/>
      <c r="FT7" s="356"/>
      <c r="FU7" s="356"/>
      <c r="FV7" s="356"/>
      <c r="FW7" s="356"/>
      <c r="FX7" s="356"/>
      <c r="FY7" s="356"/>
      <c r="FZ7" s="489"/>
      <c r="GA7" s="489"/>
      <c r="GB7" s="355"/>
      <c r="GC7" s="356"/>
      <c r="GD7" s="356"/>
      <c r="GE7" s="356"/>
      <c r="GF7" s="356"/>
      <c r="GG7" s="356"/>
      <c r="GH7" s="356"/>
      <c r="GI7" s="489"/>
      <c r="GJ7" s="489"/>
      <c r="GK7" s="355"/>
      <c r="GL7" s="356"/>
      <c r="GM7" s="356"/>
      <c r="GN7" s="356"/>
      <c r="GO7" s="356"/>
      <c r="GP7" s="356"/>
      <c r="GQ7" s="356"/>
      <c r="GR7" s="489"/>
      <c r="GS7" s="489"/>
      <c r="GT7" s="494">
        <v>42857</v>
      </c>
      <c r="GU7" s="491"/>
      <c r="GV7" s="65"/>
      <c r="GW7" s="74"/>
      <c r="GX7" s="74"/>
      <c r="GY7" s="167" t="s">
        <v>405</v>
      </c>
      <c r="GZ7" s="86">
        <v>3480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38</v>
      </c>
      <c r="K8" s="407" t="s">
        <v>313</v>
      </c>
      <c r="L8" s="77">
        <v>20960</v>
      </c>
      <c r="M8" s="71">
        <v>42829</v>
      </c>
      <c r="N8" s="380" t="s">
        <v>383</v>
      </c>
      <c r="O8" s="78">
        <v>25775</v>
      </c>
      <c r="P8" s="60">
        <f t="shared" si="0"/>
        <v>4815</v>
      </c>
      <c r="Q8" s="79">
        <v>23.5</v>
      </c>
      <c r="R8" s="80"/>
      <c r="S8" s="81"/>
      <c r="T8" s="39">
        <f t="shared" si="1"/>
        <v>605712.5</v>
      </c>
      <c r="U8" s="507" t="s">
        <v>72</v>
      </c>
      <c r="V8" s="493">
        <v>42858</v>
      </c>
      <c r="W8" s="487">
        <v>15080</v>
      </c>
      <c r="X8" s="356"/>
      <c r="Y8" s="356"/>
      <c r="Z8" s="356"/>
      <c r="AA8" s="356"/>
      <c r="AB8" s="356"/>
      <c r="AC8" s="488"/>
      <c r="AD8" s="489"/>
      <c r="AE8" s="355"/>
      <c r="AF8" s="356"/>
      <c r="AG8" s="356"/>
      <c r="AH8" s="356"/>
      <c r="AI8" s="356"/>
      <c r="AJ8" s="356"/>
      <c r="AK8" s="356"/>
      <c r="AL8" s="488"/>
      <c r="AM8" s="489"/>
      <c r="AN8" s="355"/>
      <c r="AO8" s="356"/>
      <c r="AP8" s="356"/>
      <c r="AQ8" s="356"/>
      <c r="AR8" s="356"/>
      <c r="AS8" s="356"/>
      <c r="AT8" s="356"/>
      <c r="AU8" s="488"/>
      <c r="AV8" s="489"/>
      <c r="AW8" s="355"/>
      <c r="AX8" s="356"/>
      <c r="AY8" s="356"/>
      <c r="AZ8" s="356"/>
      <c r="BA8" s="356"/>
      <c r="BB8" s="356"/>
      <c r="BC8" s="356"/>
      <c r="BD8" s="488"/>
      <c r="BE8" s="489"/>
      <c r="BF8" s="355"/>
      <c r="BG8" s="356"/>
      <c r="BH8" s="356"/>
      <c r="BI8" s="356"/>
      <c r="BJ8" s="356"/>
      <c r="BK8" s="356"/>
      <c r="BL8" s="356"/>
      <c r="BM8" s="489"/>
      <c r="BN8" s="489"/>
      <c r="BO8" s="355"/>
      <c r="BP8" s="356"/>
      <c r="BQ8" s="356"/>
      <c r="BR8" s="356"/>
      <c r="BS8" s="356"/>
      <c r="BT8" s="356"/>
      <c r="BU8" s="356"/>
      <c r="BV8" s="489"/>
      <c r="BW8" s="489"/>
      <c r="BX8" s="355"/>
      <c r="BY8" s="356"/>
      <c r="BZ8" s="356"/>
      <c r="CA8" s="356"/>
      <c r="CB8" s="356"/>
      <c r="CC8" s="356"/>
      <c r="CD8" s="356"/>
      <c r="CE8" s="489"/>
      <c r="CF8" s="489"/>
      <c r="CG8" s="355"/>
      <c r="CH8" s="356"/>
      <c r="CI8" s="356"/>
      <c r="CJ8" s="356"/>
      <c r="CK8" s="356"/>
      <c r="CL8" s="356"/>
      <c r="CM8" s="356"/>
      <c r="CN8" s="488"/>
      <c r="CO8" s="489"/>
      <c r="CP8" s="355"/>
      <c r="CQ8" s="356"/>
      <c r="CR8" s="356"/>
      <c r="CS8" s="356"/>
      <c r="CT8" s="356"/>
      <c r="CU8" s="356"/>
      <c r="CV8" s="356"/>
      <c r="CW8" s="489"/>
      <c r="CX8" s="489"/>
      <c r="CY8" s="355"/>
      <c r="CZ8" s="356"/>
      <c r="DA8" s="356"/>
      <c r="DB8" s="356"/>
      <c r="DC8" s="356"/>
      <c r="DD8" s="356"/>
      <c r="DE8" s="356"/>
      <c r="DF8" s="489"/>
      <c r="DG8" s="489"/>
      <c r="DH8" s="355"/>
      <c r="DI8" s="356"/>
      <c r="DJ8" s="356"/>
      <c r="DK8" s="356"/>
      <c r="DL8" s="356"/>
      <c r="DM8" s="356"/>
      <c r="DN8" s="356"/>
      <c r="DO8" s="489"/>
      <c r="DP8" s="489"/>
      <c r="DQ8" s="355"/>
      <c r="DR8" s="356"/>
      <c r="DS8" s="356"/>
      <c r="DT8" s="356"/>
      <c r="DU8" s="356"/>
      <c r="DV8" s="356"/>
      <c r="DW8" s="356"/>
      <c r="DX8" s="489"/>
      <c r="DY8" s="489"/>
      <c r="DZ8" s="355"/>
      <c r="EA8" s="356"/>
      <c r="EB8" s="356"/>
      <c r="EC8" s="356"/>
      <c r="ED8" s="356"/>
      <c r="EE8" s="356"/>
      <c r="EF8" s="356"/>
      <c r="EG8" s="489"/>
      <c r="EH8" s="489"/>
      <c r="EI8" s="355"/>
      <c r="EJ8" s="356"/>
      <c r="EK8" s="356"/>
      <c r="EL8" s="356"/>
      <c r="EM8" s="356"/>
      <c r="EN8" s="356"/>
      <c r="EO8" s="356"/>
      <c r="EP8" s="489"/>
      <c r="EQ8" s="489"/>
      <c r="ER8" s="355"/>
      <c r="ES8" s="356"/>
      <c r="ET8" s="356"/>
      <c r="EU8" s="356"/>
      <c r="EV8" s="356"/>
      <c r="EW8" s="356"/>
      <c r="EX8" s="356"/>
      <c r="EY8" s="489"/>
      <c r="EZ8" s="489"/>
      <c r="FA8" s="355"/>
      <c r="FB8" s="356"/>
      <c r="FC8" s="356"/>
      <c r="FD8" s="356"/>
      <c r="FE8" s="356"/>
      <c r="FF8" s="356"/>
      <c r="FG8" s="356"/>
      <c r="FH8" s="489"/>
      <c r="FI8" s="489"/>
      <c r="FJ8" s="355"/>
      <c r="FK8" s="356"/>
      <c r="FL8" s="356"/>
      <c r="FM8" s="356"/>
      <c r="FN8" s="356"/>
      <c r="FO8" s="356"/>
      <c r="FP8" s="356"/>
      <c r="FQ8" s="489"/>
      <c r="FR8" s="489"/>
      <c r="FS8" s="355"/>
      <c r="FT8" s="356"/>
      <c r="FU8" s="356"/>
      <c r="FV8" s="356"/>
      <c r="FW8" s="356"/>
      <c r="FX8" s="356"/>
      <c r="FY8" s="356"/>
      <c r="FZ8" s="489"/>
      <c r="GA8" s="489"/>
      <c r="GB8" s="355"/>
      <c r="GC8" s="356"/>
      <c r="GD8" s="356"/>
      <c r="GE8" s="356"/>
      <c r="GF8" s="356"/>
      <c r="GG8" s="356"/>
      <c r="GH8" s="356"/>
      <c r="GI8" s="489"/>
      <c r="GJ8" s="489"/>
      <c r="GK8" s="355"/>
      <c r="GL8" s="356"/>
      <c r="GM8" s="356"/>
      <c r="GN8" s="356"/>
      <c r="GO8" s="356"/>
      <c r="GP8" s="356"/>
      <c r="GQ8" s="356"/>
      <c r="GR8" s="489"/>
      <c r="GS8" s="489"/>
      <c r="GT8" s="495">
        <v>42858</v>
      </c>
      <c r="GU8" s="491"/>
      <c r="GV8" s="84"/>
      <c r="GW8" s="74"/>
      <c r="GX8" s="74"/>
      <c r="GY8" s="167" t="s">
        <v>405</v>
      </c>
      <c r="GZ8" s="86">
        <v>3480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42</v>
      </c>
      <c r="K9" s="407" t="s">
        <v>35</v>
      </c>
      <c r="L9" s="77">
        <v>11320</v>
      </c>
      <c r="M9" s="71">
        <v>42830</v>
      </c>
      <c r="N9" s="380" t="s">
        <v>384</v>
      </c>
      <c r="O9" s="78">
        <v>14325</v>
      </c>
      <c r="P9" s="60">
        <f t="shared" si="0"/>
        <v>3005</v>
      </c>
      <c r="Q9" s="79">
        <v>23.5</v>
      </c>
      <c r="R9" s="64"/>
      <c r="S9" s="89"/>
      <c r="T9" s="39">
        <f t="shared" si="1"/>
        <v>336637.5</v>
      </c>
      <c r="U9" s="352" t="s">
        <v>72</v>
      </c>
      <c r="V9" s="408">
        <v>42858</v>
      </c>
      <c r="W9" s="367">
        <v>9802</v>
      </c>
      <c r="X9" s="355"/>
      <c r="Y9" s="356"/>
      <c r="Z9" s="357"/>
      <c r="AA9" s="358"/>
      <c r="AB9" s="357"/>
      <c r="AC9" s="359"/>
      <c r="AD9" s="360"/>
      <c r="AE9" s="355"/>
      <c r="AF9" s="355"/>
      <c r="AG9" s="355"/>
      <c r="AH9" s="356"/>
      <c r="AI9" s="357"/>
      <c r="AJ9" s="358"/>
      <c r="AK9" s="357"/>
      <c r="AL9" s="359"/>
      <c r="AM9" s="360"/>
      <c r="AN9" s="355"/>
      <c r="AO9" s="355"/>
      <c r="AP9" s="355"/>
      <c r="AQ9" s="356"/>
      <c r="AR9" s="357"/>
      <c r="AS9" s="358"/>
      <c r="AT9" s="357"/>
      <c r="AU9" s="359"/>
      <c r="AV9" s="360"/>
      <c r="AW9" s="355"/>
      <c r="AX9" s="355"/>
      <c r="AY9" s="355"/>
      <c r="AZ9" s="356"/>
      <c r="BA9" s="357"/>
      <c r="BB9" s="358"/>
      <c r="BC9" s="357"/>
      <c r="BD9" s="359"/>
      <c r="BE9" s="360"/>
      <c r="BF9" s="355"/>
      <c r="BG9" s="355"/>
      <c r="BH9" s="355"/>
      <c r="BI9" s="356"/>
      <c r="BJ9" s="357"/>
      <c r="BK9" s="358"/>
      <c r="BL9" s="357"/>
      <c r="BM9" s="359"/>
      <c r="BN9" s="360"/>
      <c r="BO9" s="355"/>
      <c r="BP9" s="355"/>
      <c r="BQ9" s="355"/>
      <c r="BR9" s="356"/>
      <c r="BS9" s="357"/>
      <c r="BT9" s="358"/>
      <c r="BU9" s="357"/>
      <c r="BV9" s="359"/>
      <c r="BW9" s="360"/>
      <c r="BX9" s="355"/>
      <c r="BY9" s="355"/>
      <c r="BZ9" s="355"/>
      <c r="CA9" s="356"/>
      <c r="CB9" s="357"/>
      <c r="CC9" s="358"/>
      <c r="CD9" s="357"/>
      <c r="CE9" s="359"/>
      <c r="CF9" s="360"/>
      <c r="CG9" s="355"/>
      <c r="CH9" s="355"/>
      <c r="CI9" s="355"/>
      <c r="CJ9" s="356"/>
      <c r="CK9" s="357"/>
      <c r="CL9" s="358"/>
      <c r="CM9" s="357"/>
      <c r="CN9" s="359"/>
      <c r="CO9" s="360"/>
      <c r="CP9" s="355"/>
      <c r="CQ9" s="355"/>
      <c r="CR9" s="355"/>
      <c r="CS9" s="356"/>
      <c r="CT9" s="357"/>
      <c r="CU9" s="358"/>
      <c r="CV9" s="361"/>
      <c r="CW9" s="359"/>
      <c r="CX9" s="360"/>
      <c r="CY9" s="355"/>
      <c r="CZ9" s="355"/>
      <c r="DA9" s="355"/>
      <c r="DB9" s="356"/>
      <c r="DC9" s="357"/>
      <c r="DD9" s="358"/>
      <c r="DE9" s="357"/>
      <c r="DF9" s="359"/>
      <c r="DG9" s="360"/>
      <c r="DH9" s="355"/>
      <c r="DI9" s="355"/>
      <c r="DJ9" s="355"/>
      <c r="DK9" s="356"/>
      <c r="DL9" s="357"/>
      <c r="DM9" s="358"/>
      <c r="DN9" s="357"/>
      <c r="DO9" s="359"/>
      <c r="DP9" s="360"/>
      <c r="DQ9" s="355"/>
      <c r="DR9" s="355"/>
      <c r="DS9" s="355"/>
      <c r="DT9" s="356"/>
      <c r="DU9" s="357"/>
      <c r="DV9" s="358"/>
      <c r="DW9" s="357"/>
      <c r="DX9" s="359"/>
      <c r="DY9" s="360"/>
      <c r="DZ9" s="355"/>
      <c r="EA9" s="355"/>
      <c r="EB9" s="355"/>
      <c r="EC9" s="356"/>
      <c r="ED9" s="357"/>
      <c r="EE9" s="358"/>
      <c r="EF9" s="357"/>
      <c r="EG9" s="359"/>
      <c r="EH9" s="360"/>
      <c r="EI9" s="355"/>
      <c r="EJ9" s="355"/>
      <c r="EK9" s="355"/>
      <c r="EL9" s="356"/>
      <c r="EM9" s="357"/>
      <c r="EN9" s="358"/>
      <c r="EO9" s="357"/>
      <c r="EP9" s="359"/>
      <c r="EQ9" s="360"/>
      <c r="ER9" s="355"/>
      <c r="ES9" s="355"/>
      <c r="ET9" s="355"/>
      <c r="EU9" s="356"/>
      <c r="EV9" s="357"/>
      <c r="EW9" s="358"/>
      <c r="EX9" s="357"/>
      <c r="EY9" s="359"/>
      <c r="EZ9" s="360"/>
      <c r="FA9" s="355"/>
      <c r="FB9" s="355"/>
      <c r="FC9" s="355"/>
      <c r="FD9" s="356"/>
      <c r="FE9" s="357"/>
      <c r="FF9" s="358"/>
      <c r="FG9" s="357"/>
      <c r="FH9" s="359"/>
      <c r="FI9" s="360"/>
      <c r="FJ9" s="355"/>
      <c r="FK9" s="355"/>
      <c r="FL9" s="355"/>
      <c r="FM9" s="356"/>
      <c r="FN9" s="357"/>
      <c r="FO9" s="358"/>
      <c r="FP9" s="357"/>
      <c r="FQ9" s="359"/>
      <c r="FR9" s="360"/>
      <c r="FS9" s="355"/>
      <c r="FT9" s="355"/>
      <c r="FU9" s="355"/>
      <c r="FV9" s="356"/>
      <c r="FW9" s="357"/>
      <c r="FX9" s="358"/>
      <c r="FY9" s="357"/>
      <c r="FZ9" s="359"/>
      <c r="GA9" s="360"/>
      <c r="GB9" s="355"/>
      <c r="GC9" s="355"/>
      <c r="GD9" s="355"/>
      <c r="GE9" s="356"/>
      <c r="GF9" s="357"/>
      <c r="GG9" s="358"/>
      <c r="GH9" s="357"/>
      <c r="GI9" s="359"/>
      <c r="GJ9" s="360"/>
      <c r="GK9" s="355"/>
      <c r="GL9" s="355"/>
      <c r="GM9" s="355"/>
      <c r="GN9" s="356"/>
      <c r="GO9" s="357"/>
      <c r="GP9" s="358"/>
      <c r="GQ9" s="357"/>
      <c r="GR9" s="359"/>
      <c r="GS9" s="360"/>
      <c r="GT9" s="362">
        <v>42858</v>
      </c>
      <c r="GU9" s="411"/>
      <c r="GV9" s="65">
        <v>17584</v>
      </c>
      <c r="GW9" s="74" t="s">
        <v>327</v>
      </c>
      <c r="GX9" s="74"/>
      <c r="GY9" s="167" t="s">
        <v>405</v>
      </c>
      <c r="GZ9" s="86">
        <v>2088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314</v>
      </c>
      <c r="K10" s="407" t="s">
        <v>149</v>
      </c>
      <c r="L10" s="77">
        <v>19090</v>
      </c>
      <c r="M10" s="71">
        <v>42831</v>
      </c>
      <c r="N10" s="380" t="s">
        <v>401</v>
      </c>
      <c r="O10" s="78">
        <v>27535</v>
      </c>
      <c r="P10" s="60">
        <f t="shared" si="0"/>
        <v>8445</v>
      </c>
      <c r="Q10" s="79">
        <v>23.5</v>
      </c>
      <c r="R10" s="64"/>
      <c r="S10" s="89"/>
      <c r="T10" s="39">
        <f t="shared" si="1"/>
        <v>647072.5</v>
      </c>
      <c r="U10" s="352" t="s">
        <v>72</v>
      </c>
      <c r="V10" s="408">
        <v>42859</v>
      </c>
      <c r="W10" s="367">
        <v>17342</v>
      </c>
      <c r="X10" s="355"/>
      <c r="Y10" s="356"/>
      <c r="Z10" s="357"/>
      <c r="AA10" s="358"/>
      <c r="AB10" s="357"/>
      <c r="AC10" s="359"/>
      <c r="AD10" s="360"/>
      <c r="AE10" s="355"/>
      <c r="AF10" s="355"/>
      <c r="AG10" s="355"/>
      <c r="AH10" s="356"/>
      <c r="AI10" s="357"/>
      <c r="AJ10" s="358"/>
      <c r="AK10" s="357"/>
      <c r="AL10" s="359"/>
      <c r="AM10" s="360"/>
      <c r="AN10" s="355"/>
      <c r="AO10" s="355"/>
      <c r="AP10" s="355"/>
      <c r="AQ10" s="356"/>
      <c r="AR10" s="357"/>
      <c r="AS10" s="358"/>
      <c r="AT10" s="357"/>
      <c r="AU10" s="359"/>
      <c r="AV10" s="360"/>
      <c r="AW10" s="355"/>
      <c r="AX10" s="355"/>
      <c r="AY10" s="355"/>
      <c r="AZ10" s="356"/>
      <c r="BA10" s="357"/>
      <c r="BB10" s="358"/>
      <c r="BC10" s="357"/>
      <c r="BD10" s="359"/>
      <c r="BE10" s="360"/>
      <c r="BF10" s="355"/>
      <c r="BG10" s="355"/>
      <c r="BH10" s="355"/>
      <c r="BI10" s="356"/>
      <c r="BJ10" s="357"/>
      <c r="BK10" s="358"/>
      <c r="BL10" s="357"/>
      <c r="BM10" s="359"/>
      <c r="BN10" s="360"/>
      <c r="BO10" s="355"/>
      <c r="BP10" s="355"/>
      <c r="BQ10" s="355"/>
      <c r="BR10" s="356"/>
      <c r="BS10" s="357"/>
      <c r="BT10" s="358"/>
      <c r="BU10" s="357"/>
      <c r="BV10" s="359"/>
      <c r="BW10" s="360"/>
      <c r="BX10" s="355"/>
      <c r="BY10" s="355"/>
      <c r="BZ10" s="355"/>
      <c r="CA10" s="356"/>
      <c r="CB10" s="357"/>
      <c r="CC10" s="358"/>
      <c r="CD10" s="357"/>
      <c r="CE10" s="359"/>
      <c r="CF10" s="360"/>
      <c r="CG10" s="355"/>
      <c r="CH10" s="355"/>
      <c r="CI10" s="355"/>
      <c r="CJ10" s="356"/>
      <c r="CK10" s="357"/>
      <c r="CL10" s="358"/>
      <c r="CM10" s="357"/>
      <c r="CN10" s="359"/>
      <c r="CO10" s="360"/>
      <c r="CP10" s="355"/>
      <c r="CQ10" s="355"/>
      <c r="CR10" s="355"/>
      <c r="CS10" s="356"/>
      <c r="CT10" s="357"/>
      <c r="CU10" s="358"/>
      <c r="CV10" s="361"/>
      <c r="CW10" s="359"/>
      <c r="CX10" s="360"/>
      <c r="CY10" s="355"/>
      <c r="CZ10" s="355"/>
      <c r="DA10" s="355"/>
      <c r="DB10" s="356"/>
      <c r="DC10" s="357"/>
      <c r="DD10" s="358"/>
      <c r="DE10" s="357"/>
      <c r="DF10" s="359"/>
      <c r="DG10" s="360"/>
      <c r="DH10" s="355"/>
      <c r="DI10" s="355"/>
      <c r="DJ10" s="355"/>
      <c r="DK10" s="356"/>
      <c r="DL10" s="357"/>
      <c r="DM10" s="358"/>
      <c r="DN10" s="357"/>
      <c r="DO10" s="359"/>
      <c r="DP10" s="360"/>
      <c r="DQ10" s="355"/>
      <c r="DR10" s="355"/>
      <c r="DS10" s="355"/>
      <c r="DT10" s="356"/>
      <c r="DU10" s="357"/>
      <c r="DV10" s="358"/>
      <c r="DW10" s="357"/>
      <c r="DX10" s="359"/>
      <c r="DY10" s="360"/>
      <c r="DZ10" s="355"/>
      <c r="EA10" s="355"/>
      <c r="EB10" s="355"/>
      <c r="EC10" s="356"/>
      <c r="ED10" s="357"/>
      <c r="EE10" s="358"/>
      <c r="EF10" s="357"/>
      <c r="EG10" s="359"/>
      <c r="EH10" s="360"/>
      <c r="EI10" s="355"/>
      <c r="EJ10" s="355"/>
      <c r="EK10" s="355"/>
      <c r="EL10" s="356"/>
      <c r="EM10" s="357"/>
      <c r="EN10" s="358"/>
      <c r="EO10" s="357"/>
      <c r="EP10" s="359"/>
      <c r="EQ10" s="360"/>
      <c r="ER10" s="355"/>
      <c r="ES10" s="355"/>
      <c r="ET10" s="355"/>
      <c r="EU10" s="356"/>
      <c r="EV10" s="357"/>
      <c r="EW10" s="358"/>
      <c r="EX10" s="357"/>
      <c r="EY10" s="359"/>
      <c r="EZ10" s="360"/>
      <c r="FA10" s="355"/>
      <c r="FB10" s="355"/>
      <c r="FC10" s="355"/>
      <c r="FD10" s="356"/>
      <c r="FE10" s="357"/>
      <c r="FF10" s="358"/>
      <c r="FG10" s="357"/>
      <c r="FH10" s="359"/>
      <c r="FI10" s="360"/>
      <c r="FJ10" s="355"/>
      <c r="FK10" s="355"/>
      <c r="FL10" s="355"/>
      <c r="FM10" s="356"/>
      <c r="FN10" s="357"/>
      <c r="FO10" s="358"/>
      <c r="FP10" s="357"/>
      <c r="FQ10" s="359"/>
      <c r="FR10" s="360"/>
      <c r="FS10" s="355"/>
      <c r="FT10" s="355"/>
      <c r="FU10" s="355"/>
      <c r="FV10" s="356"/>
      <c r="FW10" s="357"/>
      <c r="FX10" s="358"/>
      <c r="FY10" s="357"/>
      <c r="FZ10" s="359"/>
      <c r="GA10" s="360"/>
      <c r="GB10" s="355"/>
      <c r="GC10" s="355"/>
      <c r="GD10" s="355"/>
      <c r="GE10" s="356"/>
      <c r="GF10" s="357"/>
      <c r="GG10" s="358"/>
      <c r="GH10" s="357"/>
      <c r="GI10" s="359"/>
      <c r="GJ10" s="360"/>
      <c r="GK10" s="355"/>
      <c r="GL10" s="355"/>
      <c r="GM10" s="355"/>
      <c r="GN10" s="356"/>
      <c r="GO10" s="357"/>
      <c r="GP10" s="358"/>
      <c r="GQ10" s="357"/>
      <c r="GR10" s="359"/>
      <c r="GS10" s="360"/>
      <c r="GT10" s="362">
        <v>42859</v>
      </c>
      <c r="GU10" s="411"/>
      <c r="GV10" s="65"/>
      <c r="GW10" s="74"/>
      <c r="GX10" s="74"/>
      <c r="GY10" s="167" t="s">
        <v>405</v>
      </c>
      <c r="GZ10" s="86">
        <v>3480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310</v>
      </c>
      <c r="K11" s="407" t="s">
        <v>93</v>
      </c>
      <c r="L11" s="70">
        <v>11250</v>
      </c>
      <c r="M11" s="71">
        <v>42831</v>
      </c>
      <c r="N11" s="380" t="s">
        <v>385</v>
      </c>
      <c r="O11" s="72">
        <v>10855</v>
      </c>
      <c r="P11" s="60">
        <f t="shared" si="0"/>
        <v>-395</v>
      </c>
      <c r="Q11" s="64">
        <v>23.5</v>
      </c>
      <c r="R11" s="64"/>
      <c r="S11" s="99"/>
      <c r="T11" s="39">
        <f t="shared" si="1"/>
        <v>255092.5</v>
      </c>
      <c r="U11" s="352" t="s">
        <v>72</v>
      </c>
      <c r="V11" s="408">
        <v>42859</v>
      </c>
      <c r="W11" s="367">
        <v>7540</v>
      </c>
      <c r="X11" s="355"/>
      <c r="Y11" s="356"/>
      <c r="Z11" s="357"/>
      <c r="AA11" s="358"/>
      <c r="AB11" s="357"/>
      <c r="AC11" s="359"/>
      <c r="AD11" s="360"/>
      <c r="AE11" s="355"/>
      <c r="AF11" s="355"/>
      <c r="AG11" s="355"/>
      <c r="AH11" s="356"/>
      <c r="AI11" s="357"/>
      <c r="AJ11" s="358"/>
      <c r="AK11" s="357"/>
      <c r="AL11" s="359"/>
      <c r="AM11" s="360"/>
      <c r="AN11" s="355"/>
      <c r="AO11" s="355"/>
      <c r="AP11" s="355"/>
      <c r="AQ11" s="356"/>
      <c r="AR11" s="357"/>
      <c r="AS11" s="358"/>
      <c r="AT11" s="357"/>
      <c r="AU11" s="359"/>
      <c r="AV11" s="360"/>
      <c r="AW11" s="355"/>
      <c r="AX11" s="355"/>
      <c r="AY11" s="355"/>
      <c r="AZ11" s="356"/>
      <c r="BA11" s="357"/>
      <c r="BB11" s="358"/>
      <c r="BC11" s="357"/>
      <c r="BD11" s="359"/>
      <c r="BE11" s="360"/>
      <c r="BF11" s="355"/>
      <c r="BG11" s="355"/>
      <c r="BH11" s="355"/>
      <c r="BI11" s="356"/>
      <c r="BJ11" s="357"/>
      <c r="BK11" s="358"/>
      <c r="BL11" s="357"/>
      <c r="BM11" s="359"/>
      <c r="BN11" s="360"/>
      <c r="BO11" s="355"/>
      <c r="BP11" s="355"/>
      <c r="BQ11" s="355"/>
      <c r="BR11" s="356"/>
      <c r="BS11" s="357"/>
      <c r="BT11" s="358"/>
      <c r="BU11" s="357"/>
      <c r="BV11" s="359"/>
      <c r="BW11" s="360"/>
      <c r="BX11" s="355"/>
      <c r="BY11" s="355"/>
      <c r="BZ11" s="355"/>
      <c r="CA11" s="356"/>
      <c r="CB11" s="357"/>
      <c r="CC11" s="358"/>
      <c r="CD11" s="357"/>
      <c r="CE11" s="359"/>
      <c r="CF11" s="360"/>
      <c r="CG11" s="355"/>
      <c r="CH11" s="355"/>
      <c r="CI11" s="355"/>
      <c r="CJ11" s="356"/>
      <c r="CK11" s="357"/>
      <c r="CL11" s="358"/>
      <c r="CM11" s="357"/>
      <c r="CN11" s="359"/>
      <c r="CO11" s="360"/>
      <c r="CP11" s="355"/>
      <c r="CQ11" s="355"/>
      <c r="CR11" s="355"/>
      <c r="CS11" s="356"/>
      <c r="CT11" s="357"/>
      <c r="CU11" s="358"/>
      <c r="CV11" s="361"/>
      <c r="CW11" s="359"/>
      <c r="CX11" s="360"/>
      <c r="CY11" s="355"/>
      <c r="CZ11" s="355"/>
      <c r="DA11" s="355"/>
      <c r="DB11" s="356"/>
      <c r="DC11" s="357"/>
      <c r="DD11" s="358"/>
      <c r="DE11" s="357"/>
      <c r="DF11" s="359"/>
      <c r="DG11" s="360"/>
      <c r="DH11" s="355"/>
      <c r="DI11" s="355"/>
      <c r="DJ11" s="355"/>
      <c r="DK11" s="356"/>
      <c r="DL11" s="357"/>
      <c r="DM11" s="358"/>
      <c r="DN11" s="357"/>
      <c r="DO11" s="359"/>
      <c r="DP11" s="360"/>
      <c r="DQ11" s="355"/>
      <c r="DR11" s="355"/>
      <c r="DS11" s="355"/>
      <c r="DT11" s="356"/>
      <c r="DU11" s="357"/>
      <c r="DV11" s="358"/>
      <c r="DW11" s="357"/>
      <c r="DX11" s="359"/>
      <c r="DY11" s="360"/>
      <c r="DZ11" s="355"/>
      <c r="EA11" s="355"/>
      <c r="EB11" s="355"/>
      <c r="EC11" s="356"/>
      <c r="ED11" s="357"/>
      <c r="EE11" s="358"/>
      <c r="EF11" s="357"/>
      <c r="EG11" s="359"/>
      <c r="EH11" s="360"/>
      <c r="EI11" s="355"/>
      <c r="EJ11" s="355"/>
      <c r="EK11" s="355"/>
      <c r="EL11" s="356"/>
      <c r="EM11" s="357"/>
      <c r="EN11" s="358"/>
      <c r="EO11" s="357"/>
      <c r="EP11" s="359"/>
      <c r="EQ11" s="360"/>
      <c r="ER11" s="355"/>
      <c r="ES11" s="355"/>
      <c r="ET11" s="355"/>
      <c r="EU11" s="356"/>
      <c r="EV11" s="357"/>
      <c r="EW11" s="358"/>
      <c r="EX11" s="357"/>
      <c r="EY11" s="359"/>
      <c r="EZ11" s="360"/>
      <c r="FA11" s="355"/>
      <c r="FB11" s="355"/>
      <c r="FC11" s="355"/>
      <c r="FD11" s="356"/>
      <c r="FE11" s="357"/>
      <c r="FF11" s="358"/>
      <c r="FG11" s="357"/>
      <c r="FH11" s="359"/>
      <c r="FI11" s="360"/>
      <c r="FJ11" s="355"/>
      <c r="FK11" s="355"/>
      <c r="FL11" s="355"/>
      <c r="FM11" s="356"/>
      <c r="FN11" s="357"/>
      <c r="FO11" s="358"/>
      <c r="FP11" s="357"/>
      <c r="FQ11" s="359"/>
      <c r="FR11" s="360"/>
      <c r="FS11" s="355"/>
      <c r="FT11" s="355"/>
      <c r="FU11" s="355"/>
      <c r="FV11" s="356"/>
      <c r="FW11" s="357"/>
      <c r="FX11" s="358"/>
      <c r="FY11" s="357"/>
      <c r="FZ11" s="359"/>
      <c r="GA11" s="360"/>
      <c r="GB11" s="355"/>
      <c r="GC11" s="355"/>
      <c r="GD11" s="355"/>
      <c r="GE11" s="356"/>
      <c r="GF11" s="357"/>
      <c r="GG11" s="358"/>
      <c r="GH11" s="357"/>
      <c r="GI11" s="359"/>
      <c r="GJ11" s="360"/>
      <c r="GK11" s="355"/>
      <c r="GL11" s="355"/>
      <c r="GM11" s="355"/>
      <c r="GN11" s="356"/>
      <c r="GO11" s="357"/>
      <c r="GP11" s="358"/>
      <c r="GQ11" s="357"/>
      <c r="GR11" s="359"/>
      <c r="GS11" s="360"/>
      <c r="GT11" s="362">
        <v>42859</v>
      </c>
      <c r="GU11" s="411"/>
      <c r="GV11" s="65">
        <v>17584</v>
      </c>
      <c r="GW11" s="74" t="s">
        <v>328</v>
      </c>
      <c r="GX11" s="74"/>
      <c r="GY11" s="167" t="s">
        <v>405</v>
      </c>
      <c r="GZ11" s="86">
        <v>2088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104</v>
      </c>
      <c r="K12" s="449" t="s">
        <v>315</v>
      </c>
      <c r="L12" s="101">
        <v>22970</v>
      </c>
      <c r="M12" s="102">
        <v>42832</v>
      </c>
      <c r="N12" s="416" t="s">
        <v>387</v>
      </c>
      <c r="O12" s="104">
        <f>28790-115</f>
        <v>28675</v>
      </c>
      <c r="P12" s="60">
        <f t="shared" si="0"/>
        <v>5705</v>
      </c>
      <c r="Q12" s="29">
        <v>23.5</v>
      </c>
      <c r="R12" s="105"/>
      <c r="S12" s="106"/>
      <c r="T12" s="39">
        <f t="shared" si="1"/>
        <v>673862.5</v>
      </c>
      <c r="U12" s="409" t="s">
        <v>72</v>
      </c>
      <c r="V12" s="410">
        <v>42863</v>
      </c>
      <c r="W12" s="354">
        <v>18850</v>
      </c>
      <c r="X12" s="355"/>
      <c r="Y12" s="356"/>
      <c r="Z12" s="357"/>
      <c r="AA12" s="358"/>
      <c r="AB12" s="357"/>
      <c r="AC12" s="359"/>
      <c r="AD12" s="360"/>
      <c r="AE12" s="355"/>
      <c r="AF12" s="355"/>
      <c r="AG12" s="355"/>
      <c r="AH12" s="356"/>
      <c r="AI12" s="357"/>
      <c r="AJ12" s="358"/>
      <c r="AK12" s="357"/>
      <c r="AL12" s="359"/>
      <c r="AM12" s="360"/>
      <c r="AN12" s="355"/>
      <c r="AO12" s="355"/>
      <c r="AP12" s="355"/>
      <c r="AQ12" s="356"/>
      <c r="AR12" s="357"/>
      <c r="AS12" s="358"/>
      <c r="AT12" s="357"/>
      <c r="AU12" s="359"/>
      <c r="AV12" s="360"/>
      <c r="AW12" s="355"/>
      <c r="AX12" s="355"/>
      <c r="AY12" s="355"/>
      <c r="AZ12" s="356"/>
      <c r="BA12" s="357"/>
      <c r="BB12" s="358"/>
      <c r="BC12" s="357"/>
      <c r="BD12" s="359"/>
      <c r="BE12" s="360"/>
      <c r="BF12" s="355"/>
      <c r="BG12" s="355"/>
      <c r="BH12" s="355"/>
      <c r="BI12" s="356"/>
      <c r="BJ12" s="357"/>
      <c r="BK12" s="358"/>
      <c r="BL12" s="357"/>
      <c r="BM12" s="359"/>
      <c r="BN12" s="360"/>
      <c r="BO12" s="355"/>
      <c r="BP12" s="355"/>
      <c r="BQ12" s="355"/>
      <c r="BR12" s="356"/>
      <c r="BS12" s="357"/>
      <c r="BT12" s="358"/>
      <c r="BU12" s="357"/>
      <c r="BV12" s="359"/>
      <c r="BW12" s="360"/>
      <c r="BX12" s="355"/>
      <c r="BY12" s="355"/>
      <c r="BZ12" s="355"/>
      <c r="CA12" s="356"/>
      <c r="CB12" s="357"/>
      <c r="CC12" s="358"/>
      <c r="CD12" s="357"/>
      <c r="CE12" s="359"/>
      <c r="CF12" s="360"/>
      <c r="CG12" s="355"/>
      <c r="CH12" s="355"/>
      <c r="CI12" s="355"/>
      <c r="CJ12" s="356"/>
      <c r="CK12" s="357"/>
      <c r="CL12" s="358"/>
      <c r="CM12" s="357"/>
      <c r="CN12" s="359"/>
      <c r="CO12" s="360"/>
      <c r="CP12" s="355"/>
      <c r="CQ12" s="355"/>
      <c r="CR12" s="355"/>
      <c r="CS12" s="356"/>
      <c r="CT12" s="357"/>
      <c r="CU12" s="358"/>
      <c r="CV12" s="361"/>
      <c r="CW12" s="359"/>
      <c r="CX12" s="360"/>
      <c r="CY12" s="355"/>
      <c r="CZ12" s="355"/>
      <c r="DA12" s="355"/>
      <c r="DB12" s="356"/>
      <c r="DC12" s="357"/>
      <c r="DD12" s="358"/>
      <c r="DE12" s="357"/>
      <c r="DF12" s="359"/>
      <c r="DG12" s="360"/>
      <c r="DH12" s="355"/>
      <c r="DI12" s="355"/>
      <c r="DJ12" s="355"/>
      <c r="DK12" s="356"/>
      <c r="DL12" s="357"/>
      <c r="DM12" s="358"/>
      <c r="DN12" s="357"/>
      <c r="DO12" s="359"/>
      <c r="DP12" s="360"/>
      <c r="DQ12" s="355"/>
      <c r="DR12" s="355"/>
      <c r="DS12" s="355"/>
      <c r="DT12" s="356"/>
      <c r="DU12" s="357"/>
      <c r="DV12" s="358"/>
      <c r="DW12" s="357"/>
      <c r="DX12" s="359"/>
      <c r="DY12" s="360"/>
      <c r="DZ12" s="355"/>
      <c r="EA12" s="355"/>
      <c r="EB12" s="355"/>
      <c r="EC12" s="356"/>
      <c r="ED12" s="357"/>
      <c r="EE12" s="358"/>
      <c r="EF12" s="357"/>
      <c r="EG12" s="359"/>
      <c r="EH12" s="360"/>
      <c r="EI12" s="355"/>
      <c r="EJ12" s="355"/>
      <c r="EK12" s="355"/>
      <c r="EL12" s="356"/>
      <c r="EM12" s="357"/>
      <c r="EN12" s="358"/>
      <c r="EO12" s="357"/>
      <c r="EP12" s="359"/>
      <c r="EQ12" s="360"/>
      <c r="ER12" s="355"/>
      <c r="ES12" s="355"/>
      <c r="ET12" s="355"/>
      <c r="EU12" s="356"/>
      <c r="EV12" s="357"/>
      <c r="EW12" s="358"/>
      <c r="EX12" s="357"/>
      <c r="EY12" s="359"/>
      <c r="EZ12" s="360"/>
      <c r="FA12" s="355"/>
      <c r="FB12" s="355"/>
      <c r="FC12" s="355"/>
      <c r="FD12" s="356"/>
      <c r="FE12" s="357"/>
      <c r="FF12" s="358"/>
      <c r="FG12" s="357"/>
      <c r="FH12" s="359"/>
      <c r="FI12" s="360"/>
      <c r="FJ12" s="355"/>
      <c r="FK12" s="355"/>
      <c r="FL12" s="355"/>
      <c r="FM12" s="356"/>
      <c r="FN12" s="357"/>
      <c r="FO12" s="358"/>
      <c r="FP12" s="357"/>
      <c r="FQ12" s="359"/>
      <c r="FR12" s="360"/>
      <c r="FS12" s="355"/>
      <c r="FT12" s="355"/>
      <c r="FU12" s="355"/>
      <c r="FV12" s="356"/>
      <c r="FW12" s="357"/>
      <c r="FX12" s="358"/>
      <c r="FY12" s="357"/>
      <c r="FZ12" s="359"/>
      <c r="GA12" s="360"/>
      <c r="GB12" s="355"/>
      <c r="GC12" s="355"/>
      <c r="GD12" s="355"/>
      <c r="GE12" s="356"/>
      <c r="GF12" s="357"/>
      <c r="GG12" s="358"/>
      <c r="GH12" s="357"/>
      <c r="GI12" s="359"/>
      <c r="GJ12" s="360"/>
      <c r="GK12" s="355"/>
      <c r="GL12" s="355"/>
      <c r="GM12" s="355"/>
      <c r="GN12" s="356"/>
      <c r="GO12" s="357"/>
      <c r="GP12" s="358"/>
      <c r="GQ12" s="357"/>
      <c r="GR12" s="359"/>
      <c r="GS12" s="360"/>
      <c r="GT12" s="362">
        <v>42863</v>
      </c>
      <c r="GU12" s="411"/>
      <c r="GV12" s="65">
        <v>22176</v>
      </c>
      <c r="GW12" s="74" t="s">
        <v>329</v>
      </c>
      <c r="GX12" s="74"/>
      <c r="GY12" s="167" t="s">
        <v>405</v>
      </c>
      <c r="GZ12" s="86">
        <v>3480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68" t="s">
        <v>43</v>
      </c>
      <c r="K13" s="407" t="s">
        <v>41</v>
      </c>
      <c r="L13" s="110">
        <v>23080</v>
      </c>
      <c r="M13" s="71">
        <v>42832</v>
      </c>
      <c r="N13" s="380" t="s">
        <v>386</v>
      </c>
      <c r="O13" s="72">
        <v>28980</v>
      </c>
      <c r="P13" s="60">
        <f t="shared" si="0"/>
        <v>5900</v>
      </c>
      <c r="Q13" s="64">
        <v>23.5</v>
      </c>
      <c r="R13" s="64"/>
      <c r="S13" s="111"/>
      <c r="T13" s="39">
        <f t="shared" si="1"/>
        <v>681030</v>
      </c>
      <c r="U13" s="352" t="s">
        <v>72</v>
      </c>
      <c r="V13" s="353">
        <v>42860</v>
      </c>
      <c r="W13" s="354">
        <v>18850</v>
      </c>
      <c r="X13" s="355"/>
      <c r="Y13" s="356"/>
      <c r="Z13" s="357"/>
      <c r="AA13" s="358"/>
      <c r="AB13" s="357"/>
      <c r="AC13" s="359"/>
      <c r="AD13" s="360"/>
      <c r="AE13" s="355"/>
      <c r="AF13" s="355"/>
      <c r="AG13" s="355"/>
      <c r="AH13" s="356"/>
      <c r="AI13" s="357"/>
      <c r="AJ13" s="358"/>
      <c r="AK13" s="357"/>
      <c r="AL13" s="359"/>
      <c r="AM13" s="360"/>
      <c r="AN13" s="355"/>
      <c r="AO13" s="355"/>
      <c r="AP13" s="355"/>
      <c r="AQ13" s="356"/>
      <c r="AR13" s="357"/>
      <c r="AS13" s="358"/>
      <c r="AT13" s="357"/>
      <c r="AU13" s="359"/>
      <c r="AV13" s="360"/>
      <c r="AW13" s="355"/>
      <c r="AX13" s="355"/>
      <c r="AY13" s="355"/>
      <c r="AZ13" s="356"/>
      <c r="BA13" s="357"/>
      <c r="BB13" s="358"/>
      <c r="BC13" s="357"/>
      <c r="BD13" s="359"/>
      <c r="BE13" s="360"/>
      <c r="BF13" s="355"/>
      <c r="BG13" s="355"/>
      <c r="BH13" s="355"/>
      <c r="BI13" s="356"/>
      <c r="BJ13" s="357"/>
      <c r="BK13" s="358"/>
      <c r="BL13" s="357"/>
      <c r="BM13" s="359"/>
      <c r="BN13" s="360"/>
      <c r="BO13" s="355"/>
      <c r="BP13" s="355"/>
      <c r="BQ13" s="355"/>
      <c r="BR13" s="356"/>
      <c r="BS13" s="357"/>
      <c r="BT13" s="358"/>
      <c r="BU13" s="357"/>
      <c r="BV13" s="359"/>
      <c r="BW13" s="360"/>
      <c r="BX13" s="355"/>
      <c r="BY13" s="355"/>
      <c r="BZ13" s="355"/>
      <c r="CA13" s="356"/>
      <c r="CB13" s="357"/>
      <c r="CC13" s="358"/>
      <c r="CD13" s="357"/>
      <c r="CE13" s="359"/>
      <c r="CF13" s="360"/>
      <c r="CG13" s="355"/>
      <c r="CH13" s="355"/>
      <c r="CI13" s="355"/>
      <c r="CJ13" s="356"/>
      <c r="CK13" s="357"/>
      <c r="CL13" s="358"/>
      <c r="CM13" s="357"/>
      <c r="CN13" s="359"/>
      <c r="CO13" s="360"/>
      <c r="CP13" s="355"/>
      <c r="CQ13" s="355"/>
      <c r="CR13" s="355"/>
      <c r="CS13" s="356"/>
      <c r="CT13" s="357"/>
      <c r="CU13" s="358"/>
      <c r="CV13" s="361"/>
      <c r="CW13" s="359"/>
      <c r="CX13" s="360"/>
      <c r="CY13" s="355"/>
      <c r="CZ13" s="355"/>
      <c r="DA13" s="355"/>
      <c r="DB13" s="356"/>
      <c r="DC13" s="357"/>
      <c r="DD13" s="358"/>
      <c r="DE13" s="357"/>
      <c r="DF13" s="359"/>
      <c r="DG13" s="360"/>
      <c r="DH13" s="355"/>
      <c r="DI13" s="355"/>
      <c r="DJ13" s="355"/>
      <c r="DK13" s="356"/>
      <c r="DL13" s="357"/>
      <c r="DM13" s="358"/>
      <c r="DN13" s="357"/>
      <c r="DO13" s="359"/>
      <c r="DP13" s="360"/>
      <c r="DQ13" s="355"/>
      <c r="DR13" s="355"/>
      <c r="DS13" s="355"/>
      <c r="DT13" s="356"/>
      <c r="DU13" s="357"/>
      <c r="DV13" s="358"/>
      <c r="DW13" s="357"/>
      <c r="DX13" s="359"/>
      <c r="DY13" s="360"/>
      <c r="DZ13" s="355"/>
      <c r="EA13" s="355"/>
      <c r="EB13" s="355"/>
      <c r="EC13" s="356"/>
      <c r="ED13" s="357"/>
      <c r="EE13" s="358"/>
      <c r="EF13" s="357"/>
      <c r="EG13" s="359"/>
      <c r="EH13" s="360"/>
      <c r="EI13" s="355"/>
      <c r="EJ13" s="355"/>
      <c r="EK13" s="355"/>
      <c r="EL13" s="356"/>
      <c r="EM13" s="357"/>
      <c r="EN13" s="358"/>
      <c r="EO13" s="357"/>
      <c r="EP13" s="359"/>
      <c r="EQ13" s="360"/>
      <c r="ER13" s="355"/>
      <c r="ES13" s="355"/>
      <c r="ET13" s="355"/>
      <c r="EU13" s="356"/>
      <c r="EV13" s="357"/>
      <c r="EW13" s="358"/>
      <c r="EX13" s="357"/>
      <c r="EY13" s="359"/>
      <c r="EZ13" s="360"/>
      <c r="FA13" s="355"/>
      <c r="FB13" s="355"/>
      <c r="FC13" s="355"/>
      <c r="FD13" s="356"/>
      <c r="FE13" s="357"/>
      <c r="FF13" s="358"/>
      <c r="FG13" s="357"/>
      <c r="FH13" s="359"/>
      <c r="FI13" s="360"/>
      <c r="FJ13" s="355"/>
      <c r="FK13" s="355"/>
      <c r="FL13" s="355"/>
      <c r="FM13" s="356"/>
      <c r="FN13" s="357"/>
      <c r="FO13" s="358"/>
      <c r="FP13" s="357"/>
      <c r="FQ13" s="359"/>
      <c r="FR13" s="360"/>
      <c r="FS13" s="355"/>
      <c r="FT13" s="355"/>
      <c r="FU13" s="355"/>
      <c r="FV13" s="356"/>
      <c r="FW13" s="357"/>
      <c r="FX13" s="358"/>
      <c r="FY13" s="357"/>
      <c r="FZ13" s="359"/>
      <c r="GA13" s="360"/>
      <c r="GB13" s="355"/>
      <c r="GC13" s="355"/>
      <c r="GD13" s="355"/>
      <c r="GE13" s="356"/>
      <c r="GF13" s="357"/>
      <c r="GG13" s="358"/>
      <c r="GH13" s="357"/>
      <c r="GI13" s="359"/>
      <c r="GJ13" s="360"/>
      <c r="GK13" s="355"/>
      <c r="GL13" s="355"/>
      <c r="GM13" s="355"/>
      <c r="GN13" s="356"/>
      <c r="GO13" s="357"/>
      <c r="GP13" s="358"/>
      <c r="GQ13" s="357"/>
      <c r="GR13" s="359"/>
      <c r="GS13" s="360"/>
      <c r="GT13" s="362">
        <v>42860</v>
      </c>
      <c r="GU13" s="411"/>
      <c r="GV13" s="65">
        <v>22176</v>
      </c>
      <c r="GW13" s="74" t="s">
        <v>330</v>
      </c>
      <c r="GX13" s="74"/>
      <c r="GY13" s="390" t="s">
        <v>405</v>
      </c>
      <c r="GZ13" s="86">
        <v>3480</v>
      </c>
    </row>
    <row r="14" spans="1:208" ht="27.75" customHeight="1" x14ac:dyDescent="0.25">
      <c r="C14" s="87"/>
      <c r="D14" s="35"/>
      <c r="E14" s="36"/>
      <c r="F14" s="37"/>
      <c r="G14" s="38"/>
      <c r="H14" s="39"/>
      <c r="I14" s="40"/>
      <c r="J14" s="68" t="s">
        <v>316</v>
      </c>
      <c r="K14" s="407" t="s">
        <v>143</v>
      </c>
      <c r="L14" s="110">
        <v>240</v>
      </c>
      <c r="M14" s="71">
        <v>42832</v>
      </c>
      <c r="N14" s="56" t="s">
        <v>317</v>
      </c>
      <c r="O14" s="72">
        <v>240</v>
      </c>
      <c r="P14" s="113">
        <f t="shared" si="0"/>
        <v>0</v>
      </c>
      <c r="Q14" s="64">
        <v>165</v>
      </c>
      <c r="R14" s="897" t="s">
        <v>349</v>
      </c>
      <c r="S14" s="898"/>
      <c r="T14" s="39">
        <f t="shared" si="1"/>
        <v>39600</v>
      </c>
      <c r="U14" s="90" t="s">
        <v>72</v>
      </c>
      <c r="V14" s="112">
        <v>42849</v>
      </c>
      <c r="W14" s="373"/>
      <c r="X14" s="146"/>
      <c r="Y14" s="147"/>
      <c r="Z14" s="148"/>
      <c r="AA14" s="149"/>
      <c r="AB14" s="148"/>
      <c r="AC14" s="150"/>
      <c r="AD14" s="151"/>
      <c r="AE14" s="146"/>
      <c r="AF14" s="146"/>
      <c r="AG14" s="146"/>
      <c r="AH14" s="147"/>
      <c r="AI14" s="148"/>
      <c r="AJ14" s="149"/>
      <c r="AK14" s="148"/>
      <c r="AL14" s="150"/>
      <c r="AM14" s="151"/>
      <c r="AN14" s="146"/>
      <c r="AO14" s="146"/>
      <c r="AP14" s="146"/>
      <c r="AQ14" s="147"/>
      <c r="AR14" s="148"/>
      <c r="AS14" s="149"/>
      <c r="AT14" s="148"/>
      <c r="AU14" s="150"/>
      <c r="AV14" s="151"/>
      <c r="AW14" s="146"/>
      <c r="AX14" s="146"/>
      <c r="AY14" s="146"/>
      <c r="AZ14" s="147"/>
      <c r="BA14" s="148"/>
      <c r="BB14" s="149"/>
      <c r="BC14" s="148"/>
      <c r="BD14" s="150"/>
      <c r="BE14" s="151"/>
      <c r="BF14" s="146"/>
      <c r="BG14" s="146"/>
      <c r="BH14" s="146"/>
      <c r="BI14" s="147"/>
      <c r="BJ14" s="148"/>
      <c r="BK14" s="149"/>
      <c r="BL14" s="148"/>
      <c r="BM14" s="150"/>
      <c r="BN14" s="151"/>
      <c r="BO14" s="146"/>
      <c r="BP14" s="146"/>
      <c r="BQ14" s="146"/>
      <c r="BR14" s="147"/>
      <c r="BS14" s="148"/>
      <c r="BT14" s="149"/>
      <c r="BU14" s="148"/>
      <c r="BV14" s="150"/>
      <c r="BW14" s="151"/>
      <c r="BX14" s="146"/>
      <c r="BY14" s="146"/>
      <c r="BZ14" s="146"/>
      <c r="CA14" s="147"/>
      <c r="CB14" s="148"/>
      <c r="CC14" s="149"/>
      <c r="CD14" s="148"/>
      <c r="CE14" s="150"/>
      <c r="CF14" s="151"/>
      <c r="CG14" s="146"/>
      <c r="CH14" s="146"/>
      <c r="CI14" s="146"/>
      <c r="CJ14" s="147"/>
      <c r="CK14" s="148"/>
      <c r="CL14" s="149"/>
      <c r="CM14" s="148"/>
      <c r="CN14" s="150"/>
      <c r="CO14" s="151"/>
      <c r="CP14" s="146"/>
      <c r="CQ14" s="146"/>
      <c r="CR14" s="146"/>
      <c r="CS14" s="147"/>
      <c r="CT14" s="148"/>
      <c r="CU14" s="149"/>
      <c r="CV14" s="374"/>
      <c r="CW14" s="150"/>
      <c r="CX14" s="151"/>
      <c r="CY14" s="146"/>
      <c r="CZ14" s="146"/>
      <c r="DA14" s="146"/>
      <c r="DB14" s="147"/>
      <c r="DC14" s="148"/>
      <c r="DD14" s="149"/>
      <c r="DE14" s="148"/>
      <c r="DF14" s="150"/>
      <c r="DG14" s="151"/>
      <c r="DH14" s="146"/>
      <c r="DI14" s="146"/>
      <c r="DJ14" s="146"/>
      <c r="DK14" s="147"/>
      <c r="DL14" s="148"/>
      <c r="DM14" s="149"/>
      <c r="DN14" s="148"/>
      <c r="DO14" s="150"/>
      <c r="DP14" s="151"/>
      <c r="DQ14" s="146"/>
      <c r="DR14" s="146"/>
      <c r="DS14" s="146"/>
      <c r="DT14" s="147"/>
      <c r="DU14" s="148"/>
      <c r="DV14" s="149"/>
      <c r="DW14" s="148"/>
      <c r="DX14" s="150"/>
      <c r="DY14" s="151"/>
      <c r="DZ14" s="146"/>
      <c r="EA14" s="146"/>
      <c r="EB14" s="146"/>
      <c r="EC14" s="147"/>
      <c r="ED14" s="148"/>
      <c r="EE14" s="149"/>
      <c r="EF14" s="148"/>
      <c r="EG14" s="150"/>
      <c r="EH14" s="151"/>
      <c r="EI14" s="146"/>
      <c r="EJ14" s="146"/>
      <c r="EK14" s="146"/>
      <c r="EL14" s="147"/>
      <c r="EM14" s="148"/>
      <c r="EN14" s="149"/>
      <c r="EO14" s="148"/>
      <c r="EP14" s="150"/>
      <c r="EQ14" s="151"/>
      <c r="ER14" s="146"/>
      <c r="ES14" s="146"/>
      <c r="ET14" s="146"/>
      <c r="EU14" s="147"/>
      <c r="EV14" s="148"/>
      <c r="EW14" s="149"/>
      <c r="EX14" s="148"/>
      <c r="EY14" s="150"/>
      <c r="EZ14" s="151"/>
      <c r="FA14" s="146"/>
      <c r="FB14" s="146"/>
      <c r="FC14" s="146"/>
      <c r="FD14" s="147"/>
      <c r="FE14" s="148"/>
      <c r="FF14" s="149"/>
      <c r="FG14" s="148"/>
      <c r="FH14" s="150"/>
      <c r="FI14" s="151"/>
      <c r="FJ14" s="146"/>
      <c r="FK14" s="146"/>
      <c r="FL14" s="146"/>
      <c r="FM14" s="147"/>
      <c r="FN14" s="148"/>
      <c r="FO14" s="149"/>
      <c r="FP14" s="148"/>
      <c r="FQ14" s="150"/>
      <c r="FR14" s="151"/>
      <c r="FS14" s="146"/>
      <c r="FT14" s="146"/>
      <c r="FU14" s="146"/>
      <c r="FV14" s="147"/>
      <c r="FW14" s="148"/>
      <c r="FX14" s="149"/>
      <c r="FY14" s="148"/>
      <c r="FZ14" s="150"/>
      <c r="GA14" s="151"/>
      <c r="GB14" s="146"/>
      <c r="GC14" s="146"/>
      <c r="GD14" s="146"/>
      <c r="GE14" s="147"/>
      <c r="GF14" s="148"/>
      <c r="GG14" s="149"/>
      <c r="GH14" s="148"/>
      <c r="GI14" s="150"/>
      <c r="GJ14" s="151"/>
      <c r="GK14" s="146"/>
      <c r="GL14" s="146"/>
      <c r="GM14" s="146"/>
      <c r="GN14" s="147"/>
      <c r="GO14" s="148"/>
      <c r="GP14" s="149"/>
      <c r="GQ14" s="148"/>
      <c r="GR14" s="150"/>
      <c r="GS14" s="151"/>
      <c r="GT14" s="152"/>
      <c r="GU14" s="114"/>
      <c r="GV14" s="65"/>
      <c r="GW14" s="74"/>
      <c r="GX14" s="74"/>
      <c r="GY14" s="167" t="s">
        <v>176</v>
      </c>
      <c r="GZ14" s="86">
        <v>0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434" t="s">
        <v>318</v>
      </c>
      <c r="K15" s="407" t="s">
        <v>70</v>
      </c>
      <c r="L15" s="110">
        <v>23792</v>
      </c>
      <c r="M15" s="71">
        <v>42833</v>
      </c>
      <c r="N15" s="56" t="s">
        <v>324</v>
      </c>
      <c r="O15" s="72">
        <v>24069.7</v>
      </c>
      <c r="P15" s="113">
        <f t="shared" si="0"/>
        <v>277.70000000000073</v>
      </c>
      <c r="Q15" s="64">
        <v>30.4</v>
      </c>
      <c r="R15" s="64"/>
      <c r="S15" s="64"/>
      <c r="T15" s="39">
        <f t="shared" si="1"/>
        <v>731718.88</v>
      </c>
      <c r="U15" s="90" t="s">
        <v>72</v>
      </c>
      <c r="V15" s="112">
        <v>42837</v>
      </c>
      <c r="W15" s="109"/>
      <c r="X15" s="17"/>
      <c r="Y15" s="20"/>
      <c r="Z15" s="92"/>
      <c r="AA15" s="93"/>
      <c r="AB15" s="92"/>
      <c r="AC15" s="94"/>
      <c r="AD15" s="95"/>
      <c r="AE15" s="17"/>
      <c r="AF15" s="17"/>
      <c r="AG15" s="17"/>
      <c r="AH15" s="20"/>
      <c r="AI15" s="92"/>
      <c r="AJ15" s="93"/>
      <c r="AK15" s="92"/>
      <c r="AL15" s="94"/>
      <c r="AM15" s="95"/>
      <c r="AN15" s="17"/>
      <c r="AO15" s="17"/>
      <c r="AP15" s="17"/>
      <c r="AQ15" s="20"/>
      <c r="AR15" s="92"/>
      <c r="AS15" s="93"/>
      <c r="AT15" s="92"/>
      <c r="AU15" s="94"/>
      <c r="AV15" s="95"/>
      <c r="AW15" s="17"/>
      <c r="AX15" s="17"/>
      <c r="AY15" s="17"/>
      <c r="AZ15" s="20"/>
      <c r="BA15" s="92"/>
      <c r="BB15" s="93"/>
      <c r="BC15" s="92"/>
      <c r="BD15" s="94"/>
      <c r="BE15" s="95"/>
      <c r="BF15" s="17"/>
      <c r="BG15" s="17"/>
      <c r="BH15" s="17"/>
      <c r="BI15" s="20"/>
      <c r="BJ15" s="92"/>
      <c r="BK15" s="93"/>
      <c r="BL15" s="92"/>
      <c r="BM15" s="94"/>
      <c r="BN15" s="95"/>
      <c r="BO15" s="17"/>
      <c r="BP15" s="17"/>
      <c r="BQ15" s="17"/>
      <c r="BR15" s="20"/>
      <c r="BS15" s="92"/>
      <c r="BT15" s="93"/>
      <c r="BU15" s="92"/>
      <c r="BV15" s="94"/>
      <c r="BW15" s="95"/>
      <c r="BX15" s="17"/>
      <c r="BY15" s="17"/>
      <c r="BZ15" s="17"/>
      <c r="CA15" s="20"/>
      <c r="CB15" s="92"/>
      <c r="CC15" s="93"/>
      <c r="CD15" s="92"/>
      <c r="CE15" s="94"/>
      <c r="CF15" s="95"/>
      <c r="CG15" s="17"/>
      <c r="CH15" s="17"/>
      <c r="CI15" s="17"/>
      <c r="CJ15" s="20"/>
      <c r="CK15" s="92"/>
      <c r="CL15" s="93"/>
      <c r="CM15" s="92"/>
      <c r="CN15" s="94"/>
      <c r="CO15" s="95"/>
      <c r="CP15" s="17"/>
      <c r="CQ15" s="17"/>
      <c r="CR15" s="17"/>
      <c r="CS15" s="20"/>
      <c r="CT15" s="92"/>
      <c r="CU15" s="93"/>
      <c r="CV15" s="96"/>
      <c r="CW15" s="94"/>
      <c r="CX15" s="95"/>
      <c r="CY15" s="17"/>
      <c r="CZ15" s="17"/>
      <c r="DA15" s="17"/>
      <c r="DB15" s="20"/>
      <c r="DC15" s="92"/>
      <c r="DD15" s="93"/>
      <c r="DE15" s="92"/>
      <c r="DF15" s="94"/>
      <c r="DG15" s="95"/>
      <c r="DH15" s="17"/>
      <c r="DI15" s="17"/>
      <c r="DJ15" s="17"/>
      <c r="DK15" s="20"/>
      <c r="DL15" s="92"/>
      <c r="DM15" s="93"/>
      <c r="DN15" s="92"/>
      <c r="DO15" s="94"/>
      <c r="DP15" s="95"/>
      <c r="DQ15" s="17"/>
      <c r="DR15" s="17"/>
      <c r="DS15" s="17"/>
      <c r="DT15" s="20"/>
      <c r="DU15" s="92"/>
      <c r="DV15" s="93"/>
      <c r="DW15" s="92"/>
      <c r="DX15" s="94"/>
      <c r="DY15" s="95"/>
      <c r="DZ15" s="17"/>
      <c r="EA15" s="17"/>
      <c r="EB15" s="17"/>
      <c r="EC15" s="20"/>
      <c r="ED15" s="92"/>
      <c r="EE15" s="93"/>
      <c r="EF15" s="92"/>
      <c r="EG15" s="94"/>
      <c r="EH15" s="95"/>
      <c r="EI15" s="17"/>
      <c r="EJ15" s="17"/>
      <c r="EK15" s="17"/>
      <c r="EL15" s="20"/>
      <c r="EM15" s="92"/>
      <c r="EN15" s="93"/>
      <c r="EO15" s="92"/>
      <c r="EP15" s="94"/>
      <c r="EQ15" s="95"/>
      <c r="ER15" s="17"/>
      <c r="ES15" s="17"/>
      <c r="ET15" s="17"/>
      <c r="EU15" s="20"/>
      <c r="EV15" s="92"/>
      <c r="EW15" s="93"/>
      <c r="EX15" s="92"/>
      <c r="EY15" s="94"/>
      <c r="EZ15" s="95"/>
      <c r="FA15" s="17"/>
      <c r="FB15" s="17"/>
      <c r="FC15" s="17"/>
      <c r="FD15" s="20"/>
      <c r="FE15" s="92"/>
      <c r="FF15" s="93"/>
      <c r="FG15" s="92"/>
      <c r="FH15" s="94"/>
      <c r="FI15" s="95"/>
      <c r="FJ15" s="17"/>
      <c r="FK15" s="17"/>
      <c r="FL15" s="17"/>
      <c r="FM15" s="20"/>
      <c r="FN15" s="92"/>
      <c r="FO15" s="93"/>
      <c r="FP15" s="92"/>
      <c r="FQ15" s="94"/>
      <c r="FR15" s="95"/>
      <c r="FS15" s="17"/>
      <c r="FT15" s="17"/>
      <c r="FU15" s="17"/>
      <c r="FV15" s="20"/>
      <c r="FW15" s="92"/>
      <c r="FX15" s="93"/>
      <c r="FY15" s="92"/>
      <c r="FZ15" s="94"/>
      <c r="GA15" s="95"/>
      <c r="GB15" s="17"/>
      <c r="GC15" s="17"/>
      <c r="GD15" s="17"/>
      <c r="GE15" s="20"/>
      <c r="GF15" s="92"/>
      <c r="GG15" s="93"/>
      <c r="GH15" s="92"/>
      <c r="GI15" s="94"/>
      <c r="GJ15" s="95"/>
      <c r="GK15" s="17"/>
      <c r="GL15" s="17"/>
      <c r="GM15" s="17"/>
      <c r="GN15" s="20"/>
      <c r="GO15" s="92"/>
      <c r="GP15" s="93"/>
      <c r="GQ15" s="92"/>
      <c r="GR15" s="94"/>
      <c r="GS15" s="95"/>
      <c r="GT15" s="97"/>
      <c r="GU15" s="98"/>
      <c r="GV15" s="65"/>
      <c r="GW15" s="74"/>
      <c r="GX15" s="74"/>
      <c r="GY15" s="167" t="s">
        <v>405</v>
      </c>
      <c r="GZ15" s="86">
        <v>3480</v>
      </c>
    </row>
    <row r="16" spans="1:208" ht="31.5" x14ac:dyDescent="0.25">
      <c r="C16" s="87"/>
      <c r="D16" s="35"/>
      <c r="E16" s="36"/>
      <c r="F16" s="37"/>
      <c r="G16" s="38"/>
      <c r="H16" s="39"/>
      <c r="I16" s="40"/>
      <c r="J16" s="455" t="s">
        <v>331</v>
      </c>
      <c r="K16" s="407" t="s">
        <v>319</v>
      </c>
      <c r="L16" s="110">
        <v>27850</v>
      </c>
      <c r="M16" s="71">
        <v>42833</v>
      </c>
      <c r="N16" s="56">
        <v>6668</v>
      </c>
      <c r="O16" s="72">
        <v>26843.4</v>
      </c>
      <c r="P16" s="456">
        <f t="shared" si="0"/>
        <v>-1006.5999999999985</v>
      </c>
      <c r="Q16" s="64">
        <v>24.9</v>
      </c>
      <c r="R16" s="64"/>
      <c r="S16" s="64"/>
      <c r="T16" s="457">
        <f t="shared" si="1"/>
        <v>668400.66</v>
      </c>
      <c r="U16" s="90" t="s">
        <v>72</v>
      </c>
      <c r="V16" s="112">
        <v>42842</v>
      </c>
      <c r="W16" s="463">
        <v>25095</v>
      </c>
      <c r="X16" s="464"/>
      <c r="Y16" s="465"/>
      <c r="Z16" s="466"/>
      <c r="AA16" s="467"/>
      <c r="AB16" s="466"/>
      <c r="AC16" s="468"/>
      <c r="AD16" s="469"/>
      <c r="AE16" s="464"/>
      <c r="AF16" s="464"/>
      <c r="AG16" s="464"/>
      <c r="AH16" s="465"/>
      <c r="AI16" s="466"/>
      <c r="AJ16" s="467"/>
      <c r="AK16" s="466"/>
      <c r="AL16" s="468"/>
      <c r="AM16" s="469"/>
      <c r="AN16" s="464"/>
      <c r="AO16" s="464"/>
      <c r="AP16" s="464"/>
      <c r="AQ16" s="465"/>
      <c r="AR16" s="466"/>
      <c r="AS16" s="467"/>
      <c r="AT16" s="466"/>
      <c r="AU16" s="468"/>
      <c r="AV16" s="469"/>
      <c r="AW16" s="464"/>
      <c r="AX16" s="464"/>
      <c r="AY16" s="464"/>
      <c r="AZ16" s="465"/>
      <c r="BA16" s="466"/>
      <c r="BB16" s="467"/>
      <c r="BC16" s="466"/>
      <c r="BD16" s="468"/>
      <c r="BE16" s="469"/>
      <c r="BF16" s="464"/>
      <c r="BG16" s="464"/>
      <c r="BH16" s="464"/>
      <c r="BI16" s="465"/>
      <c r="BJ16" s="466"/>
      <c r="BK16" s="467"/>
      <c r="BL16" s="466"/>
      <c r="BM16" s="468"/>
      <c r="BN16" s="469"/>
      <c r="BO16" s="464"/>
      <c r="BP16" s="464"/>
      <c r="BQ16" s="464"/>
      <c r="BR16" s="465"/>
      <c r="BS16" s="466"/>
      <c r="BT16" s="467"/>
      <c r="BU16" s="466"/>
      <c r="BV16" s="468"/>
      <c r="BW16" s="469"/>
      <c r="BX16" s="464"/>
      <c r="BY16" s="464"/>
      <c r="BZ16" s="464"/>
      <c r="CA16" s="465"/>
      <c r="CB16" s="466"/>
      <c r="CC16" s="467"/>
      <c r="CD16" s="466"/>
      <c r="CE16" s="468"/>
      <c r="CF16" s="469"/>
      <c r="CG16" s="464"/>
      <c r="CH16" s="464"/>
      <c r="CI16" s="464"/>
      <c r="CJ16" s="465"/>
      <c r="CK16" s="466"/>
      <c r="CL16" s="467"/>
      <c r="CM16" s="466"/>
      <c r="CN16" s="468"/>
      <c r="CO16" s="469"/>
      <c r="CP16" s="464"/>
      <c r="CQ16" s="464"/>
      <c r="CR16" s="464"/>
      <c r="CS16" s="465"/>
      <c r="CT16" s="466"/>
      <c r="CU16" s="467"/>
      <c r="CV16" s="470"/>
      <c r="CW16" s="468"/>
      <c r="CX16" s="469"/>
      <c r="CY16" s="464"/>
      <c r="CZ16" s="464"/>
      <c r="DA16" s="464"/>
      <c r="DB16" s="465"/>
      <c r="DC16" s="466"/>
      <c r="DD16" s="467"/>
      <c r="DE16" s="466"/>
      <c r="DF16" s="468"/>
      <c r="DG16" s="469"/>
      <c r="DH16" s="464"/>
      <c r="DI16" s="464"/>
      <c r="DJ16" s="464"/>
      <c r="DK16" s="465"/>
      <c r="DL16" s="466"/>
      <c r="DM16" s="467"/>
      <c r="DN16" s="466"/>
      <c r="DO16" s="468"/>
      <c r="DP16" s="469"/>
      <c r="DQ16" s="464"/>
      <c r="DR16" s="464"/>
      <c r="DS16" s="464"/>
      <c r="DT16" s="465"/>
      <c r="DU16" s="466"/>
      <c r="DV16" s="467"/>
      <c r="DW16" s="466"/>
      <c r="DX16" s="468"/>
      <c r="DY16" s="469"/>
      <c r="DZ16" s="464"/>
      <c r="EA16" s="464"/>
      <c r="EB16" s="464"/>
      <c r="EC16" s="465"/>
      <c r="ED16" s="466"/>
      <c r="EE16" s="467"/>
      <c r="EF16" s="466"/>
      <c r="EG16" s="468"/>
      <c r="EH16" s="469"/>
      <c r="EI16" s="464"/>
      <c r="EJ16" s="464"/>
      <c r="EK16" s="464"/>
      <c r="EL16" s="465"/>
      <c r="EM16" s="466"/>
      <c r="EN16" s="467"/>
      <c r="EO16" s="466"/>
      <c r="EP16" s="468"/>
      <c r="EQ16" s="469"/>
      <c r="ER16" s="464"/>
      <c r="ES16" s="464"/>
      <c r="ET16" s="464"/>
      <c r="EU16" s="465"/>
      <c r="EV16" s="466"/>
      <c r="EW16" s="467"/>
      <c r="EX16" s="466"/>
      <c r="EY16" s="468"/>
      <c r="EZ16" s="469"/>
      <c r="FA16" s="464"/>
      <c r="FB16" s="464"/>
      <c r="FC16" s="464"/>
      <c r="FD16" s="465"/>
      <c r="FE16" s="466"/>
      <c r="FF16" s="467"/>
      <c r="FG16" s="466"/>
      <c r="FH16" s="468"/>
      <c r="FI16" s="469"/>
      <c r="FJ16" s="464"/>
      <c r="FK16" s="464"/>
      <c r="FL16" s="464"/>
      <c r="FM16" s="465"/>
      <c r="FN16" s="466"/>
      <c r="FO16" s="467"/>
      <c r="FP16" s="466"/>
      <c r="FQ16" s="468"/>
      <c r="FR16" s="469"/>
      <c r="FS16" s="464"/>
      <c r="FT16" s="464"/>
      <c r="FU16" s="464"/>
      <c r="FV16" s="465"/>
      <c r="FW16" s="466"/>
      <c r="FX16" s="467"/>
      <c r="FY16" s="466"/>
      <c r="FZ16" s="468"/>
      <c r="GA16" s="469"/>
      <c r="GB16" s="464"/>
      <c r="GC16" s="464"/>
      <c r="GD16" s="464"/>
      <c r="GE16" s="465"/>
      <c r="GF16" s="466"/>
      <c r="GG16" s="467"/>
      <c r="GH16" s="466"/>
      <c r="GI16" s="468"/>
      <c r="GJ16" s="469"/>
      <c r="GK16" s="464"/>
      <c r="GL16" s="464"/>
      <c r="GM16" s="464"/>
      <c r="GN16" s="465"/>
      <c r="GO16" s="466"/>
      <c r="GP16" s="467"/>
      <c r="GQ16" s="466"/>
      <c r="GR16" s="468"/>
      <c r="GS16" s="469"/>
      <c r="GT16" s="471">
        <v>42845</v>
      </c>
      <c r="GU16" s="98"/>
      <c r="GV16" s="65"/>
      <c r="GW16" s="74"/>
      <c r="GX16" s="74"/>
      <c r="GY16" s="167" t="s">
        <v>176</v>
      </c>
      <c r="GZ16" s="86">
        <v>0</v>
      </c>
    </row>
    <row r="17" spans="1:208" x14ac:dyDescent="0.25">
      <c r="C17" s="87"/>
      <c r="D17" s="35"/>
      <c r="E17" s="36"/>
      <c r="F17" s="37"/>
      <c r="G17" s="38"/>
      <c r="H17" s="39"/>
      <c r="I17" s="40"/>
      <c r="J17" s="68" t="s">
        <v>320</v>
      </c>
      <c r="K17" s="407" t="s">
        <v>105</v>
      </c>
      <c r="L17" s="70">
        <v>22350</v>
      </c>
      <c r="M17" s="71">
        <v>42835</v>
      </c>
      <c r="N17" s="56">
        <v>6669</v>
      </c>
      <c r="O17" s="72">
        <v>25760</v>
      </c>
      <c r="P17" s="113">
        <f t="shared" si="0"/>
        <v>3410</v>
      </c>
      <c r="Q17" s="64">
        <v>24.9</v>
      </c>
      <c r="R17" s="64"/>
      <c r="S17" s="64"/>
      <c r="T17" s="39">
        <f t="shared" si="1"/>
        <v>641424</v>
      </c>
      <c r="U17" s="115" t="s">
        <v>72</v>
      </c>
      <c r="V17" s="112">
        <v>42849</v>
      </c>
      <c r="W17" s="440">
        <v>23166</v>
      </c>
      <c r="X17" s="17"/>
      <c r="Y17" s="20"/>
      <c r="Z17" s="92"/>
      <c r="AA17" s="93"/>
      <c r="AB17" s="92"/>
      <c r="AC17" s="94"/>
      <c r="AD17" s="95"/>
      <c r="AE17" s="17"/>
      <c r="AF17" s="17"/>
      <c r="AG17" s="17"/>
      <c r="AH17" s="20"/>
      <c r="AI17" s="92"/>
      <c r="AJ17" s="93"/>
      <c r="AK17" s="92"/>
      <c r="AL17" s="94"/>
      <c r="AM17" s="95"/>
      <c r="AN17" s="17"/>
      <c r="AO17" s="17"/>
      <c r="AP17" s="17"/>
      <c r="AQ17" s="20"/>
      <c r="AR17" s="92"/>
      <c r="AS17" s="93"/>
      <c r="AT17" s="92"/>
      <c r="AU17" s="94"/>
      <c r="AV17" s="95"/>
      <c r="AW17" s="17"/>
      <c r="AX17" s="17"/>
      <c r="AY17" s="17"/>
      <c r="AZ17" s="20"/>
      <c r="BA17" s="92"/>
      <c r="BB17" s="93"/>
      <c r="BC17" s="92"/>
      <c r="BD17" s="94"/>
      <c r="BE17" s="95"/>
      <c r="BF17" s="17"/>
      <c r="BG17" s="17"/>
      <c r="BH17" s="17"/>
      <c r="BI17" s="20"/>
      <c r="BJ17" s="92"/>
      <c r="BK17" s="93"/>
      <c r="BL17" s="92"/>
      <c r="BM17" s="94"/>
      <c r="BN17" s="95"/>
      <c r="BO17" s="17"/>
      <c r="BP17" s="17"/>
      <c r="BQ17" s="17"/>
      <c r="BR17" s="20"/>
      <c r="BS17" s="92"/>
      <c r="BT17" s="93"/>
      <c r="BU17" s="92"/>
      <c r="BV17" s="94"/>
      <c r="BW17" s="95"/>
      <c r="BX17" s="17"/>
      <c r="BY17" s="17"/>
      <c r="BZ17" s="17"/>
      <c r="CA17" s="20"/>
      <c r="CB17" s="92"/>
      <c r="CC17" s="93"/>
      <c r="CD17" s="92"/>
      <c r="CE17" s="94"/>
      <c r="CF17" s="95"/>
      <c r="CG17" s="17"/>
      <c r="CH17" s="17"/>
      <c r="CI17" s="17"/>
      <c r="CJ17" s="20"/>
      <c r="CK17" s="92"/>
      <c r="CL17" s="93"/>
      <c r="CM17" s="92"/>
      <c r="CN17" s="94"/>
      <c r="CO17" s="95"/>
      <c r="CP17" s="17"/>
      <c r="CQ17" s="17"/>
      <c r="CR17" s="17"/>
      <c r="CS17" s="20"/>
      <c r="CT17" s="92"/>
      <c r="CU17" s="93"/>
      <c r="CV17" s="96"/>
      <c r="CW17" s="94"/>
      <c r="CX17" s="95"/>
      <c r="CY17" s="17"/>
      <c r="CZ17" s="17"/>
      <c r="DA17" s="17"/>
      <c r="DB17" s="20"/>
      <c r="DC17" s="92"/>
      <c r="DD17" s="93"/>
      <c r="DE17" s="92"/>
      <c r="DF17" s="94"/>
      <c r="DG17" s="95"/>
      <c r="DH17" s="17"/>
      <c r="DI17" s="17"/>
      <c r="DJ17" s="17"/>
      <c r="DK17" s="20"/>
      <c r="DL17" s="92"/>
      <c r="DM17" s="93"/>
      <c r="DN17" s="92"/>
      <c r="DO17" s="94"/>
      <c r="DP17" s="95"/>
      <c r="DQ17" s="17"/>
      <c r="DR17" s="17"/>
      <c r="DS17" s="17"/>
      <c r="DT17" s="20"/>
      <c r="DU17" s="92"/>
      <c r="DV17" s="93"/>
      <c r="DW17" s="92"/>
      <c r="DX17" s="94"/>
      <c r="DY17" s="95"/>
      <c r="DZ17" s="17"/>
      <c r="EA17" s="17"/>
      <c r="EB17" s="17"/>
      <c r="EC17" s="20"/>
      <c r="ED17" s="92"/>
      <c r="EE17" s="93"/>
      <c r="EF17" s="92"/>
      <c r="EG17" s="94"/>
      <c r="EH17" s="95"/>
      <c r="EI17" s="17"/>
      <c r="EJ17" s="17"/>
      <c r="EK17" s="17"/>
      <c r="EL17" s="20"/>
      <c r="EM17" s="92"/>
      <c r="EN17" s="93"/>
      <c r="EO17" s="92"/>
      <c r="EP17" s="94"/>
      <c r="EQ17" s="95"/>
      <c r="ER17" s="17"/>
      <c r="ES17" s="17"/>
      <c r="ET17" s="17"/>
      <c r="EU17" s="20"/>
      <c r="EV17" s="92"/>
      <c r="EW17" s="93"/>
      <c r="EX17" s="92"/>
      <c r="EY17" s="94"/>
      <c r="EZ17" s="95"/>
      <c r="FA17" s="17"/>
      <c r="FB17" s="17"/>
      <c r="FC17" s="17"/>
      <c r="FD17" s="20"/>
      <c r="FE17" s="92"/>
      <c r="FF17" s="93"/>
      <c r="FG17" s="92"/>
      <c r="FH17" s="94"/>
      <c r="FI17" s="95"/>
      <c r="FJ17" s="17"/>
      <c r="FK17" s="17"/>
      <c r="FL17" s="17"/>
      <c r="FM17" s="20"/>
      <c r="FN17" s="92"/>
      <c r="FO17" s="93"/>
      <c r="FP17" s="92"/>
      <c r="FQ17" s="94"/>
      <c r="FR17" s="95"/>
      <c r="FS17" s="17"/>
      <c r="FT17" s="17"/>
      <c r="FU17" s="17"/>
      <c r="FV17" s="20"/>
      <c r="FW17" s="92"/>
      <c r="FX17" s="93"/>
      <c r="FY17" s="92"/>
      <c r="FZ17" s="94"/>
      <c r="GA17" s="95"/>
      <c r="GB17" s="17"/>
      <c r="GC17" s="17"/>
      <c r="GD17" s="17"/>
      <c r="GE17" s="20"/>
      <c r="GF17" s="92"/>
      <c r="GG17" s="93"/>
      <c r="GH17" s="92"/>
      <c r="GI17" s="94"/>
      <c r="GJ17" s="95"/>
      <c r="GK17" s="17"/>
      <c r="GL17" s="17"/>
      <c r="GM17" s="17"/>
      <c r="GN17" s="20"/>
      <c r="GO17" s="92"/>
      <c r="GP17" s="93"/>
      <c r="GQ17" s="92"/>
      <c r="GR17" s="94"/>
      <c r="GS17" s="95"/>
      <c r="GT17" s="97">
        <v>42845</v>
      </c>
      <c r="GU17" s="98"/>
      <c r="GV17" s="65"/>
      <c r="GW17" s="74"/>
      <c r="GX17" s="74"/>
      <c r="GY17" s="167" t="s">
        <v>176</v>
      </c>
      <c r="GZ17" s="86">
        <v>0</v>
      </c>
    </row>
    <row r="18" spans="1:208" x14ac:dyDescent="0.25">
      <c r="C18" s="87"/>
      <c r="D18" s="35"/>
      <c r="E18" s="36"/>
      <c r="F18" s="37"/>
      <c r="G18" s="38"/>
      <c r="H18" s="39"/>
      <c r="I18" s="40"/>
      <c r="J18" s="68" t="s">
        <v>321</v>
      </c>
      <c r="K18" s="407" t="s">
        <v>255</v>
      </c>
      <c r="L18" s="70">
        <v>11690</v>
      </c>
      <c r="M18" s="71">
        <v>42836</v>
      </c>
      <c r="N18" s="56">
        <v>6670</v>
      </c>
      <c r="O18" s="72">
        <v>16190</v>
      </c>
      <c r="P18" s="462">
        <f t="shared" si="0"/>
        <v>4500</v>
      </c>
      <c r="Q18" s="64">
        <v>25.2</v>
      </c>
      <c r="R18" s="64"/>
      <c r="S18" s="64"/>
      <c r="T18" s="39">
        <f t="shared" si="1"/>
        <v>407988</v>
      </c>
      <c r="U18" s="115" t="s">
        <v>72</v>
      </c>
      <c r="V18" s="112">
        <v>42845</v>
      </c>
      <c r="W18" s="440">
        <v>14256</v>
      </c>
      <c r="X18" s="17"/>
      <c r="Y18" s="20"/>
      <c r="Z18" s="92"/>
      <c r="AA18" s="93"/>
      <c r="AB18" s="92"/>
      <c r="AC18" s="94"/>
      <c r="AD18" s="95"/>
      <c r="AE18" s="17"/>
      <c r="AF18" s="17"/>
      <c r="AG18" s="17"/>
      <c r="AH18" s="20"/>
      <c r="AI18" s="92"/>
      <c r="AJ18" s="93"/>
      <c r="AK18" s="92"/>
      <c r="AL18" s="94"/>
      <c r="AM18" s="95"/>
      <c r="AN18" s="17"/>
      <c r="AO18" s="17"/>
      <c r="AP18" s="17"/>
      <c r="AQ18" s="20"/>
      <c r="AR18" s="92"/>
      <c r="AS18" s="93"/>
      <c r="AT18" s="92"/>
      <c r="AU18" s="94"/>
      <c r="AV18" s="95"/>
      <c r="AW18" s="17"/>
      <c r="AX18" s="17"/>
      <c r="AY18" s="17"/>
      <c r="AZ18" s="20"/>
      <c r="BA18" s="92"/>
      <c r="BB18" s="93"/>
      <c r="BC18" s="92"/>
      <c r="BD18" s="94"/>
      <c r="BE18" s="95"/>
      <c r="BF18" s="17"/>
      <c r="BG18" s="17"/>
      <c r="BH18" s="17"/>
      <c r="BI18" s="20"/>
      <c r="BJ18" s="92"/>
      <c r="BK18" s="93"/>
      <c r="BL18" s="92"/>
      <c r="BM18" s="94"/>
      <c r="BN18" s="95"/>
      <c r="BO18" s="17"/>
      <c r="BP18" s="17"/>
      <c r="BQ18" s="17"/>
      <c r="BR18" s="20"/>
      <c r="BS18" s="92"/>
      <c r="BT18" s="93"/>
      <c r="BU18" s="92"/>
      <c r="BV18" s="94"/>
      <c r="BW18" s="95"/>
      <c r="BX18" s="17"/>
      <c r="BY18" s="17"/>
      <c r="BZ18" s="17"/>
      <c r="CA18" s="20"/>
      <c r="CB18" s="92"/>
      <c r="CC18" s="93"/>
      <c r="CD18" s="92"/>
      <c r="CE18" s="94"/>
      <c r="CF18" s="95"/>
      <c r="CG18" s="17"/>
      <c r="CH18" s="17"/>
      <c r="CI18" s="17"/>
      <c r="CJ18" s="20"/>
      <c r="CK18" s="92"/>
      <c r="CL18" s="93"/>
      <c r="CM18" s="92"/>
      <c r="CN18" s="94"/>
      <c r="CO18" s="95"/>
      <c r="CP18" s="17"/>
      <c r="CQ18" s="17"/>
      <c r="CR18" s="17"/>
      <c r="CS18" s="20"/>
      <c r="CT18" s="92"/>
      <c r="CU18" s="93"/>
      <c r="CV18" s="96"/>
      <c r="CW18" s="94"/>
      <c r="CX18" s="95"/>
      <c r="CY18" s="17"/>
      <c r="CZ18" s="17"/>
      <c r="DA18" s="17"/>
      <c r="DB18" s="20"/>
      <c r="DC18" s="92"/>
      <c r="DD18" s="93"/>
      <c r="DE18" s="92"/>
      <c r="DF18" s="94"/>
      <c r="DG18" s="95"/>
      <c r="DH18" s="17"/>
      <c r="DI18" s="17"/>
      <c r="DJ18" s="17"/>
      <c r="DK18" s="20"/>
      <c r="DL18" s="92"/>
      <c r="DM18" s="93"/>
      <c r="DN18" s="92"/>
      <c r="DO18" s="94"/>
      <c r="DP18" s="95"/>
      <c r="DQ18" s="17"/>
      <c r="DR18" s="17"/>
      <c r="DS18" s="17"/>
      <c r="DT18" s="20"/>
      <c r="DU18" s="92"/>
      <c r="DV18" s="93"/>
      <c r="DW18" s="92"/>
      <c r="DX18" s="94"/>
      <c r="DY18" s="95"/>
      <c r="DZ18" s="17"/>
      <c r="EA18" s="17"/>
      <c r="EB18" s="17"/>
      <c r="EC18" s="20"/>
      <c r="ED18" s="92"/>
      <c r="EE18" s="93"/>
      <c r="EF18" s="92"/>
      <c r="EG18" s="94"/>
      <c r="EH18" s="95"/>
      <c r="EI18" s="17"/>
      <c r="EJ18" s="17"/>
      <c r="EK18" s="17"/>
      <c r="EL18" s="20"/>
      <c r="EM18" s="92"/>
      <c r="EN18" s="93"/>
      <c r="EO18" s="92"/>
      <c r="EP18" s="94"/>
      <c r="EQ18" s="95"/>
      <c r="ER18" s="17"/>
      <c r="ES18" s="17"/>
      <c r="ET18" s="17"/>
      <c r="EU18" s="20"/>
      <c r="EV18" s="92"/>
      <c r="EW18" s="93"/>
      <c r="EX18" s="92"/>
      <c r="EY18" s="94"/>
      <c r="EZ18" s="95"/>
      <c r="FA18" s="17"/>
      <c r="FB18" s="17"/>
      <c r="FC18" s="17"/>
      <c r="FD18" s="20"/>
      <c r="FE18" s="92"/>
      <c r="FF18" s="93"/>
      <c r="FG18" s="92"/>
      <c r="FH18" s="94"/>
      <c r="FI18" s="95"/>
      <c r="FJ18" s="17"/>
      <c r="FK18" s="17"/>
      <c r="FL18" s="17"/>
      <c r="FM18" s="20"/>
      <c r="FN18" s="92"/>
      <c r="FO18" s="93"/>
      <c r="FP18" s="92"/>
      <c r="FQ18" s="94"/>
      <c r="FR18" s="95"/>
      <c r="FS18" s="17"/>
      <c r="FT18" s="17"/>
      <c r="FU18" s="17"/>
      <c r="FV18" s="20"/>
      <c r="FW18" s="92"/>
      <c r="FX18" s="93"/>
      <c r="FY18" s="92"/>
      <c r="FZ18" s="94"/>
      <c r="GA18" s="95"/>
      <c r="GB18" s="17"/>
      <c r="GC18" s="17"/>
      <c r="GD18" s="17"/>
      <c r="GE18" s="20"/>
      <c r="GF18" s="92"/>
      <c r="GG18" s="93"/>
      <c r="GH18" s="92"/>
      <c r="GI18" s="94"/>
      <c r="GJ18" s="95"/>
      <c r="GK18" s="17"/>
      <c r="GL18" s="17"/>
      <c r="GM18" s="17"/>
      <c r="GN18" s="20"/>
      <c r="GO18" s="92"/>
      <c r="GP18" s="93"/>
      <c r="GQ18" s="92"/>
      <c r="GR18" s="94"/>
      <c r="GS18" s="95"/>
      <c r="GT18" s="97">
        <v>42845</v>
      </c>
      <c r="GU18" s="98"/>
      <c r="GV18" s="84"/>
      <c r="GW18" s="74"/>
      <c r="GX18" s="74"/>
      <c r="GY18" s="390" t="s">
        <v>176</v>
      </c>
      <c r="GZ18" s="86">
        <v>0</v>
      </c>
    </row>
    <row r="19" spans="1:208" x14ac:dyDescent="0.25">
      <c r="C19" s="87"/>
      <c r="D19" s="35"/>
      <c r="E19" s="36"/>
      <c r="F19" s="37"/>
      <c r="G19" s="38"/>
      <c r="H19" s="39"/>
      <c r="I19" s="40"/>
      <c r="J19" s="454" t="s">
        <v>318</v>
      </c>
      <c r="K19" s="407" t="s">
        <v>322</v>
      </c>
      <c r="L19" s="70">
        <v>25410</v>
      </c>
      <c r="M19" s="71">
        <v>42836</v>
      </c>
      <c r="N19" s="56" t="s">
        <v>338</v>
      </c>
      <c r="O19" s="72">
        <v>25442.5</v>
      </c>
      <c r="P19" s="113">
        <f t="shared" si="0"/>
        <v>32.5</v>
      </c>
      <c r="Q19" s="64">
        <v>30.4</v>
      </c>
      <c r="R19" s="64"/>
      <c r="S19" s="64"/>
      <c r="T19" s="39">
        <f t="shared" si="1"/>
        <v>773452</v>
      </c>
      <c r="U19" s="115" t="s">
        <v>72</v>
      </c>
      <c r="V19" s="112">
        <v>42843</v>
      </c>
      <c r="W19" s="376"/>
      <c r="X19" s="146"/>
      <c r="Y19" s="147"/>
      <c r="Z19" s="148"/>
      <c r="AA19" s="149"/>
      <c r="AB19" s="148"/>
      <c r="AC19" s="150"/>
      <c r="AD19" s="151"/>
      <c r="AE19" s="146"/>
      <c r="AF19" s="146"/>
      <c r="AG19" s="146"/>
      <c r="AH19" s="147"/>
      <c r="AI19" s="148"/>
      <c r="AJ19" s="149"/>
      <c r="AK19" s="148"/>
      <c r="AL19" s="150"/>
      <c r="AM19" s="151"/>
      <c r="AN19" s="146"/>
      <c r="AO19" s="146"/>
      <c r="AP19" s="146"/>
      <c r="AQ19" s="147"/>
      <c r="AR19" s="148"/>
      <c r="AS19" s="149"/>
      <c r="AT19" s="148"/>
      <c r="AU19" s="150"/>
      <c r="AV19" s="151"/>
      <c r="AW19" s="146"/>
      <c r="AX19" s="146"/>
      <c r="AY19" s="146"/>
      <c r="AZ19" s="147"/>
      <c r="BA19" s="148"/>
      <c r="BB19" s="149"/>
      <c r="BC19" s="148"/>
      <c r="BD19" s="150"/>
      <c r="BE19" s="151"/>
      <c r="BF19" s="146"/>
      <c r="BG19" s="146"/>
      <c r="BH19" s="146"/>
      <c r="BI19" s="147"/>
      <c r="BJ19" s="148"/>
      <c r="BK19" s="149"/>
      <c r="BL19" s="148"/>
      <c r="BM19" s="150"/>
      <c r="BN19" s="151"/>
      <c r="BO19" s="146"/>
      <c r="BP19" s="146"/>
      <c r="BQ19" s="146"/>
      <c r="BR19" s="147"/>
      <c r="BS19" s="148"/>
      <c r="BT19" s="149"/>
      <c r="BU19" s="148"/>
      <c r="BV19" s="150"/>
      <c r="BW19" s="151"/>
      <c r="BX19" s="146"/>
      <c r="BY19" s="146"/>
      <c r="BZ19" s="146"/>
      <c r="CA19" s="147"/>
      <c r="CB19" s="148"/>
      <c r="CC19" s="149"/>
      <c r="CD19" s="148"/>
      <c r="CE19" s="150"/>
      <c r="CF19" s="151"/>
      <c r="CG19" s="146"/>
      <c r="CH19" s="146"/>
      <c r="CI19" s="146"/>
      <c r="CJ19" s="147"/>
      <c r="CK19" s="148"/>
      <c r="CL19" s="149"/>
      <c r="CM19" s="148"/>
      <c r="CN19" s="150"/>
      <c r="CO19" s="151"/>
      <c r="CP19" s="146"/>
      <c r="CQ19" s="146"/>
      <c r="CR19" s="146"/>
      <c r="CS19" s="147"/>
      <c r="CT19" s="148"/>
      <c r="CU19" s="149"/>
      <c r="CV19" s="374"/>
      <c r="CW19" s="150"/>
      <c r="CX19" s="151"/>
      <c r="CY19" s="146"/>
      <c r="CZ19" s="146"/>
      <c r="DA19" s="146"/>
      <c r="DB19" s="147"/>
      <c r="DC19" s="148"/>
      <c r="DD19" s="149"/>
      <c r="DE19" s="148"/>
      <c r="DF19" s="150"/>
      <c r="DG19" s="151"/>
      <c r="DH19" s="146"/>
      <c r="DI19" s="146"/>
      <c r="DJ19" s="146"/>
      <c r="DK19" s="147"/>
      <c r="DL19" s="148"/>
      <c r="DM19" s="149"/>
      <c r="DN19" s="148"/>
      <c r="DO19" s="150"/>
      <c r="DP19" s="151"/>
      <c r="DQ19" s="146"/>
      <c r="DR19" s="146"/>
      <c r="DS19" s="146"/>
      <c r="DT19" s="147"/>
      <c r="DU19" s="148"/>
      <c r="DV19" s="149"/>
      <c r="DW19" s="148"/>
      <c r="DX19" s="150"/>
      <c r="DY19" s="151"/>
      <c r="DZ19" s="146"/>
      <c r="EA19" s="146"/>
      <c r="EB19" s="146"/>
      <c r="EC19" s="147"/>
      <c r="ED19" s="148"/>
      <c r="EE19" s="149"/>
      <c r="EF19" s="148"/>
      <c r="EG19" s="150"/>
      <c r="EH19" s="151"/>
      <c r="EI19" s="146"/>
      <c r="EJ19" s="146"/>
      <c r="EK19" s="146"/>
      <c r="EL19" s="147"/>
      <c r="EM19" s="148"/>
      <c r="EN19" s="149"/>
      <c r="EO19" s="148"/>
      <c r="EP19" s="150"/>
      <c r="EQ19" s="151"/>
      <c r="ER19" s="146"/>
      <c r="ES19" s="146"/>
      <c r="ET19" s="146"/>
      <c r="EU19" s="147"/>
      <c r="EV19" s="148"/>
      <c r="EW19" s="149"/>
      <c r="EX19" s="148"/>
      <c r="EY19" s="150"/>
      <c r="EZ19" s="151"/>
      <c r="FA19" s="146"/>
      <c r="FB19" s="146"/>
      <c r="FC19" s="146"/>
      <c r="FD19" s="147"/>
      <c r="FE19" s="148"/>
      <c r="FF19" s="149"/>
      <c r="FG19" s="148"/>
      <c r="FH19" s="150"/>
      <c r="FI19" s="151"/>
      <c r="FJ19" s="146"/>
      <c r="FK19" s="146"/>
      <c r="FL19" s="146"/>
      <c r="FM19" s="147"/>
      <c r="FN19" s="148"/>
      <c r="FO19" s="149"/>
      <c r="FP19" s="148"/>
      <c r="FQ19" s="150"/>
      <c r="FR19" s="151"/>
      <c r="FS19" s="146"/>
      <c r="FT19" s="146"/>
      <c r="FU19" s="146"/>
      <c r="FV19" s="147"/>
      <c r="FW19" s="148"/>
      <c r="FX19" s="149"/>
      <c r="FY19" s="148"/>
      <c r="FZ19" s="150"/>
      <c r="GA19" s="151"/>
      <c r="GB19" s="146"/>
      <c r="GC19" s="146"/>
      <c r="GD19" s="146"/>
      <c r="GE19" s="147"/>
      <c r="GF19" s="148"/>
      <c r="GG19" s="149"/>
      <c r="GH19" s="148"/>
      <c r="GI19" s="150"/>
      <c r="GJ19" s="151"/>
      <c r="GK19" s="146"/>
      <c r="GL19" s="146"/>
      <c r="GM19" s="146"/>
      <c r="GN19" s="147"/>
      <c r="GO19" s="148"/>
      <c r="GP19" s="149"/>
      <c r="GQ19" s="148"/>
      <c r="GR19" s="150"/>
      <c r="GS19" s="151"/>
      <c r="GT19" s="152"/>
      <c r="GU19" s="98"/>
      <c r="GV19" s="84"/>
      <c r="GW19" s="74"/>
      <c r="GX19" s="74"/>
      <c r="GY19" s="390" t="s">
        <v>405</v>
      </c>
      <c r="GZ19" s="86">
        <v>3944</v>
      </c>
    </row>
    <row r="20" spans="1:208" x14ac:dyDescent="0.25">
      <c r="C20" s="87"/>
      <c r="D20" s="35"/>
      <c r="E20" s="36"/>
      <c r="F20" s="37"/>
      <c r="G20" s="38"/>
      <c r="H20" s="39"/>
      <c r="I20" s="40"/>
      <c r="J20" s="454" t="s">
        <v>318</v>
      </c>
      <c r="K20" s="407" t="s">
        <v>323</v>
      </c>
      <c r="L20" s="70">
        <v>21250</v>
      </c>
      <c r="M20" s="71">
        <v>42836</v>
      </c>
      <c r="N20" s="56" t="s">
        <v>340</v>
      </c>
      <c r="O20" s="72">
        <v>21400.3</v>
      </c>
      <c r="P20" s="113">
        <f t="shared" si="0"/>
        <v>150.29999999999927</v>
      </c>
      <c r="Q20" s="64">
        <v>31.5</v>
      </c>
      <c r="R20" s="64"/>
      <c r="S20" s="64"/>
      <c r="T20" s="39">
        <f t="shared" si="1"/>
        <v>674109.45</v>
      </c>
      <c r="U20" s="115" t="s">
        <v>72</v>
      </c>
      <c r="V20" s="112">
        <v>42844</v>
      </c>
      <c r="W20" s="376"/>
      <c r="X20" s="146"/>
      <c r="Y20" s="147"/>
      <c r="Z20" s="148"/>
      <c r="AA20" s="149"/>
      <c r="AB20" s="148"/>
      <c r="AC20" s="150"/>
      <c r="AD20" s="151"/>
      <c r="AE20" s="146"/>
      <c r="AF20" s="146"/>
      <c r="AG20" s="146"/>
      <c r="AH20" s="147"/>
      <c r="AI20" s="148"/>
      <c r="AJ20" s="149"/>
      <c r="AK20" s="148"/>
      <c r="AL20" s="150"/>
      <c r="AM20" s="151"/>
      <c r="AN20" s="146"/>
      <c r="AO20" s="146"/>
      <c r="AP20" s="146"/>
      <c r="AQ20" s="147"/>
      <c r="AR20" s="148"/>
      <c r="AS20" s="149"/>
      <c r="AT20" s="148"/>
      <c r="AU20" s="150"/>
      <c r="AV20" s="151"/>
      <c r="AW20" s="146"/>
      <c r="AX20" s="146"/>
      <c r="AY20" s="146"/>
      <c r="AZ20" s="147"/>
      <c r="BA20" s="148"/>
      <c r="BB20" s="149"/>
      <c r="BC20" s="148"/>
      <c r="BD20" s="150"/>
      <c r="BE20" s="151"/>
      <c r="BF20" s="146"/>
      <c r="BG20" s="146"/>
      <c r="BH20" s="146"/>
      <c r="BI20" s="147"/>
      <c r="BJ20" s="148"/>
      <c r="BK20" s="149"/>
      <c r="BL20" s="148"/>
      <c r="BM20" s="150"/>
      <c r="BN20" s="151"/>
      <c r="BO20" s="146"/>
      <c r="BP20" s="146"/>
      <c r="BQ20" s="146"/>
      <c r="BR20" s="147"/>
      <c r="BS20" s="148"/>
      <c r="BT20" s="149"/>
      <c r="BU20" s="148"/>
      <c r="BV20" s="150"/>
      <c r="BW20" s="151"/>
      <c r="BX20" s="146"/>
      <c r="BY20" s="146"/>
      <c r="BZ20" s="146"/>
      <c r="CA20" s="147"/>
      <c r="CB20" s="148"/>
      <c r="CC20" s="149"/>
      <c r="CD20" s="148"/>
      <c r="CE20" s="150"/>
      <c r="CF20" s="151"/>
      <c r="CG20" s="146"/>
      <c r="CH20" s="146"/>
      <c r="CI20" s="146"/>
      <c r="CJ20" s="147"/>
      <c r="CK20" s="148"/>
      <c r="CL20" s="149"/>
      <c r="CM20" s="148"/>
      <c r="CN20" s="150"/>
      <c r="CO20" s="151"/>
      <c r="CP20" s="146"/>
      <c r="CQ20" s="146"/>
      <c r="CR20" s="146"/>
      <c r="CS20" s="147"/>
      <c r="CT20" s="148"/>
      <c r="CU20" s="149"/>
      <c r="CV20" s="374"/>
      <c r="CW20" s="150"/>
      <c r="CX20" s="151"/>
      <c r="CY20" s="146"/>
      <c r="CZ20" s="146"/>
      <c r="DA20" s="146"/>
      <c r="DB20" s="147"/>
      <c r="DC20" s="148"/>
      <c r="DD20" s="149"/>
      <c r="DE20" s="148"/>
      <c r="DF20" s="150"/>
      <c r="DG20" s="151"/>
      <c r="DH20" s="146"/>
      <c r="DI20" s="146"/>
      <c r="DJ20" s="146"/>
      <c r="DK20" s="147"/>
      <c r="DL20" s="148"/>
      <c r="DM20" s="149"/>
      <c r="DN20" s="148"/>
      <c r="DO20" s="150"/>
      <c r="DP20" s="151"/>
      <c r="DQ20" s="146"/>
      <c r="DR20" s="146"/>
      <c r="DS20" s="146"/>
      <c r="DT20" s="147"/>
      <c r="DU20" s="148"/>
      <c r="DV20" s="149"/>
      <c r="DW20" s="148"/>
      <c r="DX20" s="150"/>
      <c r="DY20" s="151"/>
      <c r="DZ20" s="146"/>
      <c r="EA20" s="146"/>
      <c r="EB20" s="146"/>
      <c r="EC20" s="147"/>
      <c r="ED20" s="148"/>
      <c r="EE20" s="149"/>
      <c r="EF20" s="148"/>
      <c r="EG20" s="150"/>
      <c r="EH20" s="151"/>
      <c r="EI20" s="146"/>
      <c r="EJ20" s="146"/>
      <c r="EK20" s="146"/>
      <c r="EL20" s="147"/>
      <c r="EM20" s="148"/>
      <c r="EN20" s="149"/>
      <c r="EO20" s="148"/>
      <c r="EP20" s="150"/>
      <c r="EQ20" s="151"/>
      <c r="ER20" s="146"/>
      <c r="ES20" s="146"/>
      <c r="ET20" s="146"/>
      <c r="EU20" s="147"/>
      <c r="EV20" s="148"/>
      <c r="EW20" s="149"/>
      <c r="EX20" s="148"/>
      <c r="EY20" s="150"/>
      <c r="EZ20" s="151"/>
      <c r="FA20" s="146"/>
      <c r="FB20" s="146"/>
      <c r="FC20" s="146"/>
      <c r="FD20" s="147"/>
      <c r="FE20" s="148"/>
      <c r="FF20" s="149"/>
      <c r="FG20" s="148"/>
      <c r="FH20" s="150"/>
      <c r="FI20" s="151"/>
      <c r="FJ20" s="146"/>
      <c r="FK20" s="146"/>
      <c r="FL20" s="146"/>
      <c r="FM20" s="147"/>
      <c r="FN20" s="148"/>
      <c r="FO20" s="149"/>
      <c r="FP20" s="148"/>
      <c r="FQ20" s="150"/>
      <c r="FR20" s="151"/>
      <c r="FS20" s="146"/>
      <c r="FT20" s="146"/>
      <c r="FU20" s="146"/>
      <c r="FV20" s="147"/>
      <c r="FW20" s="148"/>
      <c r="FX20" s="149"/>
      <c r="FY20" s="148"/>
      <c r="FZ20" s="150"/>
      <c r="GA20" s="151"/>
      <c r="GB20" s="146"/>
      <c r="GC20" s="146"/>
      <c r="GD20" s="146"/>
      <c r="GE20" s="147"/>
      <c r="GF20" s="148"/>
      <c r="GG20" s="149"/>
      <c r="GH20" s="148"/>
      <c r="GI20" s="150"/>
      <c r="GJ20" s="151"/>
      <c r="GK20" s="146"/>
      <c r="GL20" s="146"/>
      <c r="GM20" s="146"/>
      <c r="GN20" s="147"/>
      <c r="GO20" s="148"/>
      <c r="GP20" s="149"/>
      <c r="GQ20" s="148"/>
      <c r="GR20" s="150"/>
      <c r="GS20" s="151"/>
      <c r="GT20" s="152"/>
      <c r="GU20" s="98"/>
      <c r="GV20" s="65"/>
      <c r="GW20" s="74"/>
      <c r="GX20" s="74"/>
      <c r="GY20" s="390"/>
      <c r="GZ20" s="86"/>
    </row>
    <row r="21" spans="1:208" x14ac:dyDescent="0.25">
      <c r="C21" s="87"/>
      <c r="D21" s="35"/>
      <c r="E21" s="36"/>
      <c r="F21" s="37"/>
      <c r="G21" s="38"/>
      <c r="H21" s="39"/>
      <c r="I21" s="40"/>
      <c r="J21" s="68" t="s">
        <v>332</v>
      </c>
      <c r="K21" s="450" t="s">
        <v>46</v>
      </c>
      <c r="L21" s="70">
        <v>11230</v>
      </c>
      <c r="M21" s="71">
        <v>42841</v>
      </c>
      <c r="N21" s="380" t="s">
        <v>388</v>
      </c>
      <c r="O21" s="72">
        <v>11530</v>
      </c>
      <c r="P21" s="113">
        <f t="shared" si="0"/>
        <v>300</v>
      </c>
      <c r="Q21" s="64">
        <v>23.5</v>
      </c>
      <c r="R21" s="64"/>
      <c r="S21" s="64"/>
      <c r="T21" s="39">
        <f t="shared" si="1"/>
        <v>270955</v>
      </c>
      <c r="U21" s="363" t="s">
        <v>72</v>
      </c>
      <c r="V21" s="353">
        <v>42863</v>
      </c>
      <c r="W21" s="364">
        <v>7540</v>
      </c>
      <c r="X21" s="355"/>
      <c r="Y21" s="356"/>
      <c r="Z21" s="357"/>
      <c r="AA21" s="358"/>
      <c r="AB21" s="357"/>
      <c r="AC21" s="359"/>
      <c r="AD21" s="360"/>
      <c r="AE21" s="355"/>
      <c r="AF21" s="355"/>
      <c r="AG21" s="355"/>
      <c r="AH21" s="356"/>
      <c r="AI21" s="357"/>
      <c r="AJ21" s="358"/>
      <c r="AK21" s="357"/>
      <c r="AL21" s="359"/>
      <c r="AM21" s="360"/>
      <c r="AN21" s="355"/>
      <c r="AO21" s="355"/>
      <c r="AP21" s="355"/>
      <c r="AQ21" s="356"/>
      <c r="AR21" s="357"/>
      <c r="AS21" s="358"/>
      <c r="AT21" s="357"/>
      <c r="AU21" s="359"/>
      <c r="AV21" s="360"/>
      <c r="AW21" s="355"/>
      <c r="AX21" s="355"/>
      <c r="AY21" s="355"/>
      <c r="AZ21" s="356"/>
      <c r="BA21" s="357"/>
      <c r="BB21" s="358"/>
      <c r="BC21" s="357"/>
      <c r="BD21" s="359"/>
      <c r="BE21" s="360"/>
      <c r="BF21" s="355"/>
      <c r="BG21" s="355"/>
      <c r="BH21" s="355"/>
      <c r="BI21" s="356"/>
      <c r="BJ21" s="357"/>
      <c r="BK21" s="358"/>
      <c r="BL21" s="357"/>
      <c r="BM21" s="359"/>
      <c r="BN21" s="360"/>
      <c r="BO21" s="355"/>
      <c r="BP21" s="355"/>
      <c r="BQ21" s="355"/>
      <c r="BR21" s="356"/>
      <c r="BS21" s="357"/>
      <c r="BT21" s="358"/>
      <c r="BU21" s="357"/>
      <c r="BV21" s="359"/>
      <c r="BW21" s="360"/>
      <c r="BX21" s="355"/>
      <c r="BY21" s="355"/>
      <c r="BZ21" s="355"/>
      <c r="CA21" s="356"/>
      <c r="CB21" s="357"/>
      <c r="CC21" s="358"/>
      <c r="CD21" s="357"/>
      <c r="CE21" s="359"/>
      <c r="CF21" s="360"/>
      <c r="CG21" s="355"/>
      <c r="CH21" s="355"/>
      <c r="CI21" s="355"/>
      <c r="CJ21" s="356"/>
      <c r="CK21" s="357"/>
      <c r="CL21" s="358"/>
      <c r="CM21" s="357"/>
      <c r="CN21" s="359"/>
      <c r="CO21" s="360"/>
      <c r="CP21" s="355"/>
      <c r="CQ21" s="355"/>
      <c r="CR21" s="355"/>
      <c r="CS21" s="356"/>
      <c r="CT21" s="357"/>
      <c r="CU21" s="358"/>
      <c r="CV21" s="361"/>
      <c r="CW21" s="359"/>
      <c r="CX21" s="360"/>
      <c r="CY21" s="355"/>
      <c r="CZ21" s="355"/>
      <c r="DA21" s="355"/>
      <c r="DB21" s="356"/>
      <c r="DC21" s="357"/>
      <c r="DD21" s="358"/>
      <c r="DE21" s="357"/>
      <c r="DF21" s="359"/>
      <c r="DG21" s="360"/>
      <c r="DH21" s="355"/>
      <c r="DI21" s="355"/>
      <c r="DJ21" s="355"/>
      <c r="DK21" s="356"/>
      <c r="DL21" s="357"/>
      <c r="DM21" s="358"/>
      <c r="DN21" s="357"/>
      <c r="DO21" s="359"/>
      <c r="DP21" s="360"/>
      <c r="DQ21" s="355"/>
      <c r="DR21" s="355"/>
      <c r="DS21" s="355"/>
      <c r="DT21" s="356"/>
      <c r="DU21" s="357"/>
      <c r="DV21" s="358"/>
      <c r="DW21" s="357"/>
      <c r="DX21" s="359"/>
      <c r="DY21" s="360"/>
      <c r="DZ21" s="355"/>
      <c r="EA21" s="355"/>
      <c r="EB21" s="355"/>
      <c r="EC21" s="356"/>
      <c r="ED21" s="357"/>
      <c r="EE21" s="358"/>
      <c r="EF21" s="357"/>
      <c r="EG21" s="359"/>
      <c r="EH21" s="360"/>
      <c r="EI21" s="355"/>
      <c r="EJ21" s="355"/>
      <c r="EK21" s="355"/>
      <c r="EL21" s="356"/>
      <c r="EM21" s="357"/>
      <c r="EN21" s="358"/>
      <c r="EO21" s="357"/>
      <c r="EP21" s="359"/>
      <c r="EQ21" s="360"/>
      <c r="ER21" s="355"/>
      <c r="ES21" s="355"/>
      <c r="ET21" s="355"/>
      <c r="EU21" s="356"/>
      <c r="EV21" s="357"/>
      <c r="EW21" s="358"/>
      <c r="EX21" s="357"/>
      <c r="EY21" s="359"/>
      <c r="EZ21" s="360"/>
      <c r="FA21" s="355"/>
      <c r="FB21" s="355"/>
      <c r="FC21" s="355"/>
      <c r="FD21" s="356"/>
      <c r="FE21" s="357"/>
      <c r="FF21" s="358"/>
      <c r="FG21" s="357"/>
      <c r="FH21" s="359"/>
      <c r="FI21" s="360"/>
      <c r="FJ21" s="355"/>
      <c r="FK21" s="355"/>
      <c r="FL21" s="355"/>
      <c r="FM21" s="356"/>
      <c r="FN21" s="357"/>
      <c r="FO21" s="358"/>
      <c r="FP21" s="357"/>
      <c r="FQ21" s="359"/>
      <c r="FR21" s="360"/>
      <c r="FS21" s="355"/>
      <c r="FT21" s="355"/>
      <c r="FU21" s="355"/>
      <c r="FV21" s="356"/>
      <c r="FW21" s="357"/>
      <c r="FX21" s="358"/>
      <c r="FY21" s="357"/>
      <c r="FZ21" s="359"/>
      <c r="GA21" s="360"/>
      <c r="GB21" s="355"/>
      <c r="GC21" s="355"/>
      <c r="GD21" s="355"/>
      <c r="GE21" s="356"/>
      <c r="GF21" s="357"/>
      <c r="GG21" s="358"/>
      <c r="GH21" s="357"/>
      <c r="GI21" s="359"/>
      <c r="GJ21" s="360"/>
      <c r="GK21" s="355"/>
      <c r="GL21" s="355"/>
      <c r="GM21" s="355"/>
      <c r="GN21" s="356"/>
      <c r="GO21" s="357"/>
      <c r="GP21" s="358"/>
      <c r="GQ21" s="357"/>
      <c r="GR21" s="359"/>
      <c r="GS21" s="360"/>
      <c r="GT21" s="362">
        <v>42863</v>
      </c>
      <c r="GU21" s="411"/>
      <c r="GV21" s="65">
        <v>17584</v>
      </c>
      <c r="GW21" s="74" t="s">
        <v>357</v>
      </c>
      <c r="GX21" s="74"/>
      <c r="GY21" s="405" t="s">
        <v>443</v>
      </c>
      <c r="GZ21" s="404">
        <v>2088</v>
      </c>
    </row>
    <row r="22" spans="1:208" x14ac:dyDescent="0.25">
      <c r="C22" s="87"/>
      <c r="D22" s="35"/>
      <c r="E22" s="36"/>
      <c r="F22" s="37"/>
      <c r="G22" s="38"/>
      <c r="H22" s="39"/>
      <c r="I22" s="40"/>
      <c r="J22" s="68" t="s">
        <v>333</v>
      </c>
      <c r="K22" s="407" t="s">
        <v>149</v>
      </c>
      <c r="L22" s="70">
        <v>18560</v>
      </c>
      <c r="M22" s="71">
        <v>42841</v>
      </c>
      <c r="N22" s="380" t="s">
        <v>396</v>
      </c>
      <c r="O22" s="72">
        <v>26290</v>
      </c>
      <c r="P22" s="113">
        <f t="shared" si="0"/>
        <v>7730</v>
      </c>
      <c r="Q22" s="64">
        <v>23.5</v>
      </c>
      <c r="R22" s="64"/>
      <c r="S22" s="64"/>
      <c r="T22" s="39">
        <f t="shared" si="1"/>
        <v>617815</v>
      </c>
      <c r="U22" s="363" t="s">
        <v>72</v>
      </c>
      <c r="V22" s="353">
        <v>42864</v>
      </c>
      <c r="W22" s="364">
        <v>17342</v>
      </c>
      <c r="X22" s="355"/>
      <c r="Y22" s="356"/>
      <c r="Z22" s="357"/>
      <c r="AA22" s="358"/>
      <c r="AB22" s="357"/>
      <c r="AC22" s="359"/>
      <c r="AD22" s="360"/>
      <c r="AE22" s="355"/>
      <c r="AF22" s="355"/>
      <c r="AG22" s="355"/>
      <c r="AH22" s="356"/>
      <c r="AI22" s="357"/>
      <c r="AJ22" s="358"/>
      <c r="AK22" s="357"/>
      <c r="AL22" s="359"/>
      <c r="AM22" s="360"/>
      <c r="AN22" s="355"/>
      <c r="AO22" s="355"/>
      <c r="AP22" s="355"/>
      <c r="AQ22" s="356"/>
      <c r="AR22" s="357"/>
      <c r="AS22" s="358"/>
      <c r="AT22" s="357"/>
      <c r="AU22" s="359"/>
      <c r="AV22" s="360"/>
      <c r="AW22" s="355"/>
      <c r="AX22" s="355"/>
      <c r="AY22" s="355"/>
      <c r="AZ22" s="356"/>
      <c r="BA22" s="357"/>
      <c r="BB22" s="358"/>
      <c r="BC22" s="357"/>
      <c r="BD22" s="359"/>
      <c r="BE22" s="360"/>
      <c r="BF22" s="355"/>
      <c r="BG22" s="355"/>
      <c r="BH22" s="355"/>
      <c r="BI22" s="356"/>
      <c r="BJ22" s="357"/>
      <c r="BK22" s="358"/>
      <c r="BL22" s="357"/>
      <c r="BM22" s="359"/>
      <c r="BN22" s="360"/>
      <c r="BO22" s="355"/>
      <c r="BP22" s="355"/>
      <c r="BQ22" s="355"/>
      <c r="BR22" s="356"/>
      <c r="BS22" s="357"/>
      <c r="BT22" s="358"/>
      <c r="BU22" s="357"/>
      <c r="BV22" s="359"/>
      <c r="BW22" s="360"/>
      <c r="BX22" s="355"/>
      <c r="BY22" s="355"/>
      <c r="BZ22" s="355"/>
      <c r="CA22" s="356"/>
      <c r="CB22" s="357"/>
      <c r="CC22" s="358"/>
      <c r="CD22" s="357"/>
      <c r="CE22" s="359"/>
      <c r="CF22" s="360"/>
      <c r="CG22" s="355"/>
      <c r="CH22" s="355"/>
      <c r="CI22" s="355"/>
      <c r="CJ22" s="356"/>
      <c r="CK22" s="357"/>
      <c r="CL22" s="358"/>
      <c r="CM22" s="357"/>
      <c r="CN22" s="359"/>
      <c r="CO22" s="360"/>
      <c r="CP22" s="355"/>
      <c r="CQ22" s="355"/>
      <c r="CR22" s="355"/>
      <c r="CS22" s="356"/>
      <c r="CT22" s="357"/>
      <c r="CU22" s="358"/>
      <c r="CV22" s="361"/>
      <c r="CW22" s="359"/>
      <c r="CX22" s="360"/>
      <c r="CY22" s="355"/>
      <c r="CZ22" s="355"/>
      <c r="DA22" s="355"/>
      <c r="DB22" s="356"/>
      <c r="DC22" s="357"/>
      <c r="DD22" s="358"/>
      <c r="DE22" s="357"/>
      <c r="DF22" s="359"/>
      <c r="DG22" s="360"/>
      <c r="DH22" s="355"/>
      <c r="DI22" s="355"/>
      <c r="DJ22" s="355"/>
      <c r="DK22" s="356"/>
      <c r="DL22" s="357"/>
      <c r="DM22" s="358"/>
      <c r="DN22" s="357"/>
      <c r="DO22" s="359"/>
      <c r="DP22" s="360"/>
      <c r="DQ22" s="355"/>
      <c r="DR22" s="355"/>
      <c r="DS22" s="355"/>
      <c r="DT22" s="356"/>
      <c r="DU22" s="357"/>
      <c r="DV22" s="358"/>
      <c r="DW22" s="357"/>
      <c r="DX22" s="359"/>
      <c r="DY22" s="360"/>
      <c r="DZ22" s="355"/>
      <c r="EA22" s="355"/>
      <c r="EB22" s="355"/>
      <c r="EC22" s="356"/>
      <c r="ED22" s="357"/>
      <c r="EE22" s="358"/>
      <c r="EF22" s="357"/>
      <c r="EG22" s="359"/>
      <c r="EH22" s="360"/>
      <c r="EI22" s="355"/>
      <c r="EJ22" s="355"/>
      <c r="EK22" s="355"/>
      <c r="EL22" s="356"/>
      <c r="EM22" s="357"/>
      <c r="EN22" s="358"/>
      <c r="EO22" s="357"/>
      <c r="EP22" s="359"/>
      <c r="EQ22" s="360"/>
      <c r="ER22" s="355"/>
      <c r="ES22" s="355"/>
      <c r="ET22" s="355"/>
      <c r="EU22" s="356"/>
      <c r="EV22" s="357"/>
      <c r="EW22" s="358"/>
      <c r="EX22" s="357"/>
      <c r="EY22" s="359"/>
      <c r="EZ22" s="360"/>
      <c r="FA22" s="355"/>
      <c r="FB22" s="355"/>
      <c r="FC22" s="355"/>
      <c r="FD22" s="356"/>
      <c r="FE22" s="357"/>
      <c r="FF22" s="358"/>
      <c r="FG22" s="357"/>
      <c r="FH22" s="359"/>
      <c r="FI22" s="360"/>
      <c r="FJ22" s="355"/>
      <c r="FK22" s="355"/>
      <c r="FL22" s="355"/>
      <c r="FM22" s="356"/>
      <c r="FN22" s="357"/>
      <c r="FO22" s="358"/>
      <c r="FP22" s="357"/>
      <c r="FQ22" s="359"/>
      <c r="FR22" s="360"/>
      <c r="FS22" s="355"/>
      <c r="FT22" s="355"/>
      <c r="FU22" s="355"/>
      <c r="FV22" s="356"/>
      <c r="FW22" s="357"/>
      <c r="FX22" s="358"/>
      <c r="FY22" s="357"/>
      <c r="FZ22" s="359"/>
      <c r="GA22" s="360"/>
      <c r="GB22" s="355"/>
      <c r="GC22" s="355"/>
      <c r="GD22" s="355"/>
      <c r="GE22" s="356"/>
      <c r="GF22" s="357"/>
      <c r="GG22" s="358"/>
      <c r="GH22" s="357"/>
      <c r="GI22" s="359"/>
      <c r="GJ22" s="360"/>
      <c r="GK22" s="355"/>
      <c r="GL22" s="355"/>
      <c r="GM22" s="355"/>
      <c r="GN22" s="356"/>
      <c r="GO22" s="357"/>
      <c r="GP22" s="358"/>
      <c r="GQ22" s="357"/>
      <c r="GR22" s="359"/>
      <c r="GS22" s="360"/>
      <c r="GT22" s="365">
        <v>42864</v>
      </c>
      <c r="GU22" s="411"/>
      <c r="GV22" s="65">
        <v>22176</v>
      </c>
      <c r="GW22" s="74" t="s">
        <v>358</v>
      </c>
      <c r="GX22" s="74"/>
      <c r="GY22" s="405" t="s">
        <v>443</v>
      </c>
      <c r="GZ22" s="404">
        <v>3480</v>
      </c>
    </row>
    <row r="23" spans="1:208" x14ac:dyDescent="0.25">
      <c r="C23" s="87"/>
      <c r="D23" s="35"/>
      <c r="E23" s="36"/>
      <c r="F23" s="37"/>
      <c r="G23" s="38"/>
      <c r="H23" s="39"/>
      <c r="I23" s="40"/>
      <c r="J23" s="68" t="s">
        <v>43</v>
      </c>
      <c r="K23" s="407" t="s">
        <v>334</v>
      </c>
      <c r="L23" s="70">
        <v>23620</v>
      </c>
      <c r="M23" s="71">
        <v>42842</v>
      </c>
      <c r="N23" s="380" t="s">
        <v>389</v>
      </c>
      <c r="O23" s="72">
        <v>29520</v>
      </c>
      <c r="P23" s="113">
        <f t="shared" si="0"/>
        <v>5900</v>
      </c>
      <c r="Q23" s="64">
        <v>23.5</v>
      </c>
      <c r="R23" s="64"/>
      <c r="S23" s="64"/>
      <c r="T23" s="39">
        <f t="shared" si="1"/>
        <v>693720</v>
      </c>
      <c r="U23" s="363" t="s">
        <v>72</v>
      </c>
      <c r="V23" s="353">
        <v>42863</v>
      </c>
      <c r="W23" s="364">
        <v>18850</v>
      </c>
      <c r="X23" s="355"/>
      <c r="Y23" s="356"/>
      <c r="Z23" s="357"/>
      <c r="AA23" s="358"/>
      <c r="AB23" s="357"/>
      <c r="AC23" s="359"/>
      <c r="AD23" s="360"/>
      <c r="AE23" s="355"/>
      <c r="AF23" s="355"/>
      <c r="AG23" s="355"/>
      <c r="AH23" s="356"/>
      <c r="AI23" s="357"/>
      <c r="AJ23" s="358"/>
      <c r="AK23" s="357"/>
      <c r="AL23" s="359"/>
      <c r="AM23" s="360"/>
      <c r="AN23" s="355"/>
      <c r="AO23" s="355"/>
      <c r="AP23" s="355"/>
      <c r="AQ23" s="356"/>
      <c r="AR23" s="357"/>
      <c r="AS23" s="358"/>
      <c r="AT23" s="357"/>
      <c r="AU23" s="359"/>
      <c r="AV23" s="360"/>
      <c r="AW23" s="355"/>
      <c r="AX23" s="355"/>
      <c r="AY23" s="355"/>
      <c r="AZ23" s="356"/>
      <c r="BA23" s="357"/>
      <c r="BB23" s="358"/>
      <c r="BC23" s="357"/>
      <c r="BD23" s="359"/>
      <c r="BE23" s="360"/>
      <c r="BF23" s="355"/>
      <c r="BG23" s="355"/>
      <c r="BH23" s="355"/>
      <c r="BI23" s="356"/>
      <c r="BJ23" s="357"/>
      <c r="BK23" s="358"/>
      <c r="BL23" s="357"/>
      <c r="BM23" s="359"/>
      <c r="BN23" s="360"/>
      <c r="BO23" s="355"/>
      <c r="BP23" s="355"/>
      <c r="BQ23" s="355"/>
      <c r="BR23" s="356"/>
      <c r="BS23" s="357"/>
      <c r="BT23" s="358"/>
      <c r="BU23" s="357"/>
      <c r="BV23" s="359"/>
      <c r="BW23" s="360"/>
      <c r="BX23" s="355"/>
      <c r="BY23" s="355"/>
      <c r="BZ23" s="355"/>
      <c r="CA23" s="356"/>
      <c r="CB23" s="357"/>
      <c r="CC23" s="358"/>
      <c r="CD23" s="357"/>
      <c r="CE23" s="359"/>
      <c r="CF23" s="360"/>
      <c r="CG23" s="355"/>
      <c r="CH23" s="355"/>
      <c r="CI23" s="355"/>
      <c r="CJ23" s="356"/>
      <c r="CK23" s="357"/>
      <c r="CL23" s="358"/>
      <c r="CM23" s="357"/>
      <c r="CN23" s="359"/>
      <c r="CO23" s="360"/>
      <c r="CP23" s="355"/>
      <c r="CQ23" s="355"/>
      <c r="CR23" s="355"/>
      <c r="CS23" s="356"/>
      <c r="CT23" s="357"/>
      <c r="CU23" s="358"/>
      <c r="CV23" s="361"/>
      <c r="CW23" s="359"/>
      <c r="CX23" s="360"/>
      <c r="CY23" s="355"/>
      <c r="CZ23" s="355"/>
      <c r="DA23" s="355"/>
      <c r="DB23" s="356"/>
      <c r="DC23" s="357"/>
      <c r="DD23" s="358"/>
      <c r="DE23" s="357"/>
      <c r="DF23" s="359"/>
      <c r="DG23" s="360"/>
      <c r="DH23" s="355"/>
      <c r="DI23" s="355"/>
      <c r="DJ23" s="355"/>
      <c r="DK23" s="356"/>
      <c r="DL23" s="357"/>
      <c r="DM23" s="358"/>
      <c r="DN23" s="357"/>
      <c r="DO23" s="359"/>
      <c r="DP23" s="360"/>
      <c r="DQ23" s="355"/>
      <c r="DR23" s="355"/>
      <c r="DS23" s="355"/>
      <c r="DT23" s="356"/>
      <c r="DU23" s="357"/>
      <c r="DV23" s="358"/>
      <c r="DW23" s="357"/>
      <c r="DX23" s="359"/>
      <c r="DY23" s="360"/>
      <c r="DZ23" s="355"/>
      <c r="EA23" s="355"/>
      <c r="EB23" s="355"/>
      <c r="EC23" s="356"/>
      <c r="ED23" s="357"/>
      <c r="EE23" s="358"/>
      <c r="EF23" s="357"/>
      <c r="EG23" s="359"/>
      <c r="EH23" s="360"/>
      <c r="EI23" s="355"/>
      <c r="EJ23" s="355"/>
      <c r="EK23" s="355"/>
      <c r="EL23" s="356"/>
      <c r="EM23" s="357"/>
      <c r="EN23" s="358"/>
      <c r="EO23" s="357"/>
      <c r="EP23" s="359"/>
      <c r="EQ23" s="360"/>
      <c r="ER23" s="355"/>
      <c r="ES23" s="355"/>
      <c r="ET23" s="355"/>
      <c r="EU23" s="356"/>
      <c r="EV23" s="357"/>
      <c r="EW23" s="358"/>
      <c r="EX23" s="357"/>
      <c r="EY23" s="359"/>
      <c r="EZ23" s="360"/>
      <c r="FA23" s="355"/>
      <c r="FB23" s="355"/>
      <c r="FC23" s="355"/>
      <c r="FD23" s="356"/>
      <c r="FE23" s="357"/>
      <c r="FF23" s="358"/>
      <c r="FG23" s="357"/>
      <c r="FH23" s="359"/>
      <c r="FI23" s="360"/>
      <c r="FJ23" s="355"/>
      <c r="FK23" s="355"/>
      <c r="FL23" s="355"/>
      <c r="FM23" s="356"/>
      <c r="FN23" s="357"/>
      <c r="FO23" s="358"/>
      <c r="FP23" s="357"/>
      <c r="FQ23" s="359"/>
      <c r="FR23" s="360"/>
      <c r="FS23" s="355"/>
      <c r="FT23" s="355"/>
      <c r="FU23" s="355"/>
      <c r="FV23" s="356"/>
      <c r="FW23" s="357"/>
      <c r="FX23" s="358"/>
      <c r="FY23" s="357"/>
      <c r="FZ23" s="359"/>
      <c r="GA23" s="360"/>
      <c r="GB23" s="355"/>
      <c r="GC23" s="355"/>
      <c r="GD23" s="355"/>
      <c r="GE23" s="356"/>
      <c r="GF23" s="357"/>
      <c r="GG23" s="358"/>
      <c r="GH23" s="357"/>
      <c r="GI23" s="359"/>
      <c r="GJ23" s="360"/>
      <c r="GK23" s="355"/>
      <c r="GL23" s="355"/>
      <c r="GM23" s="355"/>
      <c r="GN23" s="356"/>
      <c r="GO23" s="357"/>
      <c r="GP23" s="358"/>
      <c r="GQ23" s="357"/>
      <c r="GR23" s="359"/>
      <c r="GS23" s="360"/>
      <c r="GT23" s="362">
        <v>42863</v>
      </c>
      <c r="GU23" s="411"/>
      <c r="GV23" s="65"/>
      <c r="GW23" s="74"/>
      <c r="GX23" s="74"/>
      <c r="GY23" s="405" t="s">
        <v>443</v>
      </c>
      <c r="GZ23" s="404">
        <v>3480</v>
      </c>
    </row>
    <row r="24" spans="1:208" x14ac:dyDescent="0.25">
      <c r="A24" s="1">
        <v>23</v>
      </c>
      <c r="B24" t="e">
        <f>#REF!</f>
        <v>#REF!</v>
      </c>
      <c r="C24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68" t="s">
        <v>335</v>
      </c>
      <c r="K24" s="407" t="s">
        <v>336</v>
      </c>
      <c r="L24" s="70">
        <v>22640</v>
      </c>
      <c r="M24" s="71">
        <v>42843</v>
      </c>
      <c r="N24" s="380" t="s">
        <v>397</v>
      </c>
      <c r="O24" s="72">
        <v>28040</v>
      </c>
      <c r="P24" s="113">
        <f t="shared" si="0"/>
        <v>5400</v>
      </c>
      <c r="Q24" s="64">
        <v>23.5</v>
      </c>
      <c r="R24" s="64"/>
      <c r="S24" s="64"/>
      <c r="T24" s="39">
        <f t="shared" si="1"/>
        <v>658940</v>
      </c>
      <c r="U24" s="363" t="s">
        <v>72</v>
      </c>
      <c r="V24" s="366">
        <v>42865</v>
      </c>
      <c r="W24" s="367">
        <v>18850</v>
      </c>
      <c r="X24" s="355"/>
      <c r="Y24" s="356"/>
      <c r="Z24" s="357"/>
      <c r="AA24" s="358"/>
      <c r="AB24" s="357"/>
      <c r="AC24" s="359"/>
      <c r="AD24" s="360"/>
      <c r="AE24" s="355"/>
      <c r="AF24" s="355"/>
      <c r="AG24" s="355"/>
      <c r="AH24" s="356"/>
      <c r="AI24" s="357"/>
      <c r="AJ24" s="358"/>
      <c r="AK24" s="357"/>
      <c r="AL24" s="359"/>
      <c r="AM24" s="360"/>
      <c r="AN24" s="355"/>
      <c r="AO24" s="355"/>
      <c r="AP24" s="355"/>
      <c r="AQ24" s="356"/>
      <c r="AR24" s="357"/>
      <c r="AS24" s="358"/>
      <c r="AT24" s="357"/>
      <c r="AU24" s="359"/>
      <c r="AV24" s="360"/>
      <c r="AW24" s="355"/>
      <c r="AX24" s="355"/>
      <c r="AY24" s="355"/>
      <c r="AZ24" s="356"/>
      <c r="BA24" s="357"/>
      <c r="BB24" s="358"/>
      <c r="BC24" s="357"/>
      <c r="BD24" s="359"/>
      <c r="BE24" s="360"/>
      <c r="BF24" s="355"/>
      <c r="BG24" s="355"/>
      <c r="BH24" s="355"/>
      <c r="BI24" s="356"/>
      <c r="BJ24" s="357"/>
      <c r="BK24" s="358"/>
      <c r="BL24" s="357"/>
      <c r="BM24" s="359"/>
      <c r="BN24" s="360"/>
      <c r="BO24" s="355"/>
      <c r="BP24" s="355"/>
      <c r="BQ24" s="355"/>
      <c r="BR24" s="356"/>
      <c r="BS24" s="357"/>
      <c r="BT24" s="358"/>
      <c r="BU24" s="357"/>
      <c r="BV24" s="359"/>
      <c r="BW24" s="360"/>
      <c r="BX24" s="355"/>
      <c r="BY24" s="355"/>
      <c r="BZ24" s="355"/>
      <c r="CA24" s="356"/>
      <c r="CB24" s="357"/>
      <c r="CC24" s="358"/>
      <c r="CD24" s="357"/>
      <c r="CE24" s="359"/>
      <c r="CF24" s="360"/>
      <c r="CG24" s="355"/>
      <c r="CH24" s="355"/>
      <c r="CI24" s="355"/>
      <c r="CJ24" s="356"/>
      <c r="CK24" s="357"/>
      <c r="CL24" s="358"/>
      <c r="CM24" s="357"/>
      <c r="CN24" s="359"/>
      <c r="CO24" s="360"/>
      <c r="CP24" s="355"/>
      <c r="CQ24" s="355"/>
      <c r="CR24" s="355"/>
      <c r="CS24" s="356"/>
      <c r="CT24" s="357"/>
      <c r="CU24" s="358"/>
      <c r="CV24" s="357"/>
      <c r="CW24" s="359"/>
      <c r="CX24" s="360"/>
      <c r="CY24" s="355"/>
      <c r="CZ24" s="355"/>
      <c r="DA24" s="355"/>
      <c r="DB24" s="356"/>
      <c r="DC24" s="357"/>
      <c r="DD24" s="358"/>
      <c r="DE24" s="357"/>
      <c r="DF24" s="359"/>
      <c r="DG24" s="360"/>
      <c r="DH24" s="355"/>
      <c r="DI24" s="355"/>
      <c r="DJ24" s="355"/>
      <c r="DK24" s="356"/>
      <c r="DL24" s="357"/>
      <c r="DM24" s="358"/>
      <c r="DN24" s="357"/>
      <c r="DO24" s="359"/>
      <c r="DP24" s="360"/>
      <c r="DQ24" s="355"/>
      <c r="DR24" s="355"/>
      <c r="DS24" s="355"/>
      <c r="DT24" s="356"/>
      <c r="DU24" s="357"/>
      <c r="DV24" s="358"/>
      <c r="DW24" s="357"/>
      <c r="DX24" s="359"/>
      <c r="DY24" s="360"/>
      <c r="DZ24" s="355"/>
      <c r="EA24" s="355"/>
      <c r="EB24" s="355"/>
      <c r="EC24" s="356"/>
      <c r="ED24" s="357"/>
      <c r="EE24" s="358"/>
      <c r="EF24" s="357"/>
      <c r="EG24" s="359"/>
      <c r="EH24" s="360"/>
      <c r="EI24" s="355"/>
      <c r="EJ24" s="355"/>
      <c r="EK24" s="355"/>
      <c r="EL24" s="356"/>
      <c r="EM24" s="357"/>
      <c r="EN24" s="358"/>
      <c r="EO24" s="357"/>
      <c r="EP24" s="359"/>
      <c r="EQ24" s="360"/>
      <c r="ER24" s="355"/>
      <c r="ES24" s="355"/>
      <c r="ET24" s="355"/>
      <c r="EU24" s="356"/>
      <c r="EV24" s="357"/>
      <c r="EW24" s="358"/>
      <c r="EX24" s="357"/>
      <c r="EY24" s="359"/>
      <c r="EZ24" s="360"/>
      <c r="FA24" s="355"/>
      <c r="FB24" s="355"/>
      <c r="FC24" s="355"/>
      <c r="FD24" s="356"/>
      <c r="FE24" s="357"/>
      <c r="FF24" s="358"/>
      <c r="FG24" s="357"/>
      <c r="FH24" s="359"/>
      <c r="FI24" s="360"/>
      <c r="FJ24" s="355"/>
      <c r="FK24" s="355"/>
      <c r="FL24" s="355"/>
      <c r="FM24" s="356"/>
      <c r="FN24" s="357"/>
      <c r="FO24" s="358"/>
      <c r="FP24" s="357"/>
      <c r="FQ24" s="359"/>
      <c r="FR24" s="360"/>
      <c r="FS24" s="355"/>
      <c r="FT24" s="355"/>
      <c r="FU24" s="355"/>
      <c r="FV24" s="356"/>
      <c r="FW24" s="357"/>
      <c r="FX24" s="358"/>
      <c r="FY24" s="357"/>
      <c r="FZ24" s="359"/>
      <c r="GA24" s="360"/>
      <c r="GB24" s="355"/>
      <c r="GC24" s="355"/>
      <c r="GD24" s="355"/>
      <c r="GE24" s="356"/>
      <c r="GF24" s="357"/>
      <c r="GG24" s="358"/>
      <c r="GH24" s="357"/>
      <c r="GI24" s="359"/>
      <c r="GJ24" s="360"/>
      <c r="GK24" s="355"/>
      <c r="GL24" s="355"/>
      <c r="GM24" s="355"/>
      <c r="GN24" s="356"/>
      <c r="GO24" s="357"/>
      <c r="GP24" s="358"/>
      <c r="GQ24" s="357"/>
      <c r="GR24" s="359"/>
      <c r="GS24" s="360"/>
      <c r="GT24" s="362">
        <v>42865</v>
      </c>
      <c r="GU24" s="411"/>
      <c r="GV24" s="84"/>
      <c r="GW24" s="74"/>
      <c r="GX24" s="74"/>
      <c r="GY24" s="403" t="s">
        <v>443</v>
      </c>
      <c r="GZ24" s="404">
        <v>3480</v>
      </c>
    </row>
    <row r="25" spans="1:208" ht="30" x14ac:dyDescent="0.25">
      <c r="D25" s="35"/>
      <c r="E25" s="36"/>
      <c r="F25" s="37"/>
      <c r="G25" s="38"/>
      <c r="H25" s="39"/>
      <c r="I25" s="40"/>
      <c r="J25" s="68" t="s">
        <v>337</v>
      </c>
      <c r="K25" s="407" t="s">
        <v>399</v>
      </c>
      <c r="L25" s="70">
        <v>22340</v>
      </c>
      <c r="M25" s="71">
        <v>42845</v>
      </c>
      <c r="N25" s="380" t="s">
        <v>398</v>
      </c>
      <c r="O25" s="72">
        <v>28005</v>
      </c>
      <c r="P25" s="113">
        <f t="shared" si="0"/>
        <v>5665</v>
      </c>
      <c r="Q25" s="117">
        <v>23</v>
      </c>
      <c r="R25" s="117"/>
      <c r="S25" s="117"/>
      <c r="T25" s="39">
        <f t="shared" si="1"/>
        <v>644115</v>
      </c>
      <c r="U25" s="363" t="s">
        <v>72</v>
      </c>
      <c r="V25" s="353">
        <v>42865</v>
      </c>
      <c r="W25" s="368">
        <v>18322.2</v>
      </c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57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362">
        <v>42865</v>
      </c>
      <c r="GU25" s="411"/>
      <c r="GV25" s="65"/>
      <c r="GW25" s="74"/>
      <c r="GX25" s="74"/>
      <c r="GY25" s="405" t="s">
        <v>443</v>
      </c>
      <c r="GZ25" s="404">
        <v>3480</v>
      </c>
    </row>
    <row r="26" spans="1:208" ht="30" x14ac:dyDescent="0.25">
      <c r="D26" s="35"/>
      <c r="E26" s="36"/>
      <c r="F26" s="37"/>
      <c r="G26" s="38"/>
      <c r="H26" s="39"/>
      <c r="I26" s="40"/>
      <c r="J26" s="68" t="s">
        <v>96</v>
      </c>
      <c r="K26" s="407" t="s">
        <v>156</v>
      </c>
      <c r="L26" s="70">
        <v>17480</v>
      </c>
      <c r="M26" s="71">
        <v>42846</v>
      </c>
      <c r="N26" s="380" t="s">
        <v>400</v>
      </c>
      <c r="O26" s="72">
        <f>21840-1000</f>
        <v>20840</v>
      </c>
      <c r="P26" s="113">
        <f t="shared" si="0"/>
        <v>3360</v>
      </c>
      <c r="Q26" s="64">
        <v>23</v>
      </c>
      <c r="R26" s="64"/>
      <c r="S26" s="64"/>
      <c r="T26" s="39">
        <f t="shared" si="1"/>
        <v>479320</v>
      </c>
      <c r="U26" s="363" t="s">
        <v>72</v>
      </c>
      <c r="V26" s="353">
        <v>42866</v>
      </c>
      <c r="W26" s="368">
        <v>15080</v>
      </c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57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362">
        <v>42866</v>
      </c>
      <c r="GU26" s="411"/>
      <c r="GV26" s="65">
        <v>22176</v>
      </c>
      <c r="GW26" s="74" t="s">
        <v>359</v>
      </c>
      <c r="GX26" s="74"/>
      <c r="GY26" s="403" t="s">
        <v>443</v>
      </c>
      <c r="GZ26" s="404">
        <v>3480</v>
      </c>
    </row>
    <row r="27" spans="1:208" x14ac:dyDescent="0.25">
      <c r="D27" s="35"/>
      <c r="E27" s="36"/>
      <c r="F27" s="37"/>
      <c r="G27" s="38"/>
      <c r="H27" s="39"/>
      <c r="I27" s="40"/>
      <c r="J27" s="68" t="s">
        <v>42</v>
      </c>
      <c r="K27" s="407" t="s">
        <v>155</v>
      </c>
      <c r="L27" s="70">
        <v>11670</v>
      </c>
      <c r="M27" s="71">
        <v>42846</v>
      </c>
      <c r="N27" s="380" t="s">
        <v>402</v>
      </c>
      <c r="O27" s="72">
        <v>15775</v>
      </c>
      <c r="P27" s="113">
        <f t="shared" si="0"/>
        <v>4105</v>
      </c>
      <c r="Q27" s="117">
        <v>23</v>
      </c>
      <c r="R27" s="64"/>
      <c r="S27" s="120"/>
      <c r="T27" s="39">
        <f t="shared" si="1"/>
        <v>362825</v>
      </c>
      <c r="U27" s="363" t="s">
        <v>72</v>
      </c>
      <c r="V27" s="353">
        <v>42866</v>
      </c>
      <c r="W27" s="369">
        <v>9802</v>
      </c>
      <c r="X27" s="355"/>
      <c r="Y27" s="356"/>
      <c r="Z27" s="357"/>
      <c r="AA27" s="358"/>
      <c r="AB27" s="357"/>
      <c r="AC27" s="359"/>
      <c r="AD27" s="360"/>
      <c r="AE27" s="355"/>
      <c r="AF27" s="355"/>
      <c r="AG27" s="355"/>
      <c r="AH27" s="356"/>
      <c r="AI27" s="357"/>
      <c r="AJ27" s="358"/>
      <c r="AK27" s="357"/>
      <c r="AL27" s="359"/>
      <c r="AM27" s="360"/>
      <c r="AN27" s="355"/>
      <c r="AO27" s="355"/>
      <c r="AP27" s="355"/>
      <c r="AQ27" s="356"/>
      <c r="AR27" s="357"/>
      <c r="AS27" s="358"/>
      <c r="AT27" s="357"/>
      <c r="AU27" s="359"/>
      <c r="AV27" s="360"/>
      <c r="AW27" s="355"/>
      <c r="AX27" s="355"/>
      <c r="AY27" s="355"/>
      <c r="AZ27" s="356"/>
      <c r="BA27" s="357"/>
      <c r="BB27" s="358"/>
      <c r="BC27" s="357"/>
      <c r="BD27" s="359"/>
      <c r="BE27" s="360"/>
      <c r="BF27" s="355"/>
      <c r="BG27" s="355"/>
      <c r="BH27" s="355"/>
      <c r="BI27" s="356"/>
      <c r="BJ27" s="357"/>
      <c r="BK27" s="358"/>
      <c r="BL27" s="357"/>
      <c r="BM27" s="359"/>
      <c r="BN27" s="360"/>
      <c r="BO27" s="355"/>
      <c r="BP27" s="355"/>
      <c r="BQ27" s="355"/>
      <c r="BR27" s="356"/>
      <c r="BS27" s="357"/>
      <c r="BT27" s="358"/>
      <c r="BU27" s="357"/>
      <c r="BV27" s="359"/>
      <c r="BW27" s="360"/>
      <c r="BX27" s="355"/>
      <c r="BY27" s="355"/>
      <c r="BZ27" s="355"/>
      <c r="CA27" s="356"/>
      <c r="CB27" s="357"/>
      <c r="CC27" s="358"/>
      <c r="CD27" s="357"/>
      <c r="CE27" s="359"/>
      <c r="CF27" s="360"/>
      <c r="CG27" s="355"/>
      <c r="CH27" s="355"/>
      <c r="CI27" s="355"/>
      <c r="CJ27" s="356"/>
      <c r="CK27" s="357"/>
      <c r="CL27" s="358"/>
      <c r="CM27" s="357"/>
      <c r="CN27" s="359"/>
      <c r="CO27" s="360"/>
      <c r="CP27" s="355"/>
      <c r="CQ27" s="355"/>
      <c r="CR27" s="355"/>
      <c r="CS27" s="356"/>
      <c r="CT27" s="357"/>
      <c r="CU27" s="358"/>
      <c r="CV27" s="357"/>
      <c r="CW27" s="359"/>
      <c r="CX27" s="360"/>
      <c r="CY27" s="355"/>
      <c r="CZ27" s="355"/>
      <c r="DA27" s="355"/>
      <c r="DB27" s="356"/>
      <c r="DC27" s="357"/>
      <c r="DD27" s="358"/>
      <c r="DE27" s="357"/>
      <c r="DF27" s="359"/>
      <c r="DG27" s="360"/>
      <c r="DH27" s="355"/>
      <c r="DI27" s="355"/>
      <c r="DJ27" s="355"/>
      <c r="DK27" s="356"/>
      <c r="DL27" s="357"/>
      <c r="DM27" s="358"/>
      <c r="DN27" s="357"/>
      <c r="DO27" s="359"/>
      <c r="DP27" s="360"/>
      <c r="DQ27" s="355"/>
      <c r="DR27" s="355"/>
      <c r="DS27" s="355"/>
      <c r="DT27" s="356"/>
      <c r="DU27" s="357"/>
      <c r="DV27" s="358"/>
      <c r="DW27" s="357"/>
      <c r="DX27" s="359"/>
      <c r="DY27" s="360"/>
      <c r="DZ27" s="355"/>
      <c r="EA27" s="355"/>
      <c r="EB27" s="355"/>
      <c r="EC27" s="356"/>
      <c r="ED27" s="357"/>
      <c r="EE27" s="358"/>
      <c r="EF27" s="357"/>
      <c r="EG27" s="359"/>
      <c r="EH27" s="360"/>
      <c r="EI27" s="355"/>
      <c r="EJ27" s="355"/>
      <c r="EK27" s="355"/>
      <c r="EL27" s="356"/>
      <c r="EM27" s="357"/>
      <c r="EN27" s="358"/>
      <c r="EO27" s="357"/>
      <c r="EP27" s="359"/>
      <c r="EQ27" s="360"/>
      <c r="ER27" s="355"/>
      <c r="ES27" s="355"/>
      <c r="ET27" s="355"/>
      <c r="EU27" s="356"/>
      <c r="EV27" s="357"/>
      <c r="EW27" s="358"/>
      <c r="EX27" s="357"/>
      <c r="EY27" s="359"/>
      <c r="EZ27" s="360"/>
      <c r="FA27" s="355"/>
      <c r="FB27" s="355"/>
      <c r="FC27" s="355"/>
      <c r="FD27" s="356"/>
      <c r="FE27" s="357"/>
      <c r="FF27" s="358"/>
      <c r="FG27" s="357"/>
      <c r="FH27" s="359"/>
      <c r="FI27" s="360"/>
      <c r="FJ27" s="355"/>
      <c r="FK27" s="355"/>
      <c r="FL27" s="355"/>
      <c r="FM27" s="356"/>
      <c r="FN27" s="357"/>
      <c r="FO27" s="358"/>
      <c r="FP27" s="357"/>
      <c r="FQ27" s="359"/>
      <c r="FR27" s="360"/>
      <c r="FS27" s="355"/>
      <c r="FT27" s="355"/>
      <c r="FU27" s="355"/>
      <c r="FV27" s="356"/>
      <c r="FW27" s="357"/>
      <c r="FX27" s="358"/>
      <c r="FY27" s="357"/>
      <c r="FZ27" s="359"/>
      <c r="GA27" s="360"/>
      <c r="GB27" s="355"/>
      <c r="GC27" s="355"/>
      <c r="GD27" s="355"/>
      <c r="GE27" s="356"/>
      <c r="GF27" s="357"/>
      <c r="GG27" s="358"/>
      <c r="GH27" s="357"/>
      <c r="GI27" s="359"/>
      <c r="GJ27" s="360"/>
      <c r="GK27" s="355"/>
      <c r="GL27" s="355"/>
      <c r="GM27" s="355"/>
      <c r="GN27" s="356"/>
      <c r="GO27" s="357"/>
      <c r="GP27" s="358"/>
      <c r="GQ27" s="357"/>
      <c r="GR27" s="359"/>
      <c r="GS27" s="360"/>
      <c r="GT27" s="370">
        <v>42866</v>
      </c>
      <c r="GU27" s="411"/>
      <c r="GV27" s="84">
        <v>17584</v>
      </c>
      <c r="GW27" s="74" t="s">
        <v>360</v>
      </c>
      <c r="GX27" s="74"/>
      <c r="GY27" s="403" t="s">
        <v>443</v>
      </c>
      <c r="GZ27" s="404">
        <v>2088</v>
      </c>
    </row>
    <row r="28" spans="1:208" x14ac:dyDescent="0.25">
      <c r="D28" s="35"/>
      <c r="E28" s="36"/>
      <c r="F28" s="37"/>
      <c r="G28" s="38"/>
      <c r="H28" s="39"/>
      <c r="I28" s="40"/>
      <c r="J28" s="68" t="s">
        <v>42</v>
      </c>
      <c r="K28" s="451" t="s">
        <v>37</v>
      </c>
      <c r="L28" s="70">
        <v>18550</v>
      </c>
      <c r="M28" s="71">
        <v>42848</v>
      </c>
      <c r="N28" s="380" t="s">
        <v>403</v>
      </c>
      <c r="O28" s="72">
        <v>23310</v>
      </c>
      <c r="P28" s="113">
        <f t="shared" si="0"/>
        <v>4760</v>
      </c>
      <c r="Q28" s="117">
        <v>23</v>
      </c>
      <c r="R28" s="117"/>
      <c r="S28" s="89"/>
      <c r="T28" s="39">
        <f t="shared" si="1"/>
        <v>536130</v>
      </c>
      <c r="U28" s="363" t="s">
        <v>72</v>
      </c>
      <c r="V28" s="353">
        <v>42867</v>
      </c>
      <c r="W28" s="368">
        <v>15080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362">
        <v>42867</v>
      </c>
      <c r="GU28" s="411"/>
      <c r="GV28" s="65"/>
      <c r="GW28" s="74"/>
      <c r="GX28" s="74"/>
      <c r="GY28" s="403" t="s">
        <v>443</v>
      </c>
      <c r="GZ28" s="404">
        <v>3480</v>
      </c>
    </row>
    <row r="29" spans="1:208" x14ac:dyDescent="0.25">
      <c r="D29" s="35"/>
      <c r="E29" s="36"/>
      <c r="F29" s="37"/>
      <c r="G29" s="38"/>
      <c r="H29" s="39"/>
      <c r="I29" s="40"/>
      <c r="J29" s="68" t="s">
        <v>44</v>
      </c>
      <c r="K29" s="451" t="s">
        <v>214</v>
      </c>
      <c r="L29" s="70">
        <v>12190</v>
      </c>
      <c r="M29" s="71">
        <v>42848</v>
      </c>
      <c r="N29" s="380" t="s">
        <v>232</v>
      </c>
      <c r="O29" s="72">
        <v>14780</v>
      </c>
      <c r="P29" s="113">
        <f t="shared" si="0"/>
        <v>2590</v>
      </c>
      <c r="Q29" s="117">
        <v>23</v>
      </c>
      <c r="R29" s="117"/>
      <c r="S29" s="89"/>
      <c r="T29" s="39">
        <f t="shared" si="1"/>
        <v>339940</v>
      </c>
      <c r="U29" s="363" t="s">
        <v>72</v>
      </c>
      <c r="V29" s="353">
        <v>42870</v>
      </c>
      <c r="W29" s="368">
        <v>9877.4</v>
      </c>
      <c r="X29" s="355"/>
      <c r="Y29" s="356"/>
      <c r="Z29" s="357"/>
      <c r="AA29" s="358"/>
      <c r="AB29" s="357"/>
      <c r="AC29" s="359"/>
      <c r="AD29" s="360"/>
      <c r="AE29" s="355"/>
      <c r="AF29" s="355"/>
      <c r="AG29" s="355"/>
      <c r="AH29" s="356"/>
      <c r="AI29" s="357"/>
      <c r="AJ29" s="358"/>
      <c r="AK29" s="357"/>
      <c r="AL29" s="359"/>
      <c r="AM29" s="360"/>
      <c r="AN29" s="355"/>
      <c r="AO29" s="355"/>
      <c r="AP29" s="355"/>
      <c r="AQ29" s="356"/>
      <c r="AR29" s="357"/>
      <c r="AS29" s="358"/>
      <c r="AT29" s="357"/>
      <c r="AU29" s="359"/>
      <c r="AV29" s="360"/>
      <c r="AW29" s="355"/>
      <c r="AX29" s="355"/>
      <c r="AY29" s="355"/>
      <c r="AZ29" s="356"/>
      <c r="BA29" s="357"/>
      <c r="BB29" s="358"/>
      <c r="BC29" s="357"/>
      <c r="BD29" s="359"/>
      <c r="BE29" s="360"/>
      <c r="BF29" s="355"/>
      <c r="BG29" s="355"/>
      <c r="BH29" s="355"/>
      <c r="BI29" s="356"/>
      <c r="BJ29" s="357"/>
      <c r="BK29" s="358"/>
      <c r="BL29" s="357"/>
      <c r="BM29" s="359"/>
      <c r="BN29" s="360"/>
      <c r="BO29" s="355"/>
      <c r="BP29" s="355"/>
      <c r="BQ29" s="355"/>
      <c r="BR29" s="356"/>
      <c r="BS29" s="357"/>
      <c r="BT29" s="358"/>
      <c r="BU29" s="357"/>
      <c r="BV29" s="359"/>
      <c r="BW29" s="360"/>
      <c r="BX29" s="355"/>
      <c r="BY29" s="355"/>
      <c r="BZ29" s="355"/>
      <c r="CA29" s="356"/>
      <c r="CB29" s="357"/>
      <c r="CC29" s="358"/>
      <c r="CD29" s="357"/>
      <c r="CE29" s="359"/>
      <c r="CF29" s="360"/>
      <c r="CG29" s="355"/>
      <c r="CH29" s="355"/>
      <c r="CI29" s="355"/>
      <c r="CJ29" s="356"/>
      <c r="CK29" s="357"/>
      <c r="CL29" s="358"/>
      <c r="CM29" s="357"/>
      <c r="CN29" s="359"/>
      <c r="CO29" s="360"/>
      <c r="CP29" s="355"/>
      <c r="CQ29" s="355"/>
      <c r="CR29" s="355"/>
      <c r="CS29" s="356"/>
      <c r="CT29" s="357"/>
      <c r="CU29" s="358"/>
      <c r="CV29" s="357"/>
      <c r="CW29" s="359"/>
      <c r="CX29" s="360"/>
      <c r="CY29" s="355"/>
      <c r="CZ29" s="355"/>
      <c r="DA29" s="355"/>
      <c r="DB29" s="356"/>
      <c r="DC29" s="357"/>
      <c r="DD29" s="358"/>
      <c r="DE29" s="357"/>
      <c r="DF29" s="359"/>
      <c r="DG29" s="360"/>
      <c r="DH29" s="355"/>
      <c r="DI29" s="355"/>
      <c r="DJ29" s="355"/>
      <c r="DK29" s="356"/>
      <c r="DL29" s="357"/>
      <c r="DM29" s="358"/>
      <c r="DN29" s="357"/>
      <c r="DO29" s="359"/>
      <c r="DP29" s="360"/>
      <c r="DQ29" s="355"/>
      <c r="DR29" s="355"/>
      <c r="DS29" s="355"/>
      <c r="DT29" s="356"/>
      <c r="DU29" s="357"/>
      <c r="DV29" s="358"/>
      <c r="DW29" s="357"/>
      <c r="DX29" s="359"/>
      <c r="DY29" s="360"/>
      <c r="DZ29" s="355"/>
      <c r="EA29" s="355"/>
      <c r="EB29" s="355"/>
      <c r="EC29" s="356"/>
      <c r="ED29" s="357"/>
      <c r="EE29" s="358"/>
      <c r="EF29" s="357"/>
      <c r="EG29" s="359"/>
      <c r="EH29" s="360"/>
      <c r="EI29" s="355"/>
      <c r="EJ29" s="355"/>
      <c r="EK29" s="355"/>
      <c r="EL29" s="356"/>
      <c r="EM29" s="357"/>
      <c r="EN29" s="358"/>
      <c r="EO29" s="357"/>
      <c r="EP29" s="359"/>
      <c r="EQ29" s="360"/>
      <c r="ER29" s="355"/>
      <c r="ES29" s="355"/>
      <c r="ET29" s="355"/>
      <c r="EU29" s="356"/>
      <c r="EV29" s="357"/>
      <c r="EW29" s="358"/>
      <c r="EX29" s="357"/>
      <c r="EY29" s="359"/>
      <c r="EZ29" s="360"/>
      <c r="FA29" s="355"/>
      <c r="FB29" s="355"/>
      <c r="FC29" s="355"/>
      <c r="FD29" s="356"/>
      <c r="FE29" s="357"/>
      <c r="FF29" s="358"/>
      <c r="FG29" s="357"/>
      <c r="FH29" s="359"/>
      <c r="FI29" s="360"/>
      <c r="FJ29" s="355"/>
      <c r="FK29" s="355"/>
      <c r="FL29" s="355"/>
      <c r="FM29" s="356"/>
      <c r="FN29" s="357"/>
      <c r="FO29" s="358"/>
      <c r="FP29" s="357"/>
      <c r="FQ29" s="359"/>
      <c r="FR29" s="360"/>
      <c r="FS29" s="355"/>
      <c r="FT29" s="355"/>
      <c r="FU29" s="355"/>
      <c r="FV29" s="356"/>
      <c r="FW29" s="357"/>
      <c r="FX29" s="358"/>
      <c r="FY29" s="357"/>
      <c r="FZ29" s="359"/>
      <c r="GA29" s="360"/>
      <c r="GB29" s="355"/>
      <c r="GC29" s="355"/>
      <c r="GD29" s="355"/>
      <c r="GE29" s="356"/>
      <c r="GF29" s="357"/>
      <c r="GG29" s="358"/>
      <c r="GH29" s="357"/>
      <c r="GI29" s="359"/>
      <c r="GJ29" s="360"/>
      <c r="GK29" s="355"/>
      <c r="GL29" s="355"/>
      <c r="GM29" s="355"/>
      <c r="GN29" s="356"/>
      <c r="GO29" s="357"/>
      <c r="GP29" s="358"/>
      <c r="GQ29" s="357"/>
      <c r="GR29" s="359"/>
      <c r="GS29" s="360"/>
      <c r="GT29" s="362">
        <v>42870</v>
      </c>
      <c r="GU29" s="411"/>
      <c r="GV29" s="65">
        <v>17584</v>
      </c>
      <c r="GW29" s="74" t="s">
        <v>377</v>
      </c>
      <c r="GX29" s="74"/>
      <c r="GY29" s="403" t="s">
        <v>443</v>
      </c>
      <c r="GZ29" s="404">
        <v>2088</v>
      </c>
    </row>
    <row r="30" spans="1:208" x14ac:dyDescent="0.25">
      <c r="D30" s="35"/>
      <c r="E30" s="36"/>
      <c r="F30" s="37"/>
      <c r="G30" s="38"/>
      <c r="H30" s="39"/>
      <c r="I30" s="40"/>
      <c r="J30" s="68" t="s">
        <v>213</v>
      </c>
      <c r="K30" s="407" t="s">
        <v>148</v>
      </c>
      <c r="L30" s="70">
        <v>21750</v>
      </c>
      <c r="M30" s="71">
        <v>42849</v>
      </c>
      <c r="N30" s="380" t="s">
        <v>429</v>
      </c>
      <c r="O30" s="72">
        <v>27655</v>
      </c>
      <c r="P30" s="113">
        <f t="shared" si="0"/>
        <v>5905</v>
      </c>
      <c r="Q30" s="64">
        <v>23</v>
      </c>
      <c r="R30" s="124"/>
      <c r="S30" s="117"/>
      <c r="T30" s="39">
        <f t="shared" si="1"/>
        <v>636065</v>
      </c>
      <c r="U30" s="363" t="s">
        <v>72</v>
      </c>
      <c r="V30" s="353">
        <v>42870</v>
      </c>
      <c r="W30" s="371">
        <v>18925.400000000001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370">
        <v>42870</v>
      </c>
      <c r="GU30" s="411"/>
      <c r="GV30" s="65">
        <v>22176</v>
      </c>
      <c r="GW30" s="74" t="s">
        <v>378</v>
      </c>
      <c r="GX30" s="74"/>
      <c r="GY30" s="403" t="s">
        <v>443</v>
      </c>
      <c r="GZ30" s="404">
        <v>3480</v>
      </c>
    </row>
    <row r="31" spans="1:208" ht="30" x14ac:dyDescent="0.25">
      <c r="D31" s="35"/>
      <c r="E31" s="36"/>
      <c r="F31" s="37"/>
      <c r="G31" s="38"/>
      <c r="H31" s="39"/>
      <c r="I31" s="40"/>
      <c r="J31" s="68" t="s">
        <v>42</v>
      </c>
      <c r="K31" s="407" t="s">
        <v>350</v>
      </c>
      <c r="L31" s="70">
        <v>23360</v>
      </c>
      <c r="M31" s="71">
        <v>42850</v>
      </c>
      <c r="N31" s="380" t="s">
        <v>430</v>
      </c>
      <c r="O31" s="72">
        <f>29390-236</f>
        <v>29154</v>
      </c>
      <c r="P31" s="113">
        <f t="shared" si="0"/>
        <v>5794</v>
      </c>
      <c r="Q31" s="64">
        <v>23</v>
      </c>
      <c r="R31" s="124"/>
      <c r="S31" s="125"/>
      <c r="T31" s="39">
        <f t="shared" si="1"/>
        <v>670542</v>
      </c>
      <c r="U31" s="363" t="s">
        <v>72</v>
      </c>
      <c r="V31" s="353">
        <v>42870</v>
      </c>
      <c r="W31" s="371">
        <v>18850</v>
      </c>
      <c r="X31" s="355"/>
      <c r="Y31" s="356"/>
      <c r="Z31" s="357"/>
      <c r="AA31" s="358"/>
      <c r="AB31" s="357"/>
      <c r="AC31" s="359"/>
      <c r="AD31" s="360"/>
      <c r="AE31" s="355"/>
      <c r="AF31" s="355"/>
      <c r="AG31" s="355"/>
      <c r="AH31" s="356"/>
      <c r="AI31" s="357"/>
      <c r="AJ31" s="358"/>
      <c r="AK31" s="357"/>
      <c r="AL31" s="359"/>
      <c r="AM31" s="360"/>
      <c r="AN31" s="355"/>
      <c r="AO31" s="355"/>
      <c r="AP31" s="355"/>
      <c r="AQ31" s="356"/>
      <c r="AR31" s="357"/>
      <c r="AS31" s="358"/>
      <c r="AT31" s="357"/>
      <c r="AU31" s="359"/>
      <c r="AV31" s="360"/>
      <c r="AW31" s="355"/>
      <c r="AX31" s="355"/>
      <c r="AY31" s="355"/>
      <c r="AZ31" s="356"/>
      <c r="BA31" s="357"/>
      <c r="BB31" s="358"/>
      <c r="BC31" s="357"/>
      <c r="BD31" s="359"/>
      <c r="BE31" s="360"/>
      <c r="BF31" s="355"/>
      <c r="BG31" s="355"/>
      <c r="BH31" s="355"/>
      <c r="BI31" s="356"/>
      <c r="BJ31" s="357"/>
      <c r="BK31" s="358"/>
      <c r="BL31" s="357"/>
      <c r="BM31" s="359"/>
      <c r="BN31" s="360"/>
      <c r="BO31" s="355"/>
      <c r="BP31" s="355"/>
      <c r="BQ31" s="355"/>
      <c r="BR31" s="356"/>
      <c r="BS31" s="357"/>
      <c r="BT31" s="358"/>
      <c r="BU31" s="357"/>
      <c r="BV31" s="359"/>
      <c r="BW31" s="360"/>
      <c r="BX31" s="355"/>
      <c r="BY31" s="355"/>
      <c r="BZ31" s="355"/>
      <c r="CA31" s="356"/>
      <c r="CB31" s="357"/>
      <c r="CC31" s="358"/>
      <c r="CD31" s="357"/>
      <c r="CE31" s="359"/>
      <c r="CF31" s="360"/>
      <c r="CG31" s="355"/>
      <c r="CH31" s="355"/>
      <c r="CI31" s="355"/>
      <c r="CJ31" s="356"/>
      <c r="CK31" s="357"/>
      <c r="CL31" s="358"/>
      <c r="CM31" s="357"/>
      <c r="CN31" s="359"/>
      <c r="CO31" s="360"/>
      <c r="CP31" s="355"/>
      <c r="CQ31" s="355"/>
      <c r="CR31" s="355"/>
      <c r="CS31" s="356"/>
      <c r="CT31" s="357"/>
      <c r="CU31" s="358"/>
      <c r="CV31" s="357"/>
      <c r="CW31" s="359"/>
      <c r="CX31" s="360"/>
      <c r="CY31" s="355"/>
      <c r="CZ31" s="355"/>
      <c r="DA31" s="355"/>
      <c r="DB31" s="356"/>
      <c r="DC31" s="357"/>
      <c r="DD31" s="358"/>
      <c r="DE31" s="357"/>
      <c r="DF31" s="359"/>
      <c r="DG31" s="360"/>
      <c r="DH31" s="355"/>
      <c r="DI31" s="355"/>
      <c r="DJ31" s="355"/>
      <c r="DK31" s="356"/>
      <c r="DL31" s="357"/>
      <c r="DM31" s="358"/>
      <c r="DN31" s="357"/>
      <c r="DO31" s="359"/>
      <c r="DP31" s="360"/>
      <c r="DQ31" s="355"/>
      <c r="DR31" s="355"/>
      <c r="DS31" s="355"/>
      <c r="DT31" s="356"/>
      <c r="DU31" s="357"/>
      <c r="DV31" s="358"/>
      <c r="DW31" s="357"/>
      <c r="DX31" s="359"/>
      <c r="DY31" s="360"/>
      <c r="DZ31" s="355"/>
      <c r="EA31" s="355"/>
      <c r="EB31" s="355"/>
      <c r="EC31" s="356"/>
      <c r="ED31" s="357"/>
      <c r="EE31" s="358"/>
      <c r="EF31" s="357"/>
      <c r="EG31" s="359"/>
      <c r="EH31" s="360"/>
      <c r="EI31" s="355"/>
      <c r="EJ31" s="355"/>
      <c r="EK31" s="355"/>
      <c r="EL31" s="356"/>
      <c r="EM31" s="357"/>
      <c r="EN31" s="358"/>
      <c r="EO31" s="357"/>
      <c r="EP31" s="359"/>
      <c r="EQ31" s="360"/>
      <c r="ER31" s="355"/>
      <c r="ES31" s="355"/>
      <c r="ET31" s="355"/>
      <c r="EU31" s="356"/>
      <c r="EV31" s="357"/>
      <c r="EW31" s="358"/>
      <c r="EX31" s="357"/>
      <c r="EY31" s="359"/>
      <c r="EZ31" s="360"/>
      <c r="FA31" s="355"/>
      <c r="FB31" s="355"/>
      <c r="FC31" s="355"/>
      <c r="FD31" s="356"/>
      <c r="FE31" s="357"/>
      <c r="FF31" s="358"/>
      <c r="FG31" s="357"/>
      <c r="FH31" s="359"/>
      <c r="FI31" s="360"/>
      <c r="FJ31" s="355"/>
      <c r="FK31" s="355"/>
      <c r="FL31" s="355"/>
      <c r="FM31" s="356"/>
      <c r="FN31" s="357"/>
      <c r="FO31" s="358"/>
      <c r="FP31" s="357"/>
      <c r="FQ31" s="359"/>
      <c r="FR31" s="360"/>
      <c r="FS31" s="355"/>
      <c r="FT31" s="355"/>
      <c r="FU31" s="355"/>
      <c r="FV31" s="356"/>
      <c r="FW31" s="357"/>
      <c r="FX31" s="358"/>
      <c r="FY31" s="357"/>
      <c r="FZ31" s="359"/>
      <c r="GA31" s="360"/>
      <c r="GB31" s="355"/>
      <c r="GC31" s="355"/>
      <c r="GD31" s="355"/>
      <c r="GE31" s="356"/>
      <c r="GF31" s="357"/>
      <c r="GG31" s="358"/>
      <c r="GH31" s="357"/>
      <c r="GI31" s="359"/>
      <c r="GJ31" s="360"/>
      <c r="GK31" s="355"/>
      <c r="GL31" s="355"/>
      <c r="GM31" s="355"/>
      <c r="GN31" s="356"/>
      <c r="GO31" s="357"/>
      <c r="GP31" s="358"/>
      <c r="GQ31" s="357"/>
      <c r="GR31" s="359"/>
      <c r="GS31" s="360"/>
      <c r="GT31" s="370">
        <v>42870</v>
      </c>
      <c r="GU31" s="411"/>
      <c r="GV31" s="65"/>
      <c r="GW31" s="74"/>
      <c r="GX31" s="74"/>
      <c r="GY31" s="403" t="s">
        <v>443</v>
      </c>
      <c r="GZ31" s="404">
        <v>3480</v>
      </c>
    </row>
    <row r="32" spans="1:208" x14ac:dyDescent="0.25">
      <c r="A32"/>
      <c r="D32" s="35"/>
      <c r="E32" s="36"/>
      <c r="F32" s="37"/>
      <c r="G32" s="38"/>
      <c r="H32" s="39"/>
      <c r="I32" s="40"/>
      <c r="J32" s="68" t="s">
        <v>43</v>
      </c>
      <c r="K32" s="407" t="s">
        <v>41</v>
      </c>
      <c r="L32" s="70">
        <v>21790</v>
      </c>
      <c r="M32" s="71">
        <v>42852</v>
      </c>
      <c r="N32" s="380" t="s">
        <v>404</v>
      </c>
      <c r="O32" s="72">
        <v>27250</v>
      </c>
      <c r="P32" s="113">
        <f t="shared" si="0"/>
        <v>5460</v>
      </c>
      <c r="Q32" s="126">
        <v>23</v>
      </c>
      <c r="R32" s="127"/>
      <c r="S32" s="127"/>
      <c r="T32" s="39">
        <f t="shared" si="1"/>
        <v>626750</v>
      </c>
      <c r="U32" s="363" t="s">
        <v>72</v>
      </c>
      <c r="V32" s="353">
        <v>42871</v>
      </c>
      <c r="W32" s="368">
        <v>18850</v>
      </c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362">
        <v>42871</v>
      </c>
      <c r="GU32" s="411"/>
      <c r="GV32" s="65"/>
      <c r="GW32" s="74"/>
      <c r="GX32" s="74"/>
      <c r="GY32" s="403" t="s">
        <v>443</v>
      </c>
      <c r="GZ32" s="404">
        <v>3480</v>
      </c>
    </row>
    <row r="33" spans="1:208" x14ac:dyDescent="0.25">
      <c r="A33"/>
      <c r="D33" s="35"/>
      <c r="E33" s="36"/>
      <c r="F33" s="37"/>
      <c r="G33" s="38"/>
      <c r="H33" s="39"/>
      <c r="I33" s="40"/>
      <c r="J33" s="68" t="s">
        <v>42</v>
      </c>
      <c r="K33" s="407" t="s">
        <v>35</v>
      </c>
      <c r="L33" s="70">
        <v>11900</v>
      </c>
      <c r="M33" s="71">
        <v>42852</v>
      </c>
      <c r="N33" s="380" t="s">
        <v>406</v>
      </c>
      <c r="O33" s="72">
        <v>15970</v>
      </c>
      <c r="P33" s="113">
        <f t="shared" si="0"/>
        <v>4070</v>
      </c>
      <c r="Q33" s="117">
        <v>23</v>
      </c>
      <c r="R33" s="127"/>
      <c r="S33" s="127"/>
      <c r="T33" s="39">
        <f t="shared" si="1"/>
        <v>367310</v>
      </c>
      <c r="U33" s="363" t="s">
        <v>72</v>
      </c>
      <c r="V33" s="353">
        <v>42872</v>
      </c>
      <c r="W33" s="368">
        <v>9802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362">
        <v>42872</v>
      </c>
      <c r="GU33" s="411"/>
      <c r="GV33" s="65">
        <v>17584</v>
      </c>
      <c r="GW33" s="74" t="s">
        <v>379</v>
      </c>
      <c r="GX33" s="74"/>
      <c r="GY33" s="403" t="s">
        <v>443</v>
      </c>
      <c r="GZ33" s="404">
        <v>2088</v>
      </c>
    </row>
    <row r="34" spans="1:208" x14ac:dyDescent="0.25">
      <c r="A34"/>
      <c r="D34" s="35"/>
      <c r="E34" s="36"/>
      <c r="F34" s="37"/>
      <c r="G34" s="38"/>
      <c r="H34" s="39"/>
      <c r="I34" s="40"/>
      <c r="J34" s="68" t="s">
        <v>365</v>
      </c>
      <c r="K34" s="407" t="s">
        <v>46</v>
      </c>
      <c r="L34" s="70">
        <v>12000</v>
      </c>
      <c r="M34" s="71">
        <v>42853</v>
      </c>
      <c r="N34" s="380" t="s">
        <v>414</v>
      </c>
      <c r="O34" s="72">
        <v>10975</v>
      </c>
      <c r="P34" s="113">
        <f t="shared" si="0"/>
        <v>-1025</v>
      </c>
      <c r="Q34" s="117">
        <v>23</v>
      </c>
      <c r="R34" s="117"/>
      <c r="S34" s="117"/>
      <c r="T34" s="39">
        <f>Q34*O34</f>
        <v>252425</v>
      </c>
      <c r="U34" s="363" t="s">
        <v>72</v>
      </c>
      <c r="V34" s="353">
        <v>42874</v>
      </c>
      <c r="W34" s="368">
        <v>7540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384">
        <v>42874</v>
      </c>
      <c r="GU34" s="411"/>
      <c r="GV34" s="65">
        <v>17584</v>
      </c>
      <c r="GW34" s="74" t="s">
        <v>380</v>
      </c>
      <c r="GX34" s="74"/>
      <c r="GY34" s="403" t="s">
        <v>443</v>
      </c>
      <c r="GZ34" s="404">
        <v>3480</v>
      </c>
    </row>
    <row r="35" spans="1:208" x14ac:dyDescent="0.25">
      <c r="A35"/>
      <c r="D35" s="35"/>
      <c r="E35" s="36"/>
      <c r="F35" s="37"/>
      <c r="G35" s="38"/>
      <c r="H35" s="39"/>
      <c r="I35" s="40"/>
      <c r="J35" s="68" t="s">
        <v>363</v>
      </c>
      <c r="K35" s="407" t="s">
        <v>59</v>
      </c>
      <c r="L35" s="70">
        <v>19970</v>
      </c>
      <c r="M35" s="71">
        <v>42853</v>
      </c>
      <c r="N35" s="380" t="s">
        <v>413</v>
      </c>
      <c r="O35" s="72">
        <v>28630</v>
      </c>
      <c r="P35" s="113">
        <f t="shared" si="0"/>
        <v>8660</v>
      </c>
      <c r="Q35" s="117">
        <v>23</v>
      </c>
      <c r="R35" s="117"/>
      <c r="S35" s="117"/>
      <c r="T35" s="39">
        <f>Q35*O35</f>
        <v>658490</v>
      </c>
      <c r="U35" s="363" t="s">
        <v>72</v>
      </c>
      <c r="V35" s="353">
        <v>42873</v>
      </c>
      <c r="W35" s="368">
        <v>17342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362">
        <v>42873</v>
      </c>
      <c r="GU35" s="411"/>
      <c r="GV35" s="65">
        <v>22176</v>
      </c>
      <c r="GW35" s="74" t="s">
        <v>381</v>
      </c>
      <c r="GX35" s="74"/>
      <c r="GY35" s="403" t="s">
        <v>443</v>
      </c>
      <c r="GZ35" s="404">
        <v>2088</v>
      </c>
    </row>
    <row r="36" spans="1:208" x14ac:dyDescent="0.25">
      <c r="A36"/>
      <c r="D36" s="35"/>
      <c r="E36" s="36"/>
      <c r="F36" s="37"/>
      <c r="G36" s="38"/>
      <c r="H36" s="39"/>
      <c r="I36" s="40"/>
      <c r="J36" s="68" t="s">
        <v>38</v>
      </c>
      <c r="K36" s="451" t="s">
        <v>37</v>
      </c>
      <c r="L36" s="70">
        <v>19390</v>
      </c>
      <c r="M36" s="71">
        <v>42855</v>
      </c>
      <c r="N36" s="380" t="s">
        <v>415</v>
      </c>
      <c r="O36" s="72">
        <v>24155</v>
      </c>
      <c r="P36" s="113">
        <f t="shared" si="0"/>
        <v>4765</v>
      </c>
      <c r="Q36" s="64">
        <v>23.5</v>
      </c>
      <c r="R36" s="117"/>
      <c r="S36" s="117"/>
      <c r="T36" s="39">
        <f>Q36*O36</f>
        <v>567642.5</v>
      </c>
      <c r="U36" s="363" t="s">
        <v>72</v>
      </c>
      <c r="V36" s="353">
        <v>42877</v>
      </c>
      <c r="W36" s="368">
        <v>15080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384">
        <v>42877</v>
      </c>
      <c r="GU36" s="411"/>
      <c r="GV36" s="129"/>
      <c r="GW36" s="74"/>
      <c r="GX36" s="74"/>
      <c r="GY36" s="403" t="s">
        <v>443</v>
      </c>
      <c r="GZ36" s="404">
        <v>3480</v>
      </c>
    </row>
    <row r="37" spans="1:208" ht="26.25" x14ac:dyDescent="0.25">
      <c r="A37"/>
      <c r="D37" s="35"/>
      <c r="E37" s="36"/>
      <c r="F37" s="37"/>
      <c r="G37" s="38"/>
      <c r="H37" s="39"/>
      <c r="I37" s="40"/>
      <c r="J37" s="68" t="s">
        <v>38</v>
      </c>
      <c r="K37" s="407" t="s">
        <v>364</v>
      </c>
      <c r="L37" s="70">
        <v>12900</v>
      </c>
      <c r="M37" s="71">
        <v>42855</v>
      </c>
      <c r="N37" s="381" t="s">
        <v>416</v>
      </c>
      <c r="O37" s="72">
        <f>16595-127</f>
        <v>16468</v>
      </c>
      <c r="P37" s="113">
        <f t="shared" si="0"/>
        <v>3568</v>
      </c>
      <c r="Q37" s="117">
        <v>23.5</v>
      </c>
      <c r="R37" s="117"/>
      <c r="S37" s="111"/>
      <c r="T37" s="39">
        <f>Q37*O37+S37+0</f>
        <v>386998</v>
      </c>
      <c r="U37" s="363" t="s">
        <v>72</v>
      </c>
      <c r="V37" s="353">
        <v>42877</v>
      </c>
      <c r="W37" s="368">
        <v>9802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362">
        <v>42877</v>
      </c>
      <c r="GU37" s="411"/>
      <c r="GV37" s="130">
        <v>17584</v>
      </c>
      <c r="GW37" s="74" t="s">
        <v>390</v>
      </c>
      <c r="GX37" s="74"/>
      <c r="GY37" s="403" t="s">
        <v>443</v>
      </c>
      <c r="GZ37" s="404">
        <v>2088</v>
      </c>
    </row>
    <row r="38" spans="1:208" ht="31.5" x14ac:dyDescent="0.25">
      <c r="A38"/>
      <c r="D38" s="35"/>
      <c r="E38" s="36"/>
      <c r="F38" s="37"/>
      <c r="G38" s="38"/>
      <c r="H38" s="39"/>
      <c r="I38" s="40"/>
      <c r="J38" s="68" t="s">
        <v>420</v>
      </c>
      <c r="K38" s="407" t="s">
        <v>421</v>
      </c>
      <c r="L38" s="70">
        <f>2689.4+2722.9</f>
        <v>5412.3</v>
      </c>
      <c r="M38" s="71">
        <v>42840</v>
      </c>
      <c r="N38" s="513" t="s">
        <v>423</v>
      </c>
      <c r="O38" s="72">
        <v>5412.3</v>
      </c>
      <c r="P38" s="113">
        <f t="shared" si="0"/>
        <v>0</v>
      </c>
      <c r="Q38" s="117">
        <v>30.5</v>
      </c>
      <c r="R38" s="511" t="s">
        <v>422</v>
      </c>
      <c r="S38" s="512"/>
      <c r="T38" s="39">
        <f>Q38*O38+S38+0</f>
        <v>165075.15</v>
      </c>
      <c r="U38" s="509" t="s">
        <v>72</v>
      </c>
      <c r="V38" s="510">
        <v>42857</v>
      </c>
      <c r="W38" s="377"/>
      <c r="X38" s="146"/>
      <c r="Y38" s="147"/>
      <c r="Z38" s="148"/>
      <c r="AA38" s="149"/>
      <c r="AB38" s="148"/>
      <c r="AC38" s="150"/>
      <c r="AD38" s="151"/>
      <c r="AE38" s="146"/>
      <c r="AF38" s="146"/>
      <c r="AG38" s="146"/>
      <c r="AH38" s="147"/>
      <c r="AI38" s="148"/>
      <c r="AJ38" s="149"/>
      <c r="AK38" s="148"/>
      <c r="AL38" s="150"/>
      <c r="AM38" s="151"/>
      <c r="AN38" s="146"/>
      <c r="AO38" s="146"/>
      <c r="AP38" s="146"/>
      <c r="AQ38" s="147"/>
      <c r="AR38" s="148"/>
      <c r="AS38" s="149"/>
      <c r="AT38" s="148"/>
      <c r="AU38" s="150"/>
      <c r="AV38" s="151"/>
      <c r="AW38" s="146"/>
      <c r="AX38" s="146"/>
      <c r="AY38" s="146"/>
      <c r="AZ38" s="147"/>
      <c r="BA38" s="148"/>
      <c r="BB38" s="149"/>
      <c r="BC38" s="148"/>
      <c r="BD38" s="150"/>
      <c r="BE38" s="151"/>
      <c r="BF38" s="146"/>
      <c r="BG38" s="146"/>
      <c r="BH38" s="146"/>
      <c r="BI38" s="147"/>
      <c r="BJ38" s="148"/>
      <c r="BK38" s="149"/>
      <c r="BL38" s="148"/>
      <c r="BM38" s="150"/>
      <c r="BN38" s="151"/>
      <c r="BO38" s="146"/>
      <c r="BP38" s="146"/>
      <c r="BQ38" s="146"/>
      <c r="BR38" s="147"/>
      <c r="BS38" s="148"/>
      <c r="BT38" s="149"/>
      <c r="BU38" s="148"/>
      <c r="BV38" s="150"/>
      <c r="BW38" s="151"/>
      <c r="BX38" s="146"/>
      <c r="BY38" s="146"/>
      <c r="BZ38" s="146"/>
      <c r="CA38" s="147"/>
      <c r="CB38" s="148"/>
      <c r="CC38" s="149"/>
      <c r="CD38" s="148"/>
      <c r="CE38" s="150"/>
      <c r="CF38" s="151"/>
      <c r="CG38" s="146"/>
      <c r="CH38" s="146"/>
      <c r="CI38" s="146"/>
      <c r="CJ38" s="147"/>
      <c r="CK38" s="148"/>
      <c r="CL38" s="149"/>
      <c r="CM38" s="148"/>
      <c r="CN38" s="150"/>
      <c r="CO38" s="151"/>
      <c r="CP38" s="146"/>
      <c r="CQ38" s="146"/>
      <c r="CR38" s="146"/>
      <c r="CS38" s="147"/>
      <c r="CT38" s="148"/>
      <c r="CU38" s="149"/>
      <c r="CV38" s="148"/>
      <c r="CW38" s="150"/>
      <c r="CX38" s="151"/>
      <c r="CY38" s="146"/>
      <c r="CZ38" s="146"/>
      <c r="DA38" s="146"/>
      <c r="DB38" s="147"/>
      <c r="DC38" s="148"/>
      <c r="DD38" s="149"/>
      <c r="DE38" s="148"/>
      <c r="DF38" s="150"/>
      <c r="DG38" s="151"/>
      <c r="DH38" s="146"/>
      <c r="DI38" s="146"/>
      <c r="DJ38" s="146"/>
      <c r="DK38" s="147"/>
      <c r="DL38" s="148"/>
      <c r="DM38" s="149"/>
      <c r="DN38" s="148"/>
      <c r="DO38" s="150"/>
      <c r="DP38" s="151"/>
      <c r="DQ38" s="146"/>
      <c r="DR38" s="146"/>
      <c r="DS38" s="146"/>
      <c r="DT38" s="147"/>
      <c r="DU38" s="148"/>
      <c r="DV38" s="149"/>
      <c r="DW38" s="148"/>
      <c r="DX38" s="150"/>
      <c r="DY38" s="151"/>
      <c r="DZ38" s="146"/>
      <c r="EA38" s="146"/>
      <c r="EB38" s="146"/>
      <c r="EC38" s="147"/>
      <c r="ED38" s="148"/>
      <c r="EE38" s="149"/>
      <c r="EF38" s="148"/>
      <c r="EG38" s="150"/>
      <c r="EH38" s="151"/>
      <c r="EI38" s="146"/>
      <c r="EJ38" s="146"/>
      <c r="EK38" s="146"/>
      <c r="EL38" s="147"/>
      <c r="EM38" s="148"/>
      <c r="EN38" s="149"/>
      <c r="EO38" s="148"/>
      <c r="EP38" s="150"/>
      <c r="EQ38" s="151"/>
      <c r="ER38" s="146"/>
      <c r="ES38" s="146"/>
      <c r="ET38" s="146"/>
      <c r="EU38" s="147"/>
      <c r="EV38" s="148"/>
      <c r="EW38" s="149"/>
      <c r="EX38" s="148"/>
      <c r="EY38" s="150"/>
      <c r="EZ38" s="151"/>
      <c r="FA38" s="146"/>
      <c r="FB38" s="146"/>
      <c r="FC38" s="146"/>
      <c r="FD38" s="147"/>
      <c r="FE38" s="148"/>
      <c r="FF38" s="149"/>
      <c r="FG38" s="148"/>
      <c r="FH38" s="150"/>
      <c r="FI38" s="151"/>
      <c r="FJ38" s="146"/>
      <c r="FK38" s="146"/>
      <c r="FL38" s="146"/>
      <c r="FM38" s="147"/>
      <c r="FN38" s="148"/>
      <c r="FO38" s="149"/>
      <c r="FP38" s="148"/>
      <c r="FQ38" s="150"/>
      <c r="FR38" s="151"/>
      <c r="FS38" s="146"/>
      <c r="FT38" s="146"/>
      <c r="FU38" s="146"/>
      <c r="FV38" s="147"/>
      <c r="FW38" s="148"/>
      <c r="FX38" s="149"/>
      <c r="FY38" s="148"/>
      <c r="FZ38" s="150"/>
      <c r="GA38" s="151"/>
      <c r="GB38" s="146"/>
      <c r="GC38" s="146"/>
      <c r="GD38" s="146"/>
      <c r="GE38" s="147"/>
      <c r="GF38" s="148"/>
      <c r="GG38" s="149"/>
      <c r="GH38" s="148"/>
      <c r="GI38" s="150"/>
      <c r="GJ38" s="151"/>
      <c r="GK38" s="146"/>
      <c r="GL38" s="146"/>
      <c r="GM38" s="146"/>
      <c r="GN38" s="147"/>
      <c r="GO38" s="148"/>
      <c r="GP38" s="149"/>
      <c r="GQ38" s="148"/>
      <c r="GR38" s="150"/>
      <c r="GS38" s="151"/>
      <c r="GT38" s="152"/>
      <c r="GU38" s="131"/>
      <c r="GV38" s="130"/>
      <c r="GW38" s="74"/>
      <c r="GX38" s="74"/>
      <c r="GY38" s="403"/>
      <c r="GZ38" s="404"/>
    </row>
    <row r="39" spans="1:208" ht="30" x14ac:dyDescent="0.25">
      <c r="A39"/>
      <c r="D39" s="35"/>
      <c r="E39" s="36"/>
      <c r="F39" s="37"/>
      <c r="G39" s="38"/>
      <c r="H39" s="39"/>
      <c r="I39" s="40"/>
      <c r="J39" s="68" t="s">
        <v>420</v>
      </c>
      <c r="K39" s="407" t="s">
        <v>421</v>
      </c>
      <c r="L39" s="70">
        <v>6934.19</v>
      </c>
      <c r="M39" s="71">
        <v>42847</v>
      </c>
      <c r="N39" s="514" t="s">
        <v>424</v>
      </c>
      <c r="O39" s="72">
        <v>6934.19</v>
      </c>
      <c r="P39" s="113">
        <f t="shared" si="0"/>
        <v>0</v>
      </c>
      <c r="Q39" s="117">
        <v>32</v>
      </c>
      <c r="R39" s="895" t="s">
        <v>422</v>
      </c>
      <c r="S39" s="896"/>
      <c r="T39" s="39">
        <f>Q39*O39</f>
        <v>221894.08</v>
      </c>
      <c r="U39" s="509" t="s">
        <v>72</v>
      </c>
      <c r="V39" s="510">
        <v>42863</v>
      </c>
      <c r="W39" s="377"/>
      <c r="X39" s="146"/>
      <c r="Y39" s="147"/>
      <c r="Z39" s="148"/>
      <c r="AA39" s="149"/>
      <c r="AB39" s="148"/>
      <c r="AC39" s="150"/>
      <c r="AD39" s="151"/>
      <c r="AE39" s="146"/>
      <c r="AF39" s="146"/>
      <c r="AG39" s="146"/>
      <c r="AH39" s="147"/>
      <c r="AI39" s="148"/>
      <c r="AJ39" s="149"/>
      <c r="AK39" s="148"/>
      <c r="AL39" s="150"/>
      <c r="AM39" s="151"/>
      <c r="AN39" s="146"/>
      <c r="AO39" s="146"/>
      <c r="AP39" s="146"/>
      <c r="AQ39" s="147"/>
      <c r="AR39" s="148"/>
      <c r="AS39" s="149"/>
      <c r="AT39" s="148"/>
      <c r="AU39" s="150"/>
      <c r="AV39" s="151"/>
      <c r="AW39" s="146"/>
      <c r="AX39" s="146"/>
      <c r="AY39" s="146"/>
      <c r="AZ39" s="147"/>
      <c r="BA39" s="148"/>
      <c r="BB39" s="149"/>
      <c r="BC39" s="148"/>
      <c r="BD39" s="150"/>
      <c r="BE39" s="151"/>
      <c r="BF39" s="146"/>
      <c r="BG39" s="146"/>
      <c r="BH39" s="146"/>
      <c r="BI39" s="147"/>
      <c r="BJ39" s="148"/>
      <c r="BK39" s="149"/>
      <c r="BL39" s="148"/>
      <c r="BM39" s="150"/>
      <c r="BN39" s="151"/>
      <c r="BO39" s="146"/>
      <c r="BP39" s="146"/>
      <c r="BQ39" s="146"/>
      <c r="BR39" s="147"/>
      <c r="BS39" s="148"/>
      <c r="BT39" s="149"/>
      <c r="BU39" s="148"/>
      <c r="BV39" s="150"/>
      <c r="BW39" s="151"/>
      <c r="BX39" s="146"/>
      <c r="BY39" s="146"/>
      <c r="BZ39" s="146"/>
      <c r="CA39" s="147"/>
      <c r="CB39" s="148"/>
      <c r="CC39" s="149"/>
      <c r="CD39" s="148"/>
      <c r="CE39" s="150"/>
      <c r="CF39" s="151"/>
      <c r="CG39" s="146"/>
      <c r="CH39" s="146"/>
      <c r="CI39" s="146"/>
      <c r="CJ39" s="147"/>
      <c r="CK39" s="148"/>
      <c r="CL39" s="149"/>
      <c r="CM39" s="148"/>
      <c r="CN39" s="150"/>
      <c r="CO39" s="151"/>
      <c r="CP39" s="146"/>
      <c r="CQ39" s="146"/>
      <c r="CR39" s="146"/>
      <c r="CS39" s="147"/>
      <c r="CT39" s="148"/>
      <c r="CU39" s="149"/>
      <c r="CV39" s="148"/>
      <c r="CW39" s="150"/>
      <c r="CX39" s="151"/>
      <c r="CY39" s="146"/>
      <c r="CZ39" s="146"/>
      <c r="DA39" s="146"/>
      <c r="DB39" s="147"/>
      <c r="DC39" s="148"/>
      <c r="DD39" s="149"/>
      <c r="DE39" s="148"/>
      <c r="DF39" s="150"/>
      <c r="DG39" s="151"/>
      <c r="DH39" s="146"/>
      <c r="DI39" s="146"/>
      <c r="DJ39" s="146"/>
      <c r="DK39" s="147"/>
      <c r="DL39" s="148"/>
      <c r="DM39" s="149"/>
      <c r="DN39" s="148"/>
      <c r="DO39" s="150"/>
      <c r="DP39" s="151"/>
      <c r="DQ39" s="146"/>
      <c r="DR39" s="146"/>
      <c r="DS39" s="146"/>
      <c r="DT39" s="147"/>
      <c r="DU39" s="148"/>
      <c r="DV39" s="149"/>
      <c r="DW39" s="148"/>
      <c r="DX39" s="150"/>
      <c r="DY39" s="151"/>
      <c r="DZ39" s="146"/>
      <c r="EA39" s="146"/>
      <c r="EB39" s="146"/>
      <c r="EC39" s="147"/>
      <c r="ED39" s="148"/>
      <c r="EE39" s="149"/>
      <c r="EF39" s="148"/>
      <c r="EG39" s="150"/>
      <c r="EH39" s="151"/>
      <c r="EI39" s="146"/>
      <c r="EJ39" s="146"/>
      <c r="EK39" s="146"/>
      <c r="EL39" s="147"/>
      <c r="EM39" s="148"/>
      <c r="EN39" s="149"/>
      <c r="EO39" s="148"/>
      <c r="EP39" s="150"/>
      <c r="EQ39" s="151"/>
      <c r="ER39" s="146"/>
      <c r="ES39" s="146"/>
      <c r="ET39" s="146"/>
      <c r="EU39" s="147"/>
      <c r="EV39" s="148"/>
      <c r="EW39" s="149"/>
      <c r="EX39" s="148"/>
      <c r="EY39" s="150"/>
      <c r="EZ39" s="151"/>
      <c r="FA39" s="146"/>
      <c r="FB39" s="146"/>
      <c r="FC39" s="146"/>
      <c r="FD39" s="147"/>
      <c r="FE39" s="148"/>
      <c r="FF39" s="149"/>
      <c r="FG39" s="148"/>
      <c r="FH39" s="150"/>
      <c r="FI39" s="151"/>
      <c r="FJ39" s="146"/>
      <c r="FK39" s="146"/>
      <c r="FL39" s="146"/>
      <c r="FM39" s="147"/>
      <c r="FN39" s="148"/>
      <c r="FO39" s="149"/>
      <c r="FP39" s="148"/>
      <c r="FQ39" s="150"/>
      <c r="FR39" s="151"/>
      <c r="FS39" s="146"/>
      <c r="FT39" s="146"/>
      <c r="FU39" s="146"/>
      <c r="FV39" s="147"/>
      <c r="FW39" s="148"/>
      <c r="FX39" s="149"/>
      <c r="FY39" s="148"/>
      <c r="FZ39" s="150"/>
      <c r="GA39" s="151"/>
      <c r="GB39" s="146"/>
      <c r="GC39" s="146"/>
      <c r="GD39" s="146"/>
      <c r="GE39" s="147"/>
      <c r="GF39" s="148"/>
      <c r="GG39" s="149"/>
      <c r="GH39" s="148"/>
      <c r="GI39" s="150"/>
      <c r="GJ39" s="151"/>
      <c r="GK39" s="146"/>
      <c r="GL39" s="146"/>
      <c r="GM39" s="146"/>
      <c r="GN39" s="147"/>
      <c r="GO39" s="148"/>
      <c r="GP39" s="149"/>
      <c r="GQ39" s="148"/>
      <c r="GR39" s="150"/>
      <c r="GS39" s="151"/>
      <c r="GT39" s="152"/>
      <c r="GU39" s="131"/>
      <c r="GV39" s="130"/>
      <c r="GW39" s="74"/>
      <c r="GX39" s="74"/>
      <c r="GY39" s="403"/>
      <c r="GZ39" s="404"/>
    </row>
    <row r="40" spans="1:208" x14ac:dyDescent="0.25">
      <c r="A40"/>
      <c r="D40" s="35"/>
      <c r="E40" s="36"/>
      <c r="F40" s="37"/>
      <c r="G40" s="38"/>
      <c r="H40" s="39"/>
      <c r="I40" s="40"/>
      <c r="J40" s="68"/>
      <c r="K40" s="407"/>
      <c r="L40" s="70"/>
      <c r="M40" s="71"/>
      <c r="N40" s="56"/>
      <c r="O40" s="72"/>
      <c r="P40" s="113">
        <f t="shared" si="0"/>
        <v>0</v>
      </c>
      <c r="Q40" s="117"/>
      <c r="R40" s="117"/>
      <c r="S40" s="117"/>
      <c r="T40" s="39">
        <f t="shared" ref="T40:T47" si="2">Q40*O40+S40+0</f>
        <v>0</v>
      </c>
      <c r="U40" s="375"/>
      <c r="V40" s="144"/>
      <c r="W40" s="377"/>
      <c r="X40" s="146"/>
      <c r="Y40" s="147"/>
      <c r="Z40" s="148"/>
      <c r="AA40" s="149"/>
      <c r="AB40" s="148"/>
      <c r="AC40" s="150"/>
      <c r="AD40" s="151"/>
      <c r="AE40" s="146"/>
      <c r="AF40" s="146"/>
      <c r="AG40" s="146"/>
      <c r="AH40" s="147"/>
      <c r="AI40" s="148"/>
      <c r="AJ40" s="149"/>
      <c r="AK40" s="148"/>
      <c r="AL40" s="150"/>
      <c r="AM40" s="151"/>
      <c r="AN40" s="146"/>
      <c r="AO40" s="146"/>
      <c r="AP40" s="146"/>
      <c r="AQ40" s="147"/>
      <c r="AR40" s="148"/>
      <c r="AS40" s="149"/>
      <c r="AT40" s="148"/>
      <c r="AU40" s="150"/>
      <c r="AV40" s="151"/>
      <c r="AW40" s="146"/>
      <c r="AX40" s="146"/>
      <c r="AY40" s="146"/>
      <c r="AZ40" s="147"/>
      <c r="BA40" s="148"/>
      <c r="BB40" s="149"/>
      <c r="BC40" s="148"/>
      <c r="BD40" s="150"/>
      <c r="BE40" s="151"/>
      <c r="BF40" s="146"/>
      <c r="BG40" s="146"/>
      <c r="BH40" s="146"/>
      <c r="BI40" s="147"/>
      <c r="BJ40" s="148"/>
      <c r="BK40" s="149"/>
      <c r="BL40" s="148"/>
      <c r="BM40" s="150"/>
      <c r="BN40" s="151"/>
      <c r="BO40" s="146"/>
      <c r="BP40" s="146"/>
      <c r="BQ40" s="146"/>
      <c r="BR40" s="147"/>
      <c r="BS40" s="148"/>
      <c r="BT40" s="149"/>
      <c r="BU40" s="148"/>
      <c r="BV40" s="150"/>
      <c r="BW40" s="151"/>
      <c r="BX40" s="146"/>
      <c r="BY40" s="146"/>
      <c r="BZ40" s="146"/>
      <c r="CA40" s="147"/>
      <c r="CB40" s="148"/>
      <c r="CC40" s="149"/>
      <c r="CD40" s="148"/>
      <c r="CE40" s="150"/>
      <c r="CF40" s="151"/>
      <c r="CG40" s="146"/>
      <c r="CH40" s="146"/>
      <c r="CI40" s="146"/>
      <c r="CJ40" s="147"/>
      <c r="CK40" s="148"/>
      <c r="CL40" s="149"/>
      <c r="CM40" s="148"/>
      <c r="CN40" s="150"/>
      <c r="CO40" s="151"/>
      <c r="CP40" s="146"/>
      <c r="CQ40" s="146"/>
      <c r="CR40" s="146"/>
      <c r="CS40" s="147"/>
      <c r="CT40" s="148"/>
      <c r="CU40" s="149"/>
      <c r="CV40" s="148"/>
      <c r="CW40" s="150"/>
      <c r="CX40" s="151"/>
      <c r="CY40" s="146"/>
      <c r="CZ40" s="146"/>
      <c r="DA40" s="146"/>
      <c r="DB40" s="147"/>
      <c r="DC40" s="148"/>
      <c r="DD40" s="149"/>
      <c r="DE40" s="148"/>
      <c r="DF40" s="150"/>
      <c r="DG40" s="151"/>
      <c r="DH40" s="146"/>
      <c r="DI40" s="146"/>
      <c r="DJ40" s="146"/>
      <c r="DK40" s="147"/>
      <c r="DL40" s="148"/>
      <c r="DM40" s="149"/>
      <c r="DN40" s="148"/>
      <c r="DO40" s="150"/>
      <c r="DP40" s="151"/>
      <c r="DQ40" s="146"/>
      <c r="DR40" s="146"/>
      <c r="DS40" s="146"/>
      <c r="DT40" s="147"/>
      <c r="DU40" s="148"/>
      <c r="DV40" s="149"/>
      <c r="DW40" s="148"/>
      <c r="DX40" s="150"/>
      <c r="DY40" s="151"/>
      <c r="DZ40" s="146"/>
      <c r="EA40" s="146"/>
      <c r="EB40" s="146"/>
      <c r="EC40" s="147"/>
      <c r="ED40" s="148"/>
      <c r="EE40" s="149"/>
      <c r="EF40" s="148"/>
      <c r="EG40" s="150"/>
      <c r="EH40" s="151"/>
      <c r="EI40" s="146"/>
      <c r="EJ40" s="146"/>
      <c r="EK40" s="146"/>
      <c r="EL40" s="147"/>
      <c r="EM40" s="148"/>
      <c r="EN40" s="149"/>
      <c r="EO40" s="148"/>
      <c r="EP40" s="150"/>
      <c r="EQ40" s="151"/>
      <c r="ER40" s="146"/>
      <c r="ES40" s="146"/>
      <c r="ET40" s="146"/>
      <c r="EU40" s="147"/>
      <c r="EV40" s="148"/>
      <c r="EW40" s="149"/>
      <c r="EX40" s="148"/>
      <c r="EY40" s="150"/>
      <c r="EZ40" s="151"/>
      <c r="FA40" s="146"/>
      <c r="FB40" s="146"/>
      <c r="FC40" s="146"/>
      <c r="FD40" s="147"/>
      <c r="FE40" s="148"/>
      <c r="FF40" s="149"/>
      <c r="FG40" s="148"/>
      <c r="FH40" s="150"/>
      <c r="FI40" s="151"/>
      <c r="FJ40" s="146"/>
      <c r="FK40" s="146"/>
      <c r="FL40" s="146"/>
      <c r="FM40" s="147"/>
      <c r="FN40" s="148"/>
      <c r="FO40" s="149"/>
      <c r="FP40" s="148"/>
      <c r="FQ40" s="150"/>
      <c r="FR40" s="151"/>
      <c r="FS40" s="146"/>
      <c r="FT40" s="146"/>
      <c r="FU40" s="146"/>
      <c r="FV40" s="147"/>
      <c r="FW40" s="148"/>
      <c r="FX40" s="149"/>
      <c r="FY40" s="148"/>
      <c r="FZ40" s="150"/>
      <c r="GA40" s="151"/>
      <c r="GB40" s="146"/>
      <c r="GC40" s="146"/>
      <c r="GD40" s="146"/>
      <c r="GE40" s="147"/>
      <c r="GF40" s="148"/>
      <c r="GG40" s="149"/>
      <c r="GH40" s="148"/>
      <c r="GI40" s="150"/>
      <c r="GJ40" s="151"/>
      <c r="GK40" s="146"/>
      <c r="GL40" s="146"/>
      <c r="GM40" s="146"/>
      <c r="GN40" s="147"/>
      <c r="GO40" s="148"/>
      <c r="GP40" s="149"/>
      <c r="GQ40" s="148"/>
      <c r="GR40" s="150"/>
      <c r="GS40" s="151"/>
      <c r="GT40" s="152"/>
      <c r="GU40" s="98"/>
      <c r="GV40" s="130"/>
      <c r="GW40" s="74"/>
      <c r="GX40" s="132"/>
      <c r="GY40" s="167"/>
      <c r="GZ40" s="86"/>
    </row>
    <row r="41" spans="1:208" x14ac:dyDescent="0.25">
      <c r="A41"/>
      <c r="D41" s="35"/>
      <c r="E41" s="36"/>
      <c r="F41" s="37"/>
      <c r="G41" s="38"/>
      <c r="H41" s="39"/>
      <c r="I41" s="40"/>
      <c r="J41" s="68"/>
      <c r="K41" s="407"/>
      <c r="L41" s="70"/>
      <c r="M41" s="71"/>
      <c r="N41" s="56"/>
      <c r="O41" s="72"/>
      <c r="P41" s="113">
        <f t="shared" si="0"/>
        <v>0</v>
      </c>
      <c r="Q41" s="117"/>
      <c r="R41" s="117"/>
      <c r="S41" s="117"/>
      <c r="T41" s="39">
        <f t="shared" si="2"/>
        <v>0</v>
      </c>
      <c r="U41" s="115"/>
      <c r="V41" s="112"/>
      <c r="W41" s="377"/>
      <c r="X41" s="146"/>
      <c r="Y41" s="147"/>
      <c r="Z41" s="148"/>
      <c r="AA41" s="149"/>
      <c r="AB41" s="148"/>
      <c r="AC41" s="150"/>
      <c r="AD41" s="151"/>
      <c r="AE41" s="146"/>
      <c r="AF41" s="146"/>
      <c r="AG41" s="146"/>
      <c r="AH41" s="147"/>
      <c r="AI41" s="148"/>
      <c r="AJ41" s="149"/>
      <c r="AK41" s="148"/>
      <c r="AL41" s="150"/>
      <c r="AM41" s="151"/>
      <c r="AN41" s="146"/>
      <c r="AO41" s="146"/>
      <c r="AP41" s="146"/>
      <c r="AQ41" s="147"/>
      <c r="AR41" s="148"/>
      <c r="AS41" s="149"/>
      <c r="AT41" s="148"/>
      <c r="AU41" s="150"/>
      <c r="AV41" s="151"/>
      <c r="AW41" s="146"/>
      <c r="AX41" s="146"/>
      <c r="AY41" s="146"/>
      <c r="AZ41" s="147"/>
      <c r="BA41" s="148"/>
      <c r="BB41" s="149"/>
      <c r="BC41" s="148"/>
      <c r="BD41" s="150"/>
      <c r="BE41" s="151"/>
      <c r="BF41" s="146"/>
      <c r="BG41" s="146"/>
      <c r="BH41" s="146"/>
      <c r="BI41" s="147"/>
      <c r="BJ41" s="148"/>
      <c r="BK41" s="149"/>
      <c r="BL41" s="148"/>
      <c r="BM41" s="150"/>
      <c r="BN41" s="151"/>
      <c r="BO41" s="146"/>
      <c r="BP41" s="146"/>
      <c r="BQ41" s="146"/>
      <c r="BR41" s="147"/>
      <c r="BS41" s="148"/>
      <c r="BT41" s="149"/>
      <c r="BU41" s="148"/>
      <c r="BV41" s="150"/>
      <c r="BW41" s="151"/>
      <c r="BX41" s="146"/>
      <c r="BY41" s="146"/>
      <c r="BZ41" s="146"/>
      <c r="CA41" s="147"/>
      <c r="CB41" s="148"/>
      <c r="CC41" s="149"/>
      <c r="CD41" s="148"/>
      <c r="CE41" s="150"/>
      <c r="CF41" s="151"/>
      <c r="CG41" s="146"/>
      <c r="CH41" s="146"/>
      <c r="CI41" s="146"/>
      <c r="CJ41" s="147"/>
      <c r="CK41" s="148"/>
      <c r="CL41" s="149"/>
      <c r="CM41" s="148"/>
      <c r="CN41" s="150"/>
      <c r="CO41" s="151"/>
      <c r="CP41" s="146"/>
      <c r="CQ41" s="146"/>
      <c r="CR41" s="146"/>
      <c r="CS41" s="147"/>
      <c r="CT41" s="148"/>
      <c r="CU41" s="149"/>
      <c r="CV41" s="148"/>
      <c r="CW41" s="150"/>
      <c r="CX41" s="151"/>
      <c r="CY41" s="146"/>
      <c r="CZ41" s="146"/>
      <c r="DA41" s="146"/>
      <c r="DB41" s="147"/>
      <c r="DC41" s="148"/>
      <c r="DD41" s="149"/>
      <c r="DE41" s="148"/>
      <c r="DF41" s="150"/>
      <c r="DG41" s="151"/>
      <c r="DH41" s="146"/>
      <c r="DI41" s="146"/>
      <c r="DJ41" s="146"/>
      <c r="DK41" s="147"/>
      <c r="DL41" s="148"/>
      <c r="DM41" s="149"/>
      <c r="DN41" s="148"/>
      <c r="DO41" s="150"/>
      <c r="DP41" s="151"/>
      <c r="DQ41" s="146"/>
      <c r="DR41" s="146"/>
      <c r="DS41" s="146"/>
      <c r="DT41" s="147"/>
      <c r="DU41" s="148"/>
      <c r="DV41" s="149"/>
      <c r="DW41" s="148"/>
      <c r="DX41" s="150"/>
      <c r="DY41" s="151"/>
      <c r="DZ41" s="146"/>
      <c r="EA41" s="146"/>
      <c r="EB41" s="146"/>
      <c r="EC41" s="147"/>
      <c r="ED41" s="148"/>
      <c r="EE41" s="149"/>
      <c r="EF41" s="148"/>
      <c r="EG41" s="150"/>
      <c r="EH41" s="151"/>
      <c r="EI41" s="146"/>
      <c r="EJ41" s="146"/>
      <c r="EK41" s="146"/>
      <c r="EL41" s="147"/>
      <c r="EM41" s="148"/>
      <c r="EN41" s="149"/>
      <c r="EO41" s="148"/>
      <c r="EP41" s="150"/>
      <c r="EQ41" s="151"/>
      <c r="ER41" s="146"/>
      <c r="ES41" s="146"/>
      <c r="ET41" s="146"/>
      <c r="EU41" s="147"/>
      <c r="EV41" s="148"/>
      <c r="EW41" s="149"/>
      <c r="EX41" s="148"/>
      <c r="EY41" s="150"/>
      <c r="EZ41" s="151"/>
      <c r="FA41" s="146"/>
      <c r="FB41" s="146"/>
      <c r="FC41" s="146"/>
      <c r="FD41" s="147"/>
      <c r="FE41" s="148"/>
      <c r="FF41" s="149"/>
      <c r="FG41" s="148"/>
      <c r="FH41" s="150"/>
      <c r="FI41" s="151"/>
      <c r="FJ41" s="146"/>
      <c r="FK41" s="146"/>
      <c r="FL41" s="146"/>
      <c r="FM41" s="147"/>
      <c r="FN41" s="148"/>
      <c r="FO41" s="149"/>
      <c r="FP41" s="148"/>
      <c r="FQ41" s="150"/>
      <c r="FR41" s="151"/>
      <c r="FS41" s="146"/>
      <c r="FT41" s="146"/>
      <c r="FU41" s="146"/>
      <c r="FV41" s="147"/>
      <c r="FW41" s="148"/>
      <c r="FX41" s="149"/>
      <c r="FY41" s="148"/>
      <c r="FZ41" s="150"/>
      <c r="GA41" s="151"/>
      <c r="GB41" s="146"/>
      <c r="GC41" s="146"/>
      <c r="GD41" s="146"/>
      <c r="GE41" s="147"/>
      <c r="GF41" s="148"/>
      <c r="GG41" s="149"/>
      <c r="GH41" s="148"/>
      <c r="GI41" s="150"/>
      <c r="GJ41" s="151"/>
      <c r="GK41" s="146"/>
      <c r="GL41" s="146"/>
      <c r="GM41" s="146"/>
      <c r="GN41" s="147"/>
      <c r="GO41" s="148"/>
      <c r="GP41" s="149"/>
      <c r="GQ41" s="148"/>
      <c r="GR41" s="150"/>
      <c r="GS41" s="151"/>
      <c r="GT41" s="152"/>
      <c r="GU41" s="98"/>
      <c r="GV41" s="130"/>
      <c r="GW41" s="74"/>
      <c r="GX41" s="132"/>
      <c r="GY41" s="167"/>
      <c r="GZ41" s="86"/>
    </row>
    <row r="42" spans="1:208" x14ac:dyDescent="0.25">
      <c r="A42"/>
      <c r="D42" s="35"/>
      <c r="E42" s="36"/>
      <c r="F42" s="37"/>
      <c r="G42" s="38"/>
      <c r="H42" s="39"/>
      <c r="I42" s="40"/>
      <c r="J42" s="68"/>
      <c r="K42" s="407"/>
      <c r="L42" s="70"/>
      <c r="M42" s="71"/>
      <c r="N42" s="56"/>
      <c r="O42" s="72"/>
      <c r="P42" s="113">
        <f t="shared" si="0"/>
        <v>0</v>
      </c>
      <c r="Q42" s="117"/>
      <c r="R42" s="117"/>
      <c r="S42" s="117"/>
      <c r="T42" s="39">
        <f t="shared" si="2"/>
        <v>0</v>
      </c>
      <c r="U42" s="115"/>
      <c r="V42" s="112"/>
      <c r="W42" s="377"/>
      <c r="X42" s="146"/>
      <c r="Y42" s="147"/>
      <c r="Z42" s="148"/>
      <c r="AA42" s="149"/>
      <c r="AB42" s="148"/>
      <c r="AC42" s="150"/>
      <c r="AD42" s="151"/>
      <c r="AE42" s="146"/>
      <c r="AF42" s="146"/>
      <c r="AG42" s="146"/>
      <c r="AH42" s="147"/>
      <c r="AI42" s="148"/>
      <c r="AJ42" s="149"/>
      <c r="AK42" s="148"/>
      <c r="AL42" s="150"/>
      <c r="AM42" s="151"/>
      <c r="AN42" s="146"/>
      <c r="AO42" s="146"/>
      <c r="AP42" s="146"/>
      <c r="AQ42" s="147"/>
      <c r="AR42" s="148"/>
      <c r="AS42" s="149"/>
      <c r="AT42" s="148"/>
      <c r="AU42" s="150"/>
      <c r="AV42" s="151"/>
      <c r="AW42" s="146"/>
      <c r="AX42" s="146"/>
      <c r="AY42" s="146"/>
      <c r="AZ42" s="147"/>
      <c r="BA42" s="148"/>
      <c r="BB42" s="149"/>
      <c r="BC42" s="148"/>
      <c r="BD42" s="150"/>
      <c r="BE42" s="151"/>
      <c r="BF42" s="146"/>
      <c r="BG42" s="146"/>
      <c r="BH42" s="146"/>
      <c r="BI42" s="147"/>
      <c r="BJ42" s="148"/>
      <c r="BK42" s="149"/>
      <c r="BL42" s="148"/>
      <c r="BM42" s="150"/>
      <c r="BN42" s="151"/>
      <c r="BO42" s="146"/>
      <c r="BP42" s="146"/>
      <c r="BQ42" s="146"/>
      <c r="BR42" s="147"/>
      <c r="BS42" s="148"/>
      <c r="BT42" s="149"/>
      <c r="BU42" s="148"/>
      <c r="BV42" s="150"/>
      <c r="BW42" s="151"/>
      <c r="BX42" s="146"/>
      <c r="BY42" s="146"/>
      <c r="BZ42" s="146"/>
      <c r="CA42" s="147"/>
      <c r="CB42" s="148"/>
      <c r="CC42" s="149"/>
      <c r="CD42" s="148"/>
      <c r="CE42" s="150"/>
      <c r="CF42" s="151"/>
      <c r="CG42" s="146"/>
      <c r="CH42" s="146"/>
      <c r="CI42" s="146"/>
      <c r="CJ42" s="147"/>
      <c r="CK42" s="148"/>
      <c r="CL42" s="149"/>
      <c r="CM42" s="148"/>
      <c r="CN42" s="150"/>
      <c r="CO42" s="151"/>
      <c r="CP42" s="146"/>
      <c r="CQ42" s="146"/>
      <c r="CR42" s="146"/>
      <c r="CS42" s="147"/>
      <c r="CT42" s="148"/>
      <c r="CU42" s="149"/>
      <c r="CV42" s="148"/>
      <c r="CW42" s="150"/>
      <c r="CX42" s="151"/>
      <c r="CY42" s="146"/>
      <c r="CZ42" s="146"/>
      <c r="DA42" s="146"/>
      <c r="DB42" s="147"/>
      <c r="DC42" s="148"/>
      <c r="DD42" s="149"/>
      <c r="DE42" s="148"/>
      <c r="DF42" s="150"/>
      <c r="DG42" s="151"/>
      <c r="DH42" s="146"/>
      <c r="DI42" s="146"/>
      <c r="DJ42" s="146"/>
      <c r="DK42" s="147"/>
      <c r="DL42" s="148"/>
      <c r="DM42" s="149"/>
      <c r="DN42" s="148"/>
      <c r="DO42" s="150"/>
      <c r="DP42" s="151"/>
      <c r="DQ42" s="146"/>
      <c r="DR42" s="146"/>
      <c r="DS42" s="146"/>
      <c r="DT42" s="147"/>
      <c r="DU42" s="148"/>
      <c r="DV42" s="149"/>
      <c r="DW42" s="148"/>
      <c r="DX42" s="150"/>
      <c r="DY42" s="151"/>
      <c r="DZ42" s="146"/>
      <c r="EA42" s="146"/>
      <c r="EB42" s="146"/>
      <c r="EC42" s="147"/>
      <c r="ED42" s="148"/>
      <c r="EE42" s="149"/>
      <c r="EF42" s="148"/>
      <c r="EG42" s="150"/>
      <c r="EH42" s="151"/>
      <c r="EI42" s="146"/>
      <c r="EJ42" s="146"/>
      <c r="EK42" s="146"/>
      <c r="EL42" s="147"/>
      <c r="EM42" s="148"/>
      <c r="EN42" s="149"/>
      <c r="EO42" s="148"/>
      <c r="EP42" s="150"/>
      <c r="EQ42" s="151"/>
      <c r="ER42" s="146"/>
      <c r="ES42" s="146"/>
      <c r="ET42" s="146"/>
      <c r="EU42" s="147"/>
      <c r="EV42" s="148"/>
      <c r="EW42" s="149"/>
      <c r="EX42" s="148"/>
      <c r="EY42" s="150"/>
      <c r="EZ42" s="151"/>
      <c r="FA42" s="146"/>
      <c r="FB42" s="146"/>
      <c r="FC42" s="146"/>
      <c r="FD42" s="147"/>
      <c r="FE42" s="148"/>
      <c r="FF42" s="149"/>
      <c r="FG42" s="148"/>
      <c r="FH42" s="150"/>
      <c r="FI42" s="151"/>
      <c r="FJ42" s="146"/>
      <c r="FK42" s="146"/>
      <c r="FL42" s="146"/>
      <c r="FM42" s="147"/>
      <c r="FN42" s="148"/>
      <c r="FO42" s="149"/>
      <c r="FP42" s="148"/>
      <c r="FQ42" s="150"/>
      <c r="FR42" s="151"/>
      <c r="FS42" s="146"/>
      <c r="FT42" s="146"/>
      <c r="FU42" s="146"/>
      <c r="FV42" s="147"/>
      <c r="FW42" s="148"/>
      <c r="FX42" s="149"/>
      <c r="FY42" s="148"/>
      <c r="FZ42" s="150"/>
      <c r="GA42" s="151"/>
      <c r="GB42" s="146"/>
      <c r="GC42" s="146"/>
      <c r="GD42" s="146"/>
      <c r="GE42" s="147"/>
      <c r="GF42" s="148"/>
      <c r="GG42" s="149"/>
      <c r="GH42" s="148"/>
      <c r="GI42" s="150"/>
      <c r="GJ42" s="151"/>
      <c r="GK42" s="146"/>
      <c r="GL42" s="146"/>
      <c r="GM42" s="146"/>
      <c r="GN42" s="147"/>
      <c r="GO42" s="148"/>
      <c r="GP42" s="149"/>
      <c r="GQ42" s="148"/>
      <c r="GR42" s="150"/>
      <c r="GS42" s="151"/>
      <c r="GT42" s="152"/>
      <c r="GU42" s="98"/>
      <c r="GV42" s="130"/>
      <c r="GW42" s="74"/>
      <c r="GX42" s="132"/>
      <c r="GY42" s="167"/>
      <c r="GZ42" s="86"/>
    </row>
    <row r="43" spans="1:208" x14ac:dyDescent="0.25">
      <c r="A43"/>
      <c r="D43" s="35"/>
      <c r="E43" s="36"/>
      <c r="F43" s="37"/>
      <c r="G43" s="38"/>
      <c r="H43" s="39"/>
      <c r="I43" s="40"/>
      <c r="J43" s="68"/>
      <c r="K43" s="407"/>
      <c r="L43" s="70"/>
      <c r="M43" s="71"/>
      <c r="N43" s="56"/>
      <c r="O43" s="72"/>
      <c r="P43" s="113">
        <f t="shared" si="0"/>
        <v>0</v>
      </c>
      <c r="Q43" s="117"/>
      <c r="R43" s="117"/>
      <c r="S43" s="117"/>
      <c r="T43" s="39">
        <f t="shared" si="2"/>
        <v>0</v>
      </c>
      <c r="U43" s="115"/>
      <c r="V43" s="112"/>
      <c r="W43" s="377"/>
      <c r="X43" s="146"/>
      <c r="Y43" s="147"/>
      <c r="Z43" s="148"/>
      <c r="AA43" s="149"/>
      <c r="AB43" s="148"/>
      <c r="AC43" s="150"/>
      <c r="AD43" s="151"/>
      <c r="AE43" s="146"/>
      <c r="AF43" s="146"/>
      <c r="AG43" s="146"/>
      <c r="AH43" s="147"/>
      <c r="AI43" s="148"/>
      <c r="AJ43" s="149"/>
      <c r="AK43" s="148"/>
      <c r="AL43" s="150"/>
      <c r="AM43" s="151"/>
      <c r="AN43" s="146"/>
      <c r="AO43" s="146"/>
      <c r="AP43" s="146"/>
      <c r="AQ43" s="147"/>
      <c r="AR43" s="148"/>
      <c r="AS43" s="149"/>
      <c r="AT43" s="148"/>
      <c r="AU43" s="150"/>
      <c r="AV43" s="151"/>
      <c r="AW43" s="146"/>
      <c r="AX43" s="146"/>
      <c r="AY43" s="146"/>
      <c r="AZ43" s="147"/>
      <c r="BA43" s="148"/>
      <c r="BB43" s="149"/>
      <c r="BC43" s="148"/>
      <c r="BD43" s="150"/>
      <c r="BE43" s="151"/>
      <c r="BF43" s="146"/>
      <c r="BG43" s="146"/>
      <c r="BH43" s="146"/>
      <c r="BI43" s="147"/>
      <c r="BJ43" s="148"/>
      <c r="BK43" s="149"/>
      <c r="BL43" s="148"/>
      <c r="BM43" s="150"/>
      <c r="BN43" s="151"/>
      <c r="BO43" s="146"/>
      <c r="BP43" s="146"/>
      <c r="BQ43" s="146"/>
      <c r="BR43" s="147"/>
      <c r="BS43" s="148"/>
      <c r="BT43" s="149"/>
      <c r="BU43" s="148"/>
      <c r="BV43" s="150"/>
      <c r="BW43" s="151"/>
      <c r="BX43" s="146"/>
      <c r="BY43" s="146"/>
      <c r="BZ43" s="146"/>
      <c r="CA43" s="147"/>
      <c r="CB43" s="148"/>
      <c r="CC43" s="149"/>
      <c r="CD43" s="148"/>
      <c r="CE43" s="150"/>
      <c r="CF43" s="151"/>
      <c r="CG43" s="146"/>
      <c r="CH43" s="146"/>
      <c r="CI43" s="146"/>
      <c r="CJ43" s="147"/>
      <c r="CK43" s="148"/>
      <c r="CL43" s="149"/>
      <c r="CM43" s="148"/>
      <c r="CN43" s="150"/>
      <c r="CO43" s="151"/>
      <c r="CP43" s="146"/>
      <c r="CQ43" s="146"/>
      <c r="CR43" s="146"/>
      <c r="CS43" s="147"/>
      <c r="CT43" s="148"/>
      <c r="CU43" s="149"/>
      <c r="CV43" s="148"/>
      <c r="CW43" s="150"/>
      <c r="CX43" s="151"/>
      <c r="CY43" s="146"/>
      <c r="CZ43" s="146"/>
      <c r="DA43" s="146"/>
      <c r="DB43" s="147"/>
      <c r="DC43" s="148"/>
      <c r="DD43" s="149"/>
      <c r="DE43" s="148"/>
      <c r="DF43" s="150"/>
      <c r="DG43" s="151"/>
      <c r="DH43" s="146"/>
      <c r="DI43" s="146"/>
      <c r="DJ43" s="146"/>
      <c r="DK43" s="147"/>
      <c r="DL43" s="148"/>
      <c r="DM43" s="149"/>
      <c r="DN43" s="148"/>
      <c r="DO43" s="150"/>
      <c r="DP43" s="151"/>
      <c r="DQ43" s="146"/>
      <c r="DR43" s="146"/>
      <c r="DS43" s="146"/>
      <c r="DT43" s="147"/>
      <c r="DU43" s="148"/>
      <c r="DV43" s="149"/>
      <c r="DW43" s="148"/>
      <c r="DX43" s="150"/>
      <c r="DY43" s="151"/>
      <c r="DZ43" s="146"/>
      <c r="EA43" s="146"/>
      <c r="EB43" s="146"/>
      <c r="EC43" s="147"/>
      <c r="ED43" s="148"/>
      <c r="EE43" s="149"/>
      <c r="EF43" s="148"/>
      <c r="EG43" s="150"/>
      <c r="EH43" s="151"/>
      <c r="EI43" s="146"/>
      <c r="EJ43" s="146"/>
      <c r="EK43" s="146"/>
      <c r="EL43" s="147"/>
      <c r="EM43" s="148"/>
      <c r="EN43" s="149"/>
      <c r="EO43" s="148"/>
      <c r="EP43" s="150"/>
      <c r="EQ43" s="151"/>
      <c r="ER43" s="146"/>
      <c r="ES43" s="146"/>
      <c r="ET43" s="146"/>
      <c r="EU43" s="147"/>
      <c r="EV43" s="148"/>
      <c r="EW43" s="149"/>
      <c r="EX43" s="148"/>
      <c r="EY43" s="150"/>
      <c r="EZ43" s="151"/>
      <c r="FA43" s="146"/>
      <c r="FB43" s="146"/>
      <c r="FC43" s="146"/>
      <c r="FD43" s="147"/>
      <c r="FE43" s="148"/>
      <c r="FF43" s="149"/>
      <c r="FG43" s="148"/>
      <c r="FH43" s="150"/>
      <c r="FI43" s="151"/>
      <c r="FJ43" s="146"/>
      <c r="FK43" s="146"/>
      <c r="FL43" s="146"/>
      <c r="FM43" s="147"/>
      <c r="FN43" s="148"/>
      <c r="FO43" s="149"/>
      <c r="FP43" s="148"/>
      <c r="FQ43" s="150"/>
      <c r="FR43" s="151"/>
      <c r="FS43" s="146"/>
      <c r="FT43" s="146"/>
      <c r="FU43" s="146"/>
      <c r="FV43" s="147"/>
      <c r="FW43" s="148"/>
      <c r="FX43" s="149"/>
      <c r="FY43" s="148"/>
      <c r="FZ43" s="150"/>
      <c r="GA43" s="151"/>
      <c r="GB43" s="146"/>
      <c r="GC43" s="146"/>
      <c r="GD43" s="146"/>
      <c r="GE43" s="147"/>
      <c r="GF43" s="148"/>
      <c r="GG43" s="149"/>
      <c r="GH43" s="148"/>
      <c r="GI43" s="150"/>
      <c r="GJ43" s="151"/>
      <c r="GK43" s="146"/>
      <c r="GL43" s="146"/>
      <c r="GM43" s="146"/>
      <c r="GN43" s="147"/>
      <c r="GO43" s="148"/>
      <c r="GP43" s="149"/>
      <c r="GQ43" s="148"/>
      <c r="GR43" s="150"/>
      <c r="GS43" s="151"/>
      <c r="GT43" s="152"/>
      <c r="GU43" s="98"/>
      <c r="GV43" s="130"/>
      <c r="GW43" s="74"/>
      <c r="GX43" s="132"/>
      <c r="GY43" s="167"/>
      <c r="GZ43" s="86"/>
    </row>
    <row r="44" spans="1:208" x14ac:dyDescent="0.25">
      <c r="A44"/>
      <c r="D44" s="35"/>
      <c r="E44" s="36"/>
      <c r="F44" s="37"/>
      <c r="G44" s="38"/>
      <c r="H44" s="39"/>
      <c r="I44" s="40"/>
      <c r="J44" s="68"/>
      <c r="K44" s="407"/>
      <c r="L44" s="70"/>
      <c r="M44" s="71"/>
      <c r="N44" s="56"/>
      <c r="O44" s="72"/>
      <c r="P44" s="113">
        <f t="shared" si="0"/>
        <v>0</v>
      </c>
      <c r="Q44" s="117"/>
      <c r="R44" s="117"/>
      <c r="S44" s="117"/>
      <c r="T44" s="39">
        <f t="shared" si="2"/>
        <v>0</v>
      </c>
      <c r="U44" s="115"/>
      <c r="V44" s="112"/>
      <c r="W44" s="377"/>
      <c r="X44" s="146"/>
      <c r="Y44" s="147"/>
      <c r="Z44" s="148"/>
      <c r="AA44" s="149"/>
      <c r="AB44" s="148"/>
      <c r="AC44" s="150"/>
      <c r="AD44" s="151"/>
      <c r="AE44" s="146"/>
      <c r="AF44" s="146"/>
      <c r="AG44" s="146"/>
      <c r="AH44" s="147"/>
      <c r="AI44" s="148"/>
      <c r="AJ44" s="149"/>
      <c r="AK44" s="148"/>
      <c r="AL44" s="150"/>
      <c r="AM44" s="151"/>
      <c r="AN44" s="146"/>
      <c r="AO44" s="146"/>
      <c r="AP44" s="146"/>
      <c r="AQ44" s="147"/>
      <c r="AR44" s="148"/>
      <c r="AS44" s="149"/>
      <c r="AT44" s="148"/>
      <c r="AU44" s="150"/>
      <c r="AV44" s="151"/>
      <c r="AW44" s="146"/>
      <c r="AX44" s="146"/>
      <c r="AY44" s="146"/>
      <c r="AZ44" s="147"/>
      <c r="BA44" s="148"/>
      <c r="BB44" s="149"/>
      <c r="BC44" s="148"/>
      <c r="BD44" s="150"/>
      <c r="BE44" s="151"/>
      <c r="BF44" s="146"/>
      <c r="BG44" s="146"/>
      <c r="BH44" s="146"/>
      <c r="BI44" s="147"/>
      <c r="BJ44" s="148"/>
      <c r="BK44" s="149"/>
      <c r="BL44" s="148"/>
      <c r="BM44" s="150"/>
      <c r="BN44" s="151"/>
      <c r="BO44" s="146"/>
      <c r="BP44" s="146"/>
      <c r="BQ44" s="146"/>
      <c r="BR44" s="147"/>
      <c r="BS44" s="148"/>
      <c r="BT44" s="149"/>
      <c r="BU44" s="148"/>
      <c r="BV44" s="150"/>
      <c r="BW44" s="151"/>
      <c r="BX44" s="146"/>
      <c r="BY44" s="146"/>
      <c r="BZ44" s="146"/>
      <c r="CA44" s="147"/>
      <c r="CB44" s="148"/>
      <c r="CC44" s="149"/>
      <c r="CD44" s="148"/>
      <c r="CE44" s="150"/>
      <c r="CF44" s="151"/>
      <c r="CG44" s="146"/>
      <c r="CH44" s="146"/>
      <c r="CI44" s="146"/>
      <c r="CJ44" s="147"/>
      <c r="CK44" s="148"/>
      <c r="CL44" s="149"/>
      <c r="CM44" s="148"/>
      <c r="CN44" s="150"/>
      <c r="CO44" s="151"/>
      <c r="CP44" s="146"/>
      <c r="CQ44" s="146"/>
      <c r="CR44" s="146"/>
      <c r="CS44" s="147"/>
      <c r="CT44" s="148"/>
      <c r="CU44" s="149"/>
      <c r="CV44" s="148"/>
      <c r="CW44" s="150"/>
      <c r="CX44" s="151"/>
      <c r="CY44" s="146"/>
      <c r="CZ44" s="146"/>
      <c r="DA44" s="146"/>
      <c r="DB44" s="147"/>
      <c r="DC44" s="148"/>
      <c r="DD44" s="149"/>
      <c r="DE44" s="148"/>
      <c r="DF44" s="150"/>
      <c r="DG44" s="151"/>
      <c r="DH44" s="146"/>
      <c r="DI44" s="146"/>
      <c r="DJ44" s="146"/>
      <c r="DK44" s="147"/>
      <c r="DL44" s="148"/>
      <c r="DM44" s="149"/>
      <c r="DN44" s="148"/>
      <c r="DO44" s="150"/>
      <c r="DP44" s="151"/>
      <c r="DQ44" s="146"/>
      <c r="DR44" s="146"/>
      <c r="DS44" s="146"/>
      <c r="DT44" s="147"/>
      <c r="DU44" s="148"/>
      <c r="DV44" s="149"/>
      <c r="DW44" s="148"/>
      <c r="DX44" s="150"/>
      <c r="DY44" s="151"/>
      <c r="DZ44" s="146"/>
      <c r="EA44" s="146"/>
      <c r="EB44" s="146"/>
      <c r="EC44" s="147"/>
      <c r="ED44" s="148"/>
      <c r="EE44" s="149"/>
      <c r="EF44" s="148"/>
      <c r="EG44" s="150"/>
      <c r="EH44" s="151"/>
      <c r="EI44" s="146"/>
      <c r="EJ44" s="146"/>
      <c r="EK44" s="146"/>
      <c r="EL44" s="147"/>
      <c r="EM44" s="148"/>
      <c r="EN44" s="149"/>
      <c r="EO44" s="148"/>
      <c r="EP44" s="150"/>
      <c r="EQ44" s="151"/>
      <c r="ER44" s="146"/>
      <c r="ES44" s="146"/>
      <c r="ET44" s="146"/>
      <c r="EU44" s="147"/>
      <c r="EV44" s="148"/>
      <c r="EW44" s="149"/>
      <c r="EX44" s="148"/>
      <c r="EY44" s="150"/>
      <c r="EZ44" s="151"/>
      <c r="FA44" s="146"/>
      <c r="FB44" s="146"/>
      <c r="FC44" s="146"/>
      <c r="FD44" s="147"/>
      <c r="FE44" s="148"/>
      <c r="FF44" s="149"/>
      <c r="FG44" s="148"/>
      <c r="FH44" s="150"/>
      <c r="FI44" s="151"/>
      <c r="FJ44" s="146"/>
      <c r="FK44" s="146"/>
      <c r="FL44" s="146"/>
      <c r="FM44" s="147"/>
      <c r="FN44" s="148"/>
      <c r="FO44" s="149"/>
      <c r="FP44" s="148"/>
      <c r="FQ44" s="150"/>
      <c r="FR44" s="151"/>
      <c r="FS44" s="146"/>
      <c r="FT44" s="146"/>
      <c r="FU44" s="146"/>
      <c r="FV44" s="147"/>
      <c r="FW44" s="148"/>
      <c r="FX44" s="149"/>
      <c r="FY44" s="148"/>
      <c r="FZ44" s="150"/>
      <c r="GA44" s="151"/>
      <c r="GB44" s="146"/>
      <c r="GC44" s="146"/>
      <c r="GD44" s="146"/>
      <c r="GE44" s="147"/>
      <c r="GF44" s="148"/>
      <c r="GG44" s="149"/>
      <c r="GH44" s="148"/>
      <c r="GI44" s="150"/>
      <c r="GJ44" s="151"/>
      <c r="GK44" s="146"/>
      <c r="GL44" s="146"/>
      <c r="GM44" s="146"/>
      <c r="GN44" s="147"/>
      <c r="GO44" s="148"/>
      <c r="GP44" s="149"/>
      <c r="GQ44" s="148"/>
      <c r="GR44" s="150"/>
      <c r="GS44" s="151"/>
      <c r="GT44" s="152"/>
      <c r="GU44" s="98"/>
      <c r="GV44" s="130"/>
      <c r="GW44" s="74"/>
      <c r="GX44" s="132"/>
      <c r="GY44" s="167"/>
      <c r="GZ44" s="86"/>
    </row>
    <row r="45" spans="1:208" x14ac:dyDescent="0.25">
      <c r="A45"/>
      <c r="D45" s="35"/>
      <c r="E45" s="36"/>
      <c r="F45" s="37"/>
      <c r="G45" s="38"/>
      <c r="H45" s="39"/>
      <c r="I45" s="40"/>
      <c r="J45" s="76"/>
      <c r="K45" s="407"/>
      <c r="L45" s="70"/>
      <c r="M45" s="71"/>
      <c r="N45" s="119"/>
      <c r="O45" s="72"/>
      <c r="P45" s="113">
        <f t="shared" si="0"/>
        <v>0</v>
      </c>
      <c r="Q45" s="117"/>
      <c r="R45" s="117"/>
      <c r="S45" s="117"/>
      <c r="T45" s="39">
        <f t="shared" si="2"/>
        <v>0</v>
      </c>
      <c r="U45" s="375"/>
      <c r="V45" s="144"/>
      <c r="W45" s="377"/>
      <c r="X45" s="146"/>
      <c r="Y45" s="147"/>
      <c r="Z45" s="148"/>
      <c r="AA45" s="149"/>
      <c r="AB45" s="148"/>
      <c r="AC45" s="150"/>
      <c r="AD45" s="151"/>
      <c r="AE45" s="146"/>
      <c r="AF45" s="146"/>
      <c r="AG45" s="146"/>
      <c r="AH45" s="147"/>
      <c r="AI45" s="148"/>
      <c r="AJ45" s="149"/>
      <c r="AK45" s="148"/>
      <c r="AL45" s="150"/>
      <c r="AM45" s="151"/>
      <c r="AN45" s="146"/>
      <c r="AO45" s="146"/>
      <c r="AP45" s="146"/>
      <c r="AQ45" s="147"/>
      <c r="AR45" s="148"/>
      <c r="AS45" s="149"/>
      <c r="AT45" s="148"/>
      <c r="AU45" s="150"/>
      <c r="AV45" s="151"/>
      <c r="AW45" s="146"/>
      <c r="AX45" s="146"/>
      <c r="AY45" s="146"/>
      <c r="AZ45" s="147"/>
      <c r="BA45" s="148"/>
      <c r="BB45" s="149"/>
      <c r="BC45" s="148"/>
      <c r="BD45" s="150"/>
      <c r="BE45" s="151"/>
      <c r="BF45" s="146"/>
      <c r="BG45" s="146"/>
      <c r="BH45" s="146"/>
      <c r="BI45" s="147"/>
      <c r="BJ45" s="148"/>
      <c r="BK45" s="149"/>
      <c r="BL45" s="148"/>
      <c r="BM45" s="150"/>
      <c r="BN45" s="151"/>
      <c r="BO45" s="146"/>
      <c r="BP45" s="146"/>
      <c r="BQ45" s="146"/>
      <c r="BR45" s="147"/>
      <c r="BS45" s="148"/>
      <c r="BT45" s="149"/>
      <c r="BU45" s="148"/>
      <c r="BV45" s="150"/>
      <c r="BW45" s="151"/>
      <c r="BX45" s="146"/>
      <c r="BY45" s="146"/>
      <c r="BZ45" s="146"/>
      <c r="CA45" s="147"/>
      <c r="CB45" s="148"/>
      <c r="CC45" s="149"/>
      <c r="CD45" s="148"/>
      <c r="CE45" s="150"/>
      <c r="CF45" s="151"/>
      <c r="CG45" s="146"/>
      <c r="CH45" s="146"/>
      <c r="CI45" s="146"/>
      <c r="CJ45" s="147"/>
      <c r="CK45" s="148"/>
      <c r="CL45" s="149"/>
      <c r="CM45" s="148"/>
      <c r="CN45" s="150"/>
      <c r="CO45" s="151"/>
      <c r="CP45" s="146"/>
      <c r="CQ45" s="146"/>
      <c r="CR45" s="146"/>
      <c r="CS45" s="147"/>
      <c r="CT45" s="148"/>
      <c r="CU45" s="149"/>
      <c r="CV45" s="148"/>
      <c r="CW45" s="150"/>
      <c r="CX45" s="151"/>
      <c r="CY45" s="146"/>
      <c r="CZ45" s="146"/>
      <c r="DA45" s="146"/>
      <c r="DB45" s="147"/>
      <c r="DC45" s="148"/>
      <c r="DD45" s="149"/>
      <c r="DE45" s="148"/>
      <c r="DF45" s="150"/>
      <c r="DG45" s="151"/>
      <c r="DH45" s="146"/>
      <c r="DI45" s="146"/>
      <c r="DJ45" s="146"/>
      <c r="DK45" s="147"/>
      <c r="DL45" s="148"/>
      <c r="DM45" s="149"/>
      <c r="DN45" s="148"/>
      <c r="DO45" s="150"/>
      <c r="DP45" s="151"/>
      <c r="DQ45" s="146"/>
      <c r="DR45" s="146"/>
      <c r="DS45" s="146"/>
      <c r="DT45" s="147"/>
      <c r="DU45" s="148"/>
      <c r="DV45" s="149"/>
      <c r="DW45" s="148"/>
      <c r="DX45" s="150"/>
      <c r="DY45" s="151"/>
      <c r="DZ45" s="146"/>
      <c r="EA45" s="146"/>
      <c r="EB45" s="146"/>
      <c r="EC45" s="147"/>
      <c r="ED45" s="148"/>
      <c r="EE45" s="149"/>
      <c r="EF45" s="148"/>
      <c r="EG45" s="150"/>
      <c r="EH45" s="151"/>
      <c r="EI45" s="146"/>
      <c r="EJ45" s="146"/>
      <c r="EK45" s="146"/>
      <c r="EL45" s="147"/>
      <c r="EM45" s="148"/>
      <c r="EN45" s="149"/>
      <c r="EO45" s="148"/>
      <c r="EP45" s="150"/>
      <c r="EQ45" s="151"/>
      <c r="ER45" s="146"/>
      <c r="ES45" s="146"/>
      <c r="ET45" s="146"/>
      <c r="EU45" s="147"/>
      <c r="EV45" s="148"/>
      <c r="EW45" s="149"/>
      <c r="EX45" s="148"/>
      <c r="EY45" s="150"/>
      <c r="EZ45" s="151"/>
      <c r="FA45" s="146"/>
      <c r="FB45" s="146"/>
      <c r="FC45" s="146"/>
      <c r="FD45" s="147"/>
      <c r="FE45" s="148"/>
      <c r="FF45" s="149"/>
      <c r="FG45" s="148"/>
      <c r="FH45" s="150"/>
      <c r="FI45" s="151"/>
      <c r="FJ45" s="146"/>
      <c r="FK45" s="146"/>
      <c r="FL45" s="146"/>
      <c r="FM45" s="147"/>
      <c r="FN45" s="148"/>
      <c r="FO45" s="149"/>
      <c r="FP45" s="148"/>
      <c r="FQ45" s="150"/>
      <c r="FR45" s="151"/>
      <c r="FS45" s="146"/>
      <c r="FT45" s="146"/>
      <c r="FU45" s="146"/>
      <c r="FV45" s="147"/>
      <c r="FW45" s="148"/>
      <c r="FX45" s="149"/>
      <c r="FY45" s="148"/>
      <c r="FZ45" s="150"/>
      <c r="GA45" s="151"/>
      <c r="GB45" s="146"/>
      <c r="GC45" s="146"/>
      <c r="GD45" s="146"/>
      <c r="GE45" s="147"/>
      <c r="GF45" s="148"/>
      <c r="GG45" s="149"/>
      <c r="GH45" s="148"/>
      <c r="GI45" s="150"/>
      <c r="GJ45" s="151"/>
      <c r="GK45" s="146"/>
      <c r="GL45" s="146"/>
      <c r="GM45" s="146"/>
      <c r="GN45" s="147"/>
      <c r="GO45" s="148"/>
      <c r="GP45" s="149"/>
      <c r="GQ45" s="148"/>
      <c r="GR45" s="150"/>
      <c r="GS45" s="151"/>
      <c r="GT45" s="378"/>
      <c r="GU45" s="98"/>
      <c r="GV45" s="130"/>
      <c r="GW45" s="74"/>
      <c r="GX45" s="74"/>
      <c r="GY45" s="167"/>
      <c r="GZ45" s="86"/>
    </row>
    <row r="46" spans="1:208" x14ac:dyDescent="0.25">
      <c r="A46"/>
      <c r="D46" s="35"/>
      <c r="E46" s="36"/>
      <c r="F46" s="37"/>
      <c r="G46" s="38"/>
      <c r="H46" s="39"/>
      <c r="I46" s="40"/>
      <c r="J46" s="76"/>
      <c r="K46" s="451"/>
      <c r="L46" s="70"/>
      <c r="M46" s="71"/>
      <c r="N46" s="119"/>
      <c r="O46" s="72"/>
      <c r="P46" s="113">
        <f t="shared" si="0"/>
        <v>0</v>
      </c>
      <c r="Q46" s="117"/>
      <c r="R46" s="117"/>
      <c r="S46" s="117"/>
      <c r="T46" s="39">
        <f t="shared" si="2"/>
        <v>0</v>
      </c>
      <c r="U46" s="375"/>
      <c r="V46" s="144"/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378"/>
      <c r="GU46" s="98"/>
      <c r="GV46" s="133"/>
      <c r="GW46" s="134"/>
      <c r="GX46" s="134"/>
      <c r="GY46" s="167"/>
      <c r="GZ46" s="86"/>
    </row>
    <row r="47" spans="1:208" x14ac:dyDescent="0.25">
      <c r="A47"/>
      <c r="D47" s="35"/>
      <c r="E47" s="36"/>
      <c r="F47" s="37"/>
      <c r="G47" s="38"/>
      <c r="H47" s="39"/>
      <c r="I47" s="40"/>
      <c r="J47" s="68"/>
      <c r="K47" s="407"/>
      <c r="L47" s="70"/>
      <c r="M47" s="71"/>
      <c r="N47" s="119"/>
      <c r="O47" s="72"/>
      <c r="P47" s="113">
        <f t="shared" si="0"/>
        <v>0</v>
      </c>
      <c r="Q47" s="117"/>
      <c r="R47" s="117"/>
      <c r="S47" s="117"/>
      <c r="T47" s="39">
        <f t="shared" si="2"/>
        <v>0</v>
      </c>
      <c r="U47" s="115"/>
      <c r="V47" s="112"/>
      <c r="W47" s="118"/>
      <c r="X47" s="17"/>
      <c r="Y47" s="20"/>
      <c r="Z47" s="92"/>
      <c r="AA47" s="93"/>
      <c r="AB47" s="92"/>
      <c r="AC47" s="94"/>
      <c r="AD47" s="95"/>
      <c r="AE47" s="17"/>
      <c r="AF47" s="17"/>
      <c r="AG47" s="17"/>
      <c r="AH47" s="20"/>
      <c r="AI47" s="92"/>
      <c r="AJ47" s="93"/>
      <c r="AK47" s="92"/>
      <c r="AL47" s="94"/>
      <c r="AM47" s="95"/>
      <c r="AN47" s="17"/>
      <c r="AO47" s="17"/>
      <c r="AP47" s="17"/>
      <c r="AQ47" s="20"/>
      <c r="AR47" s="92"/>
      <c r="AS47" s="93"/>
      <c r="AT47" s="92"/>
      <c r="AU47" s="94"/>
      <c r="AV47" s="95"/>
      <c r="AW47" s="17"/>
      <c r="AX47" s="17"/>
      <c r="AY47" s="17"/>
      <c r="AZ47" s="20"/>
      <c r="BA47" s="92"/>
      <c r="BB47" s="93"/>
      <c r="BC47" s="92"/>
      <c r="BD47" s="94"/>
      <c r="BE47" s="95"/>
      <c r="BF47" s="17"/>
      <c r="BG47" s="17"/>
      <c r="BH47" s="17"/>
      <c r="BI47" s="20"/>
      <c r="BJ47" s="92"/>
      <c r="BK47" s="93"/>
      <c r="BL47" s="92"/>
      <c r="BM47" s="94"/>
      <c r="BN47" s="95"/>
      <c r="BO47" s="17"/>
      <c r="BP47" s="17"/>
      <c r="BQ47" s="17"/>
      <c r="BR47" s="20"/>
      <c r="BS47" s="92"/>
      <c r="BT47" s="93"/>
      <c r="BU47" s="92"/>
      <c r="BV47" s="94"/>
      <c r="BW47" s="95"/>
      <c r="BX47" s="17"/>
      <c r="BY47" s="17"/>
      <c r="BZ47" s="17"/>
      <c r="CA47" s="20"/>
      <c r="CB47" s="92"/>
      <c r="CC47" s="93"/>
      <c r="CD47" s="92"/>
      <c r="CE47" s="94"/>
      <c r="CF47" s="95"/>
      <c r="CG47" s="17"/>
      <c r="CH47" s="17"/>
      <c r="CI47" s="17"/>
      <c r="CJ47" s="20"/>
      <c r="CK47" s="92"/>
      <c r="CL47" s="93"/>
      <c r="CM47" s="92"/>
      <c r="CN47" s="94"/>
      <c r="CO47" s="95"/>
      <c r="CP47" s="17"/>
      <c r="CQ47" s="17"/>
      <c r="CR47" s="17"/>
      <c r="CS47" s="20"/>
      <c r="CT47" s="92"/>
      <c r="CU47" s="93"/>
      <c r="CV47" s="92"/>
      <c r="CW47" s="94"/>
      <c r="CX47" s="95"/>
      <c r="CY47" s="17"/>
      <c r="CZ47" s="17"/>
      <c r="DA47" s="17"/>
      <c r="DB47" s="20"/>
      <c r="DC47" s="92"/>
      <c r="DD47" s="93"/>
      <c r="DE47" s="92"/>
      <c r="DF47" s="94"/>
      <c r="DG47" s="95"/>
      <c r="DH47" s="17"/>
      <c r="DI47" s="17"/>
      <c r="DJ47" s="17"/>
      <c r="DK47" s="20"/>
      <c r="DL47" s="92"/>
      <c r="DM47" s="93"/>
      <c r="DN47" s="92"/>
      <c r="DO47" s="94"/>
      <c r="DP47" s="95"/>
      <c r="DQ47" s="17"/>
      <c r="DR47" s="17"/>
      <c r="DS47" s="17"/>
      <c r="DT47" s="20"/>
      <c r="DU47" s="92"/>
      <c r="DV47" s="93"/>
      <c r="DW47" s="92"/>
      <c r="DX47" s="94"/>
      <c r="DY47" s="95"/>
      <c r="DZ47" s="17"/>
      <c r="EA47" s="17"/>
      <c r="EB47" s="17"/>
      <c r="EC47" s="20"/>
      <c r="ED47" s="92"/>
      <c r="EE47" s="93"/>
      <c r="EF47" s="92"/>
      <c r="EG47" s="94"/>
      <c r="EH47" s="95"/>
      <c r="EI47" s="17"/>
      <c r="EJ47" s="17"/>
      <c r="EK47" s="17"/>
      <c r="EL47" s="20"/>
      <c r="EM47" s="92"/>
      <c r="EN47" s="93"/>
      <c r="EO47" s="92"/>
      <c r="EP47" s="94"/>
      <c r="EQ47" s="95"/>
      <c r="ER47" s="17"/>
      <c r="ES47" s="17"/>
      <c r="ET47" s="17"/>
      <c r="EU47" s="20"/>
      <c r="EV47" s="92"/>
      <c r="EW47" s="93"/>
      <c r="EX47" s="92"/>
      <c r="EY47" s="94"/>
      <c r="EZ47" s="95"/>
      <c r="FA47" s="17"/>
      <c r="FB47" s="17"/>
      <c r="FC47" s="17"/>
      <c r="FD47" s="20"/>
      <c r="FE47" s="92"/>
      <c r="FF47" s="93"/>
      <c r="FG47" s="92"/>
      <c r="FH47" s="94"/>
      <c r="FI47" s="95"/>
      <c r="FJ47" s="17"/>
      <c r="FK47" s="17"/>
      <c r="FL47" s="17"/>
      <c r="FM47" s="20"/>
      <c r="FN47" s="92"/>
      <c r="FO47" s="93"/>
      <c r="FP47" s="92"/>
      <c r="FQ47" s="94"/>
      <c r="FR47" s="95"/>
      <c r="FS47" s="17"/>
      <c r="FT47" s="17"/>
      <c r="FU47" s="17"/>
      <c r="FV47" s="20"/>
      <c r="FW47" s="92"/>
      <c r="FX47" s="93"/>
      <c r="FY47" s="92"/>
      <c r="FZ47" s="94"/>
      <c r="GA47" s="95"/>
      <c r="GB47" s="17"/>
      <c r="GC47" s="17"/>
      <c r="GD47" s="17"/>
      <c r="GE47" s="20"/>
      <c r="GF47" s="92"/>
      <c r="GG47" s="93"/>
      <c r="GH47" s="92"/>
      <c r="GI47" s="94"/>
      <c r="GJ47" s="95"/>
      <c r="GK47" s="17"/>
      <c r="GL47" s="17"/>
      <c r="GM47" s="17"/>
      <c r="GN47" s="20"/>
      <c r="GO47" s="92"/>
      <c r="GP47" s="93"/>
      <c r="GQ47" s="92"/>
      <c r="GR47" s="94"/>
      <c r="GS47" s="95"/>
      <c r="GT47" s="122"/>
      <c r="GU47" s="98"/>
      <c r="GV47" s="133"/>
      <c r="GW47" s="134"/>
      <c r="GX47" s="134"/>
      <c r="GY47" s="167"/>
      <c r="GZ47" s="86"/>
    </row>
    <row r="48" spans="1:208" x14ac:dyDescent="0.25">
      <c r="A48"/>
      <c r="D48" s="35"/>
      <c r="E48" s="36"/>
      <c r="F48" s="37"/>
      <c r="G48" s="38"/>
      <c r="H48" s="39"/>
      <c r="I48" s="40"/>
      <c r="J48" s="68"/>
      <c r="K48" s="407"/>
      <c r="L48" s="70"/>
      <c r="M48" s="71"/>
      <c r="N48" s="56"/>
      <c r="O48" s="72"/>
      <c r="P48" s="113">
        <f t="shared" si="0"/>
        <v>0</v>
      </c>
      <c r="Q48" s="117"/>
      <c r="R48" s="117"/>
      <c r="S48" s="117"/>
      <c r="T48" s="39">
        <f t="shared" ref="T48" si="3">Q48*O48</f>
        <v>0</v>
      </c>
      <c r="U48" s="115"/>
      <c r="V48" s="112"/>
      <c r="W48" s="118"/>
      <c r="X48" s="17"/>
      <c r="Y48" s="20"/>
      <c r="Z48" s="92"/>
      <c r="AA48" s="93"/>
      <c r="AB48" s="92"/>
      <c r="AC48" s="94"/>
      <c r="AD48" s="95"/>
      <c r="AE48" s="17"/>
      <c r="AF48" s="17"/>
      <c r="AG48" s="17"/>
      <c r="AH48" s="20"/>
      <c r="AI48" s="92"/>
      <c r="AJ48" s="93"/>
      <c r="AK48" s="92"/>
      <c r="AL48" s="94"/>
      <c r="AM48" s="95"/>
      <c r="AN48" s="17"/>
      <c r="AO48" s="17"/>
      <c r="AP48" s="17"/>
      <c r="AQ48" s="20"/>
      <c r="AR48" s="92"/>
      <c r="AS48" s="93"/>
      <c r="AT48" s="92"/>
      <c r="AU48" s="94"/>
      <c r="AV48" s="95"/>
      <c r="AW48" s="17"/>
      <c r="AX48" s="17"/>
      <c r="AY48" s="17"/>
      <c r="AZ48" s="20"/>
      <c r="BA48" s="92"/>
      <c r="BB48" s="93"/>
      <c r="BC48" s="92"/>
      <c r="BD48" s="94"/>
      <c r="BE48" s="95"/>
      <c r="BF48" s="17"/>
      <c r="BG48" s="17"/>
      <c r="BH48" s="17"/>
      <c r="BI48" s="20"/>
      <c r="BJ48" s="92"/>
      <c r="BK48" s="93"/>
      <c r="BL48" s="92"/>
      <c r="BM48" s="94"/>
      <c r="BN48" s="95"/>
      <c r="BO48" s="17"/>
      <c r="BP48" s="17"/>
      <c r="BQ48" s="17"/>
      <c r="BR48" s="20"/>
      <c r="BS48" s="92"/>
      <c r="BT48" s="93"/>
      <c r="BU48" s="92"/>
      <c r="BV48" s="94"/>
      <c r="BW48" s="95"/>
      <c r="BX48" s="17"/>
      <c r="BY48" s="17"/>
      <c r="BZ48" s="17"/>
      <c r="CA48" s="20"/>
      <c r="CB48" s="92"/>
      <c r="CC48" s="93"/>
      <c r="CD48" s="92"/>
      <c r="CE48" s="94"/>
      <c r="CF48" s="95"/>
      <c r="CG48" s="17"/>
      <c r="CH48" s="17"/>
      <c r="CI48" s="17"/>
      <c r="CJ48" s="20"/>
      <c r="CK48" s="92"/>
      <c r="CL48" s="93"/>
      <c r="CM48" s="92"/>
      <c r="CN48" s="94"/>
      <c r="CO48" s="95"/>
      <c r="CP48" s="17"/>
      <c r="CQ48" s="17"/>
      <c r="CR48" s="17"/>
      <c r="CS48" s="20"/>
      <c r="CT48" s="92"/>
      <c r="CU48" s="93"/>
      <c r="CV48" s="92"/>
      <c r="CW48" s="94"/>
      <c r="CX48" s="95"/>
      <c r="CY48" s="17"/>
      <c r="CZ48" s="17"/>
      <c r="DA48" s="17"/>
      <c r="DB48" s="20"/>
      <c r="DC48" s="92"/>
      <c r="DD48" s="93"/>
      <c r="DE48" s="92"/>
      <c r="DF48" s="94"/>
      <c r="DG48" s="95"/>
      <c r="DH48" s="17"/>
      <c r="DI48" s="17"/>
      <c r="DJ48" s="17"/>
      <c r="DK48" s="20"/>
      <c r="DL48" s="92"/>
      <c r="DM48" s="93"/>
      <c r="DN48" s="92"/>
      <c r="DO48" s="94"/>
      <c r="DP48" s="95"/>
      <c r="DQ48" s="17"/>
      <c r="DR48" s="17"/>
      <c r="DS48" s="17"/>
      <c r="DT48" s="20"/>
      <c r="DU48" s="92"/>
      <c r="DV48" s="93"/>
      <c r="DW48" s="92"/>
      <c r="DX48" s="94"/>
      <c r="DY48" s="95"/>
      <c r="DZ48" s="17"/>
      <c r="EA48" s="17"/>
      <c r="EB48" s="17"/>
      <c r="EC48" s="20"/>
      <c r="ED48" s="92"/>
      <c r="EE48" s="93"/>
      <c r="EF48" s="92"/>
      <c r="EG48" s="94"/>
      <c r="EH48" s="95"/>
      <c r="EI48" s="17"/>
      <c r="EJ48" s="17"/>
      <c r="EK48" s="17"/>
      <c r="EL48" s="20"/>
      <c r="EM48" s="92"/>
      <c r="EN48" s="93"/>
      <c r="EO48" s="92"/>
      <c r="EP48" s="94"/>
      <c r="EQ48" s="95"/>
      <c r="ER48" s="17"/>
      <c r="ES48" s="17"/>
      <c r="ET48" s="17"/>
      <c r="EU48" s="20"/>
      <c r="EV48" s="92"/>
      <c r="EW48" s="93"/>
      <c r="EX48" s="92"/>
      <c r="EY48" s="94"/>
      <c r="EZ48" s="95"/>
      <c r="FA48" s="17"/>
      <c r="FB48" s="17"/>
      <c r="FC48" s="17"/>
      <c r="FD48" s="20"/>
      <c r="FE48" s="92"/>
      <c r="FF48" s="93"/>
      <c r="FG48" s="92"/>
      <c r="FH48" s="94"/>
      <c r="FI48" s="95"/>
      <c r="FJ48" s="17"/>
      <c r="FK48" s="17"/>
      <c r="FL48" s="17"/>
      <c r="FM48" s="20"/>
      <c r="FN48" s="92"/>
      <c r="FO48" s="93"/>
      <c r="FP48" s="92"/>
      <c r="FQ48" s="94"/>
      <c r="FR48" s="95"/>
      <c r="FS48" s="17"/>
      <c r="FT48" s="17"/>
      <c r="FU48" s="17"/>
      <c r="FV48" s="20"/>
      <c r="FW48" s="92"/>
      <c r="FX48" s="93"/>
      <c r="FY48" s="92"/>
      <c r="FZ48" s="94"/>
      <c r="GA48" s="95"/>
      <c r="GB48" s="17"/>
      <c r="GC48" s="17"/>
      <c r="GD48" s="17"/>
      <c r="GE48" s="20"/>
      <c r="GF48" s="92"/>
      <c r="GG48" s="93"/>
      <c r="GH48" s="92"/>
      <c r="GI48" s="94"/>
      <c r="GJ48" s="95"/>
      <c r="GK48" s="17"/>
      <c r="GL48" s="17"/>
      <c r="GM48" s="17"/>
      <c r="GN48" s="20"/>
      <c r="GO48" s="92"/>
      <c r="GP48" s="93"/>
      <c r="GQ48" s="92"/>
      <c r="GR48" s="94"/>
      <c r="GS48" s="95"/>
      <c r="GT48" s="122"/>
      <c r="GU48" s="98"/>
      <c r="GV48" s="135"/>
      <c r="GW48" s="134"/>
      <c r="GX48" s="136"/>
      <c r="GY48" s="167"/>
      <c r="GZ48" s="86"/>
    </row>
    <row r="49" spans="1:208" x14ac:dyDescent="0.25">
      <c r="A49"/>
      <c r="D49" s="35"/>
      <c r="E49" s="36"/>
      <c r="F49" s="37"/>
      <c r="G49" s="38"/>
      <c r="H49" s="39"/>
      <c r="I49" s="40"/>
      <c r="J49" s="68"/>
      <c r="K49" s="407"/>
      <c r="L49" s="70"/>
      <c r="M49" s="71"/>
      <c r="N49" s="56"/>
      <c r="O49" s="72"/>
      <c r="P49" s="113">
        <f t="shared" si="0"/>
        <v>0</v>
      </c>
      <c r="Q49" s="64"/>
      <c r="R49" s="117"/>
      <c r="S49" s="117"/>
      <c r="T49" s="39">
        <f>Q49*O49</f>
        <v>0</v>
      </c>
      <c r="U49" s="115"/>
      <c r="V49" s="83"/>
      <c r="W49" s="118"/>
      <c r="X49" s="17"/>
      <c r="Y49" s="20"/>
      <c r="Z49" s="92"/>
      <c r="AA49" s="93"/>
      <c r="AB49" s="92"/>
      <c r="AC49" s="94"/>
      <c r="AD49" s="95"/>
      <c r="AE49" s="17"/>
      <c r="AF49" s="17"/>
      <c r="AG49" s="17"/>
      <c r="AH49" s="20"/>
      <c r="AI49" s="92"/>
      <c r="AJ49" s="93"/>
      <c r="AK49" s="92"/>
      <c r="AL49" s="94"/>
      <c r="AM49" s="95"/>
      <c r="AN49" s="17"/>
      <c r="AO49" s="17"/>
      <c r="AP49" s="17"/>
      <c r="AQ49" s="20"/>
      <c r="AR49" s="92"/>
      <c r="AS49" s="93"/>
      <c r="AT49" s="92"/>
      <c r="AU49" s="94"/>
      <c r="AV49" s="95"/>
      <c r="AW49" s="17"/>
      <c r="AX49" s="17"/>
      <c r="AY49" s="17"/>
      <c r="AZ49" s="20"/>
      <c r="BA49" s="92"/>
      <c r="BB49" s="93"/>
      <c r="BC49" s="92"/>
      <c r="BD49" s="94"/>
      <c r="BE49" s="95"/>
      <c r="BF49" s="17"/>
      <c r="BG49" s="17"/>
      <c r="BH49" s="17"/>
      <c r="BI49" s="20"/>
      <c r="BJ49" s="92"/>
      <c r="BK49" s="93"/>
      <c r="BL49" s="92"/>
      <c r="BM49" s="94"/>
      <c r="BN49" s="95"/>
      <c r="BO49" s="17"/>
      <c r="BP49" s="17"/>
      <c r="BQ49" s="17"/>
      <c r="BR49" s="20"/>
      <c r="BS49" s="92"/>
      <c r="BT49" s="93"/>
      <c r="BU49" s="92"/>
      <c r="BV49" s="94"/>
      <c r="BW49" s="95"/>
      <c r="BX49" s="17"/>
      <c r="BY49" s="17"/>
      <c r="BZ49" s="17"/>
      <c r="CA49" s="20"/>
      <c r="CB49" s="92"/>
      <c r="CC49" s="93"/>
      <c r="CD49" s="92"/>
      <c r="CE49" s="94"/>
      <c r="CF49" s="95"/>
      <c r="CG49" s="17"/>
      <c r="CH49" s="17"/>
      <c r="CI49" s="17"/>
      <c r="CJ49" s="20"/>
      <c r="CK49" s="92"/>
      <c r="CL49" s="93"/>
      <c r="CM49" s="92"/>
      <c r="CN49" s="94"/>
      <c r="CO49" s="95"/>
      <c r="CP49" s="17"/>
      <c r="CQ49" s="17"/>
      <c r="CR49" s="17"/>
      <c r="CS49" s="20"/>
      <c r="CT49" s="92"/>
      <c r="CU49" s="93"/>
      <c r="CV49" s="92"/>
      <c r="CW49" s="94"/>
      <c r="CX49" s="95"/>
      <c r="CY49" s="17"/>
      <c r="CZ49" s="17"/>
      <c r="DA49" s="17"/>
      <c r="DB49" s="20"/>
      <c r="DC49" s="92"/>
      <c r="DD49" s="93"/>
      <c r="DE49" s="92"/>
      <c r="DF49" s="94"/>
      <c r="DG49" s="95"/>
      <c r="DH49" s="17"/>
      <c r="DI49" s="17"/>
      <c r="DJ49" s="17"/>
      <c r="DK49" s="20"/>
      <c r="DL49" s="92"/>
      <c r="DM49" s="93"/>
      <c r="DN49" s="92"/>
      <c r="DO49" s="94"/>
      <c r="DP49" s="95"/>
      <c r="DQ49" s="17"/>
      <c r="DR49" s="17"/>
      <c r="DS49" s="17"/>
      <c r="DT49" s="20"/>
      <c r="DU49" s="92"/>
      <c r="DV49" s="93"/>
      <c r="DW49" s="92"/>
      <c r="DX49" s="94"/>
      <c r="DY49" s="95"/>
      <c r="DZ49" s="17"/>
      <c r="EA49" s="17"/>
      <c r="EB49" s="17"/>
      <c r="EC49" s="20"/>
      <c r="ED49" s="92"/>
      <c r="EE49" s="93"/>
      <c r="EF49" s="92"/>
      <c r="EG49" s="94"/>
      <c r="EH49" s="95"/>
      <c r="EI49" s="17"/>
      <c r="EJ49" s="17"/>
      <c r="EK49" s="17"/>
      <c r="EL49" s="20"/>
      <c r="EM49" s="92"/>
      <c r="EN49" s="93"/>
      <c r="EO49" s="92"/>
      <c r="EP49" s="94"/>
      <c r="EQ49" s="95"/>
      <c r="ER49" s="17"/>
      <c r="ES49" s="17"/>
      <c r="ET49" s="17"/>
      <c r="EU49" s="20"/>
      <c r="EV49" s="92"/>
      <c r="EW49" s="93"/>
      <c r="EX49" s="92"/>
      <c r="EY49" s="94"/>
      <c r="EZ49" s="95"/>
      <c r="FA49" s="17"/>
      <c r="FB49" s="17"/>
      <c r="FC49" s="17"/>
      <c r="FD49" s="20"/>
      <c r="FE49" s="92"/>
      <c r="FF49" s="93"/>
      <c r="FG49" s="92"/>
      <c r="FH49" s="94"/>
      <c r="FI49" s="95"/>
      <c r="FJ49" s="17"/>
      <c r="FK49" s="17"/>
      <c r="FL49" s="17"/>
      <c r="FM49" s="20"/>
      <c r="FN49" s="92"/>
      <c r="FO49" s="93"/>
      <c r="FP49" s="92"/>
      <c r="FQ49" s="94"/>
      <c r="FR49" s="95"/>
      <c r="FS49" s="17"/>
      <c r="FT49" s="17"/>
      <c r="FU49" s="17"/>
      <c r="FV49" s="20"/>
      <c r="FW49" s="92"/>
      <c r="FX49" s="93"/>
      <c r="FY49" s="92"/>
      <c r="FZ49" s="94"/>
      <c r="GA49" s="95"/>
      <c r="GB49" s="17"/>
      <c r="GC49" s="17"/>
      <c r="GD49" s="17"/>
      <c r="GE49" s="20"/>
      <c r="GF49" s="92"/>
      <c r="GG49" s="93"/>
      <c r="GH49" s="92"/>
      <c r="GI49" s="94"/>
      <c r="GJ49" s="95"/>
      <c r="GK49" s="17"/>
      <c r="GL49" s="17"/>
      <c r="GM49" s="17"/>
      <c r="GN49" s="20"/>
      <c r="GO49" s="92"/>
      <c r="GP49" s="93"/>
      <c r="GQ49" s="92"/>
      <c r="GR49" s="94"/>
      <c r="GS49" s="95"/>
      <c r="GT49" s="137"/>
      <c r="GU49" s="98"/>
      <c r="GV49" s="129"/>
      <c r="GW49" s="74"/>
      <c r="GX49" s="74"/>
      <c r="GY49" s="167"/>
      <c r="GZ49" s="86"/>
    </row>
    <row r="50" spans="1:208" x14ac:dyDescent="0.25">
      <c r="A50"/>
      <c r="D50" s="35"/>
      <c r="E50" s="36"/>
      <c r="F50" s="37"/>
      <c r="G50" s="38"/>
      <c r="H50" s="39"/>
      <c r="I50" s="40"/>
      <c r="J50" s="68"/>
      <c r="K50" s="407"/>
      <c r="L50" s="70"/>
      <c r="M50" s="71"/>
      <c r="N50" s="56"/>
      <c r="O50" s="72"/>
      <c r="P50" s="113">
        <f t="shared" si="0"/>
        <v>0</v>
      </c>
      <c r="Q50" s="117"/>
      <c r="R50" s="117"/>
      <c r="S50" s="117"/>
      <c r="T50" s="39">
        <f>Q50*O50</f>
        <v>0</v>
      </c>
      <c r="U50" s="115"/>
      <c r="V50" s="112"/>
      <c r="W50" s="118"/>
      <c r="X50" s="17"/>
      <c r="Y50" s="20"/>
      <c r="Z50" s="92"/>
      <c r="AA50" s="93"/>
      <c r="AB50" s="92"/>
      <c r="AC50" s="94"/>
      <c r="AD50" s="95"/>
      <c r="AE50" s="17"/>
      <c r="AF50" s="17"/>
      <c r="AG50" s="17"/>
      <c r="AH50" s="20"/>
      <c r="AI50" s="92"/>
      <c r="AJ50" s="93"/>
      <c r="AK50" s="92"/>
      <c r="AL50" s="94"/>
      <c r="AM50" s="95"/>
      <c r="AN50" s="17"/>
      <c r="AO50" s="17"/>
      <c r="AP50" s="17"/>
      <c r="AQ50" s="20"/>
      <c r="AR50" s="92"/>
      <c r="AS50" s="93"/>
      <c r="AT50" s="92"/>
      <c r="AU50" s="94"/>
      <c r="AV50" s="95"/>
      <c r="AW50" s="17"/>
      <c r="AX50" s="17"/>
      <c r="AY50" s="17"/>
      <c r="AZ50" s="20"/>
      <c r="BA50" s="92"/>
      <c r="BB50" s="93"/>
      <c r="BC50" s="92"/>
      <c r="BD50" s="94"/>
      <c r="BE50" s="95"/>
      <c r="BF50" s="17"/>
      <c r="BG50" s="17"/>
      <c r="BH50" s="17"/>
      <c r="BI50" s="20"/>
      <c r="BJ50" s="92"/>
      <c r="BK50" s="93"/>
      <c r="BL50" s="92"/>
      <c r="BM50" s="94"/>
      <c r="BN50" s="95"/>
      <c r="BO50" s="17"/>
      <c r="BP50" s="17"/>
      <c r="BQ50" s="17"/>
      <c r="BR50" s="20"/>
      <c r="BS50" s="92"/>
      <c r="BT50" s="93"/>
      <c r="BU50" s="92"/>
      <c r="BV50" s="94"/>
      <c r="BW50" s="95"/>
      <c r="BX50" s="17"/>
      <c r="BY50" s="17"/>
      <c r="BZ50" s="17"/>
      <c r="CA50" s="20"/>
      <c r="CB50" s="92"/>
      <c r="CC50" s="93"/>
      <c r="CD50" s="92"/>
      <c r="CE50" s="94"/>
      <c r="CF50" s="95"/>
      <c r="CG50" s="17"/>
      <c r="CH50" s="17"/>
      <c r="CI50" s="17"/>
      <c r="CJ50" s="20"/>
      <c r="CK50" s="92"/>
      <c r="CL50" s="93"/>
      <c r="CM50" s="92"/>
      <c r="CN50" s="94"/>
      <c r="CO50" s="95"/>
      <c r="CP50" s="17"/>
      <c r="CQ50" s="17"/>
      <c r="CR50" s="17"/>
      <c r="CS50" s="20"/>
      <c r="CT50" s="92"/>
      <c r="CU50" s="93"/>
      <c r="CV50" s="92"/>
      <c r="CW50" s="94"/>
      <c r="CX50" s="95"/>
      <c r="CY50" s="17"/>
      <c r="CZ50" s="17"/>
      <c r="DA50" s="17"/>
      <c r="DB50" s="20"/>
      <c r="DC50" s="92"/>
      <c r="DD50" s="93"/>
      <c r="DE50" s="92"/>
      <c r="DF50" s="94"/>
      <c r="DG50" s="95"/>
      <c r="DH50" s="17"/>
      <c r="DI50" s="17"/>
      <c r="DJ50" s="17"/>
      <c r="DK50" s="20"/>
      <c r="DL50" s="92"/>
      <c r="DM50" s="93"/>
      <c r="DN50" s="92"/>
      <c r="DO50" s="94"/>
      <c r="DP50" s="95"/>
      <c r="DQ50" s="17"/>
      <c r="DR50" s="17"/>
      <c r="DS50" s="17"/>
      <c r="DT50" s="20"/>
      <c r="DU50" s="92"/>
      <c r="DV50" s="93"/>
      <c r="DW50" s="92"/>
      <c r="DX50" s="94"/>
      <c r="DY50" s="95"/>
      <c r="DZ50" s="17"/>
      <c r="EA50" s="17"/>
      <c r="EB50" s="17"/>
      <c r="EC50" s="20"/>
      <c r="ED50" s="92"/>
      <c r="EE50" s="93"/>
      <c r="EF50" s="92"/>
      <c r="EG50" s="94"/>
      <c r="EH50" s="95"/>
      <c r="EI50" s="17"/>
      <c r="EJ50" s="17"/>
      <c r="EK50" s="17"/>
      <c r="EL50" s="20"/>
      <c r="EM50" s="92"/>
      <c r="EN50" s="93"/>
      <c r="EO50" s="92"/>
      <c r="EP50" s="94"/>
      <c r="EQ50" s="95"/>
      <c r="ER50" s="17"/>
      <c r="ES50" s="17"/>
      <c r="ET50" s="17"/>
      <c r="EU50" s="20"/>
      <c r="EV50" s="92"/>
      <c r="EW50" s="93"/>
      <c r="EX50" s="92"/>
      <c r="EY50" s="94"/>
      <c r="EZ50" s="95"/>
      <c r="FA50" s="17"/>
      <c r="FB50" s="17"/>
      <c r="FC50" s="17"/>
      <c r="FD50" s="20"/>
      <c r="FE50" s="92"/>
      <c r="FF50" s="93"/>
      <c r="FG50" s="92"/>
      <c r="FH50" s="94"/>
      <c r="FI50" s="95"/>
      <c r="FJ50" s="17"/>
      <c r="FK50" s="17"/>
      <c r="FL50" s="17"/>
      <c r="FM50" s="20"/>
      <c r="FN50" s="92"/>
      <c r="FO50" s="93"/>
      <c r="FP50" s="92"/>
      <c r="FQ50" s="94"/>
      <c r="FR50" s="95"/>
      <c r="FS50" s="17"/>
      <c r="FT50" s="17"/>
      <c r="FU50" s="17"/>
      <c r="FV50" s="20"/>
      <c r="FW50" s="92"/>
      <c r="FX50" s="93"/>
      <c r="FY50" s="92"/>
      <c r="FZ50" s="94"/>
      <c r="GA50" s="95"/>
      <c r="GB50" s="17"/>
      <c r="GC50" s="17"/>
      <c r="GD50" s="17"/>
      <c r="GE50" s="20"/>
      <c r="GF50" s="92"/>
      <c r="GG50" s="93"/>
      <c r="GH50" s="92"/>
      <c r="GI50" s="94"/>
      <c r="GJ50" s="95"/>
      <c r="GK50" s="17"/>
      <c r="GL50" s="17"/>
      <c r="GM50" s="17"/>
      <c r="GN50" s="20"/>
      <c r="GO50" s="92"/>
      <c r="GP50" s="93"/>
      <c r="GQ50" s="92"/>
      <c r="GR50" s="94"/>
      <c r="GS50" s="95"/>
      <c r="GT50" s="128"/>
      <c r="GU50" s="98"/>
      <c r="GV50" s="129"/>
      <c r="GW50" s="74"/>
      <c r="GX50" s="74"/>
      <c r="GY50" s="167"/>
      <c r="GZ50" s="86"/>
    </row>
    <row r="51" spans="1:208" x14ac:dyDescent="0.25">
      <c r="A51"/>
      <c r="D51" s="35"/>
      <c r="E51" s="36"/>
      <c r="F51" s="37"/>
      <c r="G51" s="38"/>
      <c r="H51" s="39"/>
      <c r="I51" s="40"/>
      <c r="J51" s="68"/>
      <c r="K51" s="407"/>
      <c r="L51" s="70"/>
      <c r="M51" s="71"/>
      <c r="N51" s="56"/>
      <c r="O51" s="72"/>
      <c r="P51" s="113">
        <f t="shared" si="0"/>
        <v>0</v>
      </c>
      <c r="Q51" s="117"/>
      <c r="R51" s="117"/>
      <c r="S51" s="117"/>
      <c r="T51" s="39">
        <f>Q51*O51</f>
        <v>0</v>
      </c>
      <c r="U51" s="115"/>
      <c r="V51" s="112"/>
      <c r="W51" s="118"/>
      <c r="X51" s="17"/>
      <c r="Y51" s="20"/>
      <c r="Z51" s="92"/>
      <c r="AA51" s="93"/>
      <c r="AB51" s="92"/>
      <c r="AC51" s="94"/>
      <c r="AD51" s="95"/>
      <c r="AE51" s="17"/>
      <c r="AF51" s="17"/>
      <c r="AG51" s="17"/>
      <c r="AH51" s="20"/>
      <c r="AI51" s="92"/>
      <c r="AJ51" s="93"/>
      <c r="AK51" s="92"/>
      <c r="AL51" s="94"/>
      <c r="AM51" s="95"/>
      <c r="AN51" s="17"/>
      <c r="AO51" s="17"/>
      <c r="AP51" s="17"/>
      <c r="AQ51" s="20"/>
      <c r="AR51" s="92"/>
      <c r="AS51" s="93"/>
      <c r="AT51" s="92"/>
      <c r="AU51" s="94"/>
      <c r="AV51" s="95"/>
      <c r="AW51" s="17"/>
      <c r="AX51" s="17"/>
      <c r="AY51" s="17"/>
      <c r="AZ51" s="20"/>
      <c r="BA51" s="92"/>
      <c r="BB51" s="93"/>
      <c r="BC51" s="92"/>
      <c r="BD51" s="94"/>
      <c r="BE51" s="95"/>
      <c r="BF51" s="17"/>
      <c r="BG51" s="17"/>
      <c r="BH51" s="17"/>
      <c r="BI51" s="20"/>
      <c r="BJ51" s="92"/>
      <c r="BK51" s="93"/>
      <c r="BL51" s="92"/>
      <c r="BM51" s="94"/>
      <c r="BN51" s="95"/>
      <c r="BO51" s="17"/>
      <c r="BP51" s="17"/>
      <c r="BQ51" s="17"/>
      <c r="BR51" s="20"/>
      <c r="BS51" s="92"/>
      <c r="BT51" s="93"/>
      <c r="BU51" s="92"/>
      <c r="BV51" s="94"/>
      <c r="BW51" s="95"/>
      <c r="BX51" s="17"/>
      <c r="BY51" s="17"/>
      <c r="BZ51" s="17"/>
      <c r="CA51" s="20"/>
      <c r="CB51" s="92"/>
      <c r="CC51" s="93"/>
      <c r="CD51" s="92"/>
      <c r="CE51" s="94"/>
      <c r="CF51" s="95"/>
      <c r="CG51" s="17"/>
      <c r="CH51" s="17"/>
      <c r="CI51" s="17"/>
      <c r="CJ51" s="20"/>
      <c r="CK51" s="92"/>
      <c r="CL51" s="93"/>
      <c r="CM51" s="92"/>
      <c r="CN51" s="94"/>
      <c r="CO51" s="95"/>
      <c r="CP51" s="17"/>
      <c r="CQ51" s="17"/>
      <c r="CR51" s="17"/>
      <c r="CS51" s="20"/>
      <c r="CT51" s="92"/>
      <c r="CU51" s="93"/>
      <c r="CV51" s="92"/>
      <c r="CW51" s="94"/>
      <c r="CX51" s="95"/>
      <c r="CY51" s="17"/>
      <c r="CZ51" s="17"/>
      <c r="DA51" s="17"/>
      <c r="DB51" s="20"/>
      <c r="DC51" s="92"/>
      <c r="DD51" s="93"/>
      <c r="DE51" s="92"/>
      <c r="DF51" s="94"/>
      <c r="DG51" s="95"/>
      <c r="DH51" s="17"/>
      <c r="DI51" s="17"/>
      <c r="DJ51" s="17"/>
      <c r="DK51" s="20"/>
      <c r="DL51" s="92"/>
      <c r="DM51" s="93"/>
      <c r="DN51" s="92"/>
      <c r="DO51" s="94"/>
      <c r="DP51" s="95"/>
      <c r="DQ51" s="17"/>
      <c r="DR51" s="17"/>
      <c r="DS51" s="17"/>
      <c r="DT51" s="20"/>
      <c r="DU51" s="92"/>
      <c r="DV51" s="93"/>
      <c r="DW51" s="92"/>
      <c r="DX51" s="94"/>
      <c r="DY51" s="95"/>
      <c r="DZ51" s="17"/>
      <c r="EA51" s="17"/>
      <c r="EB51" s="17"/>
      <c r="EC51" s="20"/>
      <c r="ED51" s="92"/>
      <c r="EE51" s="93"/>
      <c r="EF51" s="92"/>
      <c r="EG51" s="94"/>
      <c r="EH51" s="95"/>
      <c r="EI51" s="17"/>
      <c r="EJ51" s="17"/>
      <c r="EK51" s="17"/>
      <c r="EL51" s="20"/>
      <c r="EM51" s="92"/>
      <c r="EN51" s="93"/>
      <c r="EO51" s="92"/>
      <c r="EP51" s="94"/>
      <c r="EQ51" s="95"/>
      <c r="ER51" s="17"/>
      <c r="ES51" s="17"/>
      <c r="ET51" s="17"/>
      <c r="EU51" s="20"/>
      <c r="EV51" s="92"/>
      <c r="EW51" s="93"/>
      <c r="EX51" s="92"/>
      <c r="EY51" s="94"/>
      <c r="EZ51" s="95"/>
      <c r="FA51" s="17"/>
      <c r="FB51" s="17"/>
      <c r="FC51" s="17"/>
      <c r="FD51" s="20"/>
      <c r="FE51" s="92"/>
      <c r="FF51" s="93"/>
      <c r="FG51" s="92"/>
      <c r="FH51" s="94"/>
      <c r="FI51" s="95"/>
      <c r="FJ51" s="17"/>
      <c r="FK51" s="17"/>
      <c r="FL51" s="17"/>
      <c r="FM51" s="20"/>
      <c r="FN51" s="92"/>
      <c r="FO51" s="93"/>
      <c r="FP51" s="92"/>
      <c r="FQ51" s="94"/>
      <c r="FR51" s="95"/>
      <c r="FS51" s="17"/>
      <c r="FT51" s="17"/>
      <c r="FU51" s="17"/>
      <c r="FV51" s="20"/>
      <c r="FW51" s="92"/>
      <c r="FX51" s="93"/>
      <c r="FY51" s="92"/>
      <c r="FZ51" s="94"/>
      <c r="GA51" s="95"/>
      <c r="GB51" s="17"/>
      <c r="GC51" s="17"/>
      <c r="GD51" s="17"/>
      <c r="GE51" s="20"/>
      <c r="GF51" s="92"/>
      <c r="GG51" s="93"/>
      <c r="GH51" s="92"/>
      <c r="GI51" s="94"/>
      <c r="GJ51" s="95"/>
      <c r="GK51" s="17"/>
      <c r="GL51" s="17"/>
      <c r="GM51" s="17"/>
      <c r="GN51" s="20"/>
      <c r="GO51" s="92"/>
      <c r="GP51" s="93"/>
      <c r="GQ51" s="92"/>
      <c r="GR51" s="94"/>
      <c r="GS51" s="95"/>
      <c r="GT51" s="97"/>
      <c r="GU51" s="98"/>
      <c r="GV51" s="130"/>
      <c r="GW51" s="74"/>
      <c r="GX51" s="74"/>
      <c r="GY51" s="167"/>
      <c r="GZ51" s="86"/>
    </row>
    <row r="52" spans="1:208" x14ac:dyDescent="0.25">
      <c r="A52"/>
      <c r="D52" s="35"/>
      <c r="E52" s="36"/>
      <c r="F52" s="37"/>
      <c r="G52" s="38"/>
      <c r="H52" s="39"/>
      <c r="I52" s="40"/>
      <c r="J52" s="68"/>
      <c r="K52" s="407"/>
      <c r="L52" s="70"/>
      <c r="M52" s="71"/>
      <c r="N52" s="56"/>
      <c r="O52" s="72"/>
      <c r="P52" s="113">
        <f t="shared" si="0"/>
        <v>0</v>
      </c>
      <c r="Q52" s="117"/>
      <c r="R52" s="117"/>
      <c r="S52" s="117"/>
      <c r="T52" s="39">
        <f>Q52*O52</f>
        <v>0</v>
      </c>
      <c r="U52" s="138"/>
      <c r="V52" s="139"/>
      <c r="W52" s="121"/>
      <c r="X52" s="17"/>
      <c r="Y52" s="20"/>
      <c r="Z52" s="92"/>
      <c r="AA52" s="93"/>
      <c r="AB52" s="92"/>
      <c r="AC52" s="94"/>
      <c r="AD52" s="95"/>
      <c r="AE52" s="17"/>
      <c r="AF52" s="17"/>
      <c r="AG52" s="17"/>
      <c r="AH52" s="20"/>
      <c r="AI52" s="92"/>
      <c r="AJ52" s="93"/>
      <c r="AK52" s="92"/>
      <c r="AL52" s="94"/>
      <c r="AM52" s="95"/>
      <c r="AN52" s="17"/>
      <c r="AO52" s="17"/>
      <c r="AP52" s="17"/>
      <c r="AQ52" s="20"/>
      <c r="AR52" s="92"/>
      <c r="AS52" s="93"/>
      <c r="AT52" s="92"/>
      <c r="AU52" s="94"/>
      <c r="AV52" s="95"/>
      <c r="AW52" s="17"/>
      <c r="AX52" s="17"/>
      <c r="AY52" s="17"/>
      <c r="AZ52" s="20"/>
      <c r="BA52" s="92"/>
      <c r="BB52" s="93"/>
      <c r="BC52" s="92"/>
      <c r="BD52" s="94"/>
      <c r="BE52" s="95"/>
      <c r="BF52" s="17"/>
      <c r="BG52" s="17"/>
      <c r="BH52" s="17"/>
      <c r="BI52" s="20"/>
      <c r="BJ52" s="92"/>
      <c r="BK52" s="93"/>
      <c r="BL52" s="92"/>
      <c r="BM52" s="94"/>
      <c r="BN52" s="95"/>
      <c r="BO52" s="17"/>
      <c r="BP52" s="17"/>
      <c r="BQ52" s="17"/>
      <c r="BR52" s="20"/>
      <c r="BS52" s="92"/>
      <c r="BT52" s="93"/>
      <c r="BU52" s="92"/>
      <c r="BV52" s="94"/>
      <c r="BW52" s="95"/>
      <c r="BX52" s="17"/>
      <c r="BY52" s="17"/>
      <c r="BZ52" s="17"/>
      <c r="CA52" s="20"/>
      <c r="CB52" s="92"/>
      <c r="CC52" s="93"/>
      <c r="CD52" s="92"/>
      <c r="CE52" s="94"/>
      <c r="CF52" s="95"/>
      <c r="CG52" s="17"/>
      <c r="CH52" s="17"/>
      <c r="CI52" s="17"/>
      <c r="CJ52" s="20"/>
      <c r="CK52" s="92"/>
      <c r="CL52" s="93"/>
      <c r="CM52" s="92"/>
      <c r="CN52" s="94"/>
      <c r="CO52" s="95"/>
      <c r="CP52" s="17"/>
      <c r="CQ52" s="17"/>
      <c r="CR52" s="17"/>
      <c r="CS52" s="20"/>
      <c r="CT52" s="92"/>
      <c r="CU52" s="93"/>
      <c r="CV52" s="92"/>
      <c r="CW52" s="94"/>
      <c r="CX52" s="95"/>
      <c r="CY52" s="17"/>
      <c r="CZ52" s="17"/>
      <c r="DA52" s="17"/>
      <c r="DB52" s="20"/>
      <c r="DC52" s="92"/>
      <c r="DD52" s="93"/>
      <c r="DE52" s="92"/>
      <c r="DF52" s="94"/>
      <c r="DG52" s="95"/>
      <c r="DH52" s="17"/>
      <c r="DI52" s="17"/>
      <c r="DJ52" s="17"/>
      <c r="DK52" s="20"/>
      <c r="DL52" s="92"/>
      <c r="DM52" s="93"/>
      <c r="DN52" s="92"/>
      <c r="DO52" s="94"/>
      <c r="DP52" s="95"/>
      <c r="DQ52" s="17"/>
      <c r="DR52" s="17"/>
      <c r="DS52" s="17"/>
      <c r="DT52" s="20"/>
      <c r="DU52" s="92"/>
      <c r="DV52" s="93"/>
      <c r="DW52" s="92"/>
      <c r="DX52" s="94"/>
      <c r="DY52" s="95"/>
      <c r="DZ52" s="17"/>
      <c r="EA52" s="17"/>
      <c r="EB52" s="17"/>
      <c r="EC52" s="20"/>
      <c r="ED52" s="92"/>
      <c r="EE52" s="93"/>
      <c r="EF52" s="92"/>
      <c r="EG52" s="94"/>
      <c r="EH52" s="95"/>
      <c r="EI52" s="17"/>
      <c r="EJ52" s="17"/>
      <c r="EK52" s="17"/>
      <c r="EL52" s="20"/>
      <c r="EM52" s="92"/>
      <c r="EN52" s="93"/>
      <c r="EO52" s="92"/>
      <c r="EP52" s="94"/>
      <c r="EQ52" s="95"/>
      <c r="ER52" s="17"/>
      <c r="ES52" s="17"/>
      <c r="ET52" s="17"/>
      <c r="EU52" s="20"/>
      <c r="EV52" s="92"/>
      <c r="EW52" s="93"/>
      <c r="EX52" s="92"/>
      <c r="EY52" s="94"/>
      <c r="EZ52" s="95"/>
      <c r="FA52" s="17"/>
      <c r="FB52" s="17"/>
      <c r="FC52" s="17"/>
      <c r="FD52" s="20"/>
      <c r="FE52" s="92"/>
      <c r="FF52" s="93"/>
      <c r="FG52" s="92"/>
      <c r="FH52" s="94"/>
      <c r="FI52" s="95"/>
      <c r="FJ52" s="17"/>
      <c r="FK52" s="17"/>
      <c r="FL52" s="17"/>
      <c r="FM52" s="20"/>
      <c r="FN52" s="92"/>
      <c r="FO52" s="93"/>
      <c r="FP52" s="92"/>
      <c r="FQ52" s="94"/>
      <c r="FR52" s="95"/>
      <c r="FS52" s="17"/>
      <c r="FT52" s="17"/>
      <c r="FU52" s="17"/>
      <c r="FV52" s="20"/>
      <c r="FW52" s="92"/>
      <c r="FX52" s="93"/>
      <c r="FY52" s="92"/>
      <c r="FZ52" s="94"/>
      <c r="GA52" s="95"/>
      <c r="GB52" s="17"/>
      <c r="GC52" s="17"/>
      <c r="GD52" s="17"/>
      <c r="GE52" s="20"/>
      <c r="GF52" s="92"/>
      <c r="GG52" s="93"/>
      <c r="GH52" s="92"/>
      <c r="GI52" s="94"/>
      <c r="GJ52" s="95"/>
      <c r="GK52" s="17"/>
      <c r="GL52" s="17"/>
      <c r="GM52" s="17"/>
      <c r="GN52" s="20"/>
      <c r="GO52" s="92"/>
      <c r="GP52" s="93"/>
      <c r="GQ52" s="92"/>
      <c r="GR52" s="94"/>
      <c r="GS52" s="95"/>
      <c r="GT52" s="97"/>
      <c r="GU52" s="98"/>
      <c r="GV52" s="130"/>
      <c r="GW52" s="74"/>
      <c r="GX52" s="74"/>
      <c r="GY52" s="167"/>
      <c r="GZ52" s="86"/>
    </row>
    <row r="53" spans="1:208" x14ac:dyDescent="0.25">
      <c r="A53"/>
      <c r="D53" s="35"/>
      <c r="E53" s="36"/>
      <c r="F53" s="37"/>
      <c r="G53" s="38"/>
      <c r="H53" s="39"/>
      <c r="I53" s="40"/>
      <c r="J53" s="68"/>
      <c r="K53" s="407"/>
      <c r="L53" s="70"/>
      <c r="M53" s="71"/>
      <c r="N53" s="56"/>
      <c r="O53" s="72"/>
      <c r="P53" s="113">
        <f t="shared" si="0"/>
        <v>0</v>
      </c>
      <c r="Q53" s="117"/>
      <c r="R53" s="117"/>
      <c r="S53" s="140"/>
      <c r="T53" s="39">
        <f t="shared" si="1"/>
        <v>0</v>
      </c>
      <c r="U53" s="138"/>
      <c r="V53" s="112"/>
      <c r="W53" s="121"/>
      <c r="X53" s="17"/>
      <c r="Y53" s="20"/>
      <c r="Z53" s="92"/>
      <c r="AA53" s="93"/>
      <c r="AB53" s="92"/>
      <c r="AC53" s="94"/>
      <c r="AD53" s="95"/>
      <c r="AE53" s="17"/>
      <c r="AF53" s="17"/>
      <c r="AG53" s="17"/>
      <c r="AH53" s="20"/>
      <c r="AI53" s="92"/>
      <c r="AJ53" s="93"/>
      <c r="AK53" s="92"/>
      <c r="AL53" s="94"/>
      <c r="AM53" s="95"/>
      <c r="AN53" s="17"/>
      <c r="AO53" s="17"/>
      <c r="AP53" s="17"/>
      <c r="AQ53" s="20"/>
      <c r="AR53" s="92"/>
      <c r="AS53" s="93"/>
      <c r="AT53" s="92"/>
      <c r="AU53" s="94"/>
      <c r="AV53" s="95"/>
      <c r="AW53" s="17"/>
      <c r="AX53" s="17"/>
      <c r="AY53" s="17"/>
      <c r="AZ53" s="20"/>
      <c r="BA53" s="92"/>
      <c r="BB53" s="93"/>
      <c r="BC53" s="92"/>
      <c r="BD53" s="94"/>
      <c r="BE53" s="95"/>
      <c r="BF53" s="17"/>
      <c r="BG53" s="17"/>
      <c r="BH53" s="17"/>
      <c r="BI53" s="20"/>
      <c r="BJ53" s="92"/>
      <c r="BK53" s="93"/>
      <c r="BL53" s="92"/>
      <c r="BM53" s="94"/>
      <c r="BN53" s="95"/>
      <c r="BO53" s="17"/>
      <c r="BP53" s="17"/>
      <c r="BQ53" s="17"/>
      <c r="BR53" s="20"/>
      <c r="BS53" s="92"/>
      <c r="BT53" s="93"/>
      <c r="BU53" s="92"/>
      <c r="BV53" s="94"/>
      <c r="BW53" s="95"/>
      <c r="BX53" s="17"/>
      <c r="BY53" s="17"/>
      <c r="BZ53" s="17"/>
      <c r="CA53" s="20"/>
      <c r="CB53" s="92"/>
      <c r="CC53" s="93"/>
      <c r="CD53" s="92"/>
      <c r="CE53" s="94"/>
      <c r="CF53" s="95"/>
      <c r="CG53" s="17"/>
      <c r="CH53" s="17"/>
      <c r="CI53" s="17"/>
      <c r="CJ53" s="20"/>
      <c r="CK53" s="92"/>
      <c r="CL53" s="93"/>
      <c r="CM53" s="92"/>
      <c r="CN53" s="94"/>
      <c r="CO53" s="95"/>
      <c r="CP53" s="17"/>
      <c r="CQ53" s="17"/>
      <c r="CR53" s="17"/>
      <c r="CS53" s="20"/>
      <c r="CT53" s="92"/>
      <c r="CU53" s="93"/>
      <c r="CV53" s="92"/>
      <c r="CW53" s="94"/>
      <c r="CX53" s="95"/>
      <c r="CY53" s="17"/>
      <c r="CZ53" s="17"/>
      <c r="DA53" s="17"/>
      <c r="DB53" s="20"/>
      <c r="DC53" s="92"/>
      <c r="DD53" s="93"/>
      <c r="DE53" s="92"/>
      <c r="DF53" s="94"/>
      <c r="DG53" s="95"/>
      <c r="DH53" s="17"/>
      <c r="DI53" s="17"/>
      <c r="DJ53" s="17"/>
      <c r="DK53" s="20"/>
      <c r="DL53" s="92"/>
      <c r="DM53" s="93"/>
      <c r="DN53" s="92"/>
      <c r="DO53" s="94"/>
      <c r="DP53" s="95"/>
      <c r="DQ53" s="17"/>
      <c r="DR53" s="17"/>
      <c r="DS53" s="17"/>
      <c r="DT53" s="20"/>
      <c r="DU53" s="92"/>
      <c r="DV53" s="93"/>
      <c r="DW53" s="92"/>
      <c r="DX53" s="94"/>
      <c r="DY53" s="95"/>
      <c r="DZ53" s="17"/>
      <c r="EA53" s="17"/>
      <c r="EB53" s="17"/>
      <c r="EC53" s="20"/>
      <c r="ED53" s="92"/>
      <c r="EE53" s="93"/>
      <c r="EF53" s="92"/>
      <c r="EG53" s="94"/>
      <c r="EH53" s="95"/>
      <c r="EI53" s="17"/>
      <c r="EJ53" s="17"/>
      <c r="EK53" s="17"/>
      <c r="EL53" s="20"/>
      <c r="EM53" s="92"/>
      <c r="EN53" s="93"/>
      <c r="EO53" s="92"/>
      <c r="EP53" s="94"/>
      <c r="EQ53" s="95"/>
      <c r="ER53" s="17"/>
      <c r="ES53" s="17"/>
      <c r="ET53" s="17"/>
      <c r="EU53" s="20"/>
      <c r="EV53" s="92"/>
      <c r="EW53" s="93"/>
      <c r="EX53" s="92"/>
      <c r="EY53" s="94"/>
      <c r="EZ53" s="95"/>
      <c r="FA53" s="17"/>
      <c r="FB53" s="17"/>
      <c r="FC53" s="17"/>
      <c r="FD53" s="20"/>
      <c r="FE53" s="92"/>
      <c r="FF53" s="93"/>
      <c r="FG53" s="92"/>
      <c r="FH53" s="94"/>
      <c r="FI53" s="95"/>
      <c r="FJ53" s="17"/>
      <c r="FK53" s="17"/>
      <c r="FL53" s="17"/>
      <c r="FM53" s="20"/>
      <c r="FN53" s="92"/>
      <c r="FO53" s="93"/>
      <c r="FP53" s="92"/>
      <c r="FQ53" s="94"/>
      <c r="FR53" s="95"/>
      <c r="FS53" s="17"/>
      <c r="FT53" s="17"/>
      <c r="FU53" s="17"/>
      <c r="FV53" s="20"/>
      <c r="FW53" s="92"/>
      <c r="FX53" s="93"/>
      <c r="FY53" s="92"/>
      <c r="FZ53" s="94"/>
      <c r="GA53" s="95"/>
      <c r="GB53" s="17"/>
      <c r="GC53" s="17"/>
      <c r="GD53" s="17"/>
      <c r="GE53" s="20"/>
      <c r="GF53" s="92"/>
      <c r="GG53" s="93"/>
      <c r="GH53" s="92"/>
      <c r="GI53" s="94"/>
      <c r="GJ53" s="95"/>
      <c r="GK53" s="17"/>
      <c r="GL53" s="17"/>
      <c r="GM53" s="17"/>
      <c r="GN53" s="20"/>
      <c r="GO53" s="92"/>
      <c r="GP53" s="93"/>
      <c r="GQ53" s="92"/>
      <c r="GR53" s="94"/>
      <c r="GS53" s="95"/>
      <c r="GT53" s="97"/>
      <c r="GU53" s="98"/>
      <c r="GV53" s="130"/>
      <c r="GW53" s="74"/>
      <c r="GX53" s="74"/>
      <c r="GY53" s="167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407"/>
      <c r="L54" s="70"/>
      <c r="M54" s="71"/>
      <c r="N54" s="56"/>
      <c r="O54" s="72"/>
      <c r="P54" s="113">
        <f t="shared" si="0"/>
        <v>0</v>
      </c>
      <c r="Q54" s="117"/>
      <c r="R54" s="117"/>
      <c r="S54" s="117"/>
      <c r="T54" s="39">
        <f t="shared" si="1"/>
        <v>0</v>
      </c>
      <c r="U54" s="138"/>
      <c r="V54" s="112"/>
      <c r="W54" s="121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97"/>
      <c r="GU54" s="98"/>
      <c r="GV54" s="130"/>
      <c r="GW54" s="141"/>
      <c r="GX54" s="141"/>
      <c r="GY54" s="167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407"/>
      <c r="L55" s="70"/>
      <c r="M55" s="71"/>
      <c r="N55" s="56"/>
      <c r="O55" s="72"/>
      <c r="P55" s="113">
        <f t="shared" si="0"/>
        <v>0</v>
      </c>
      <c r="Q55" s="117"/>
      <c r="R55" s="117"/>
      <c r="S55" s="117"/>
      <c r="T55" s="39">
        <f t="shared" si="1"/>
        <v>0</v>
      </c>
      <c r="U55" s="138"/>
      <c r="V55" s="112"/>
      <c r="W55" s="121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97"/>
      <c r="GU55" s="98"/>
      <c r="GV55" s="130"/>
      <c r="GW55" s="141"/>
      <c r="GX55" s="141"/>
      <c r="GY55" s="167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76"/>
      <c r="K56" s="407"/>
      <c r="L56" s="70"/>
      <c r="M56" s="71"/>
      <c r="N56" s="142"/>
      <c r="O56" s="72"/>
      <c r="P56" s="113">
        <f t="shared" si="0"/>
        <v>0</v>
      </c>
      <c r="Q56" s="117"/>
      <c r="R56" s="117"/>
      <c r="S56" s="117"/>
      <c r="T56" s="39">
        <f t="shared" si="1"/>
        <v>0</v>
      </c>
      <c r="U56" s="143"/>
      <c r="V56" s="144"/>
      <c r="W56" s="145"/>
      <c r="X56" s="146"/>
      <c r="Y56" s="147"/>
      <c r="Z56" s="148"/>
      <c r="AA56" s="149"/>
      <c r="AB56" s="148"/>
      <c r="AC56" s="150"/>
      <c r="AD56" s="151"/>
      <c r="AE56" s="146"/>
      <c r="AF56" s="146"/>
      <c r="AG56" s="146"/>
      <c r="AH56" s="147"/>
      <c r="AI56" s="148"/>
      <c r="AJ56" s="149"/>
      <c r="AK56" s="148"/>
      <c r="AL56" s="150"/>
      <c r="AM56" s="151"/>
      <c r="AN56" s="146"/>
      <c r="AO56" s="146"/>
      <c r="AP56" s="146"/>
      <c r="AQ56" s="147"/>
      <c r="AR56" s="148"/>
      <c r="AS56" s="149"/>
      <c r="AT56" s="148"/>
      <c r="AU56" s="150"/>
      <c r="AV56" s="151"/>
      <c r="AW56" s="146"/>
      <c r="AX56" s="146"/>
      <c r="AY56" s="146"/>
      <c r="AZ56" s="147"/>
      <c r="BA56" s="148"/>
      <c r="BB56" s="149"/>
      <c r="BC56" s="148"/>
      <c r="BD56" s="150"/>
      <c r="BE56" s="151"/>
      <c r="BF56" s="146"/>
      <c r="BG56" s="146"/>
      <c r="BH56" s="146"/>
      <c r="BI56" s="147"/>
      <c r="BJ56" s="148"/>
      <c r="BK56" s="149"/>
      <c r="BL56" s="148"/>
      <c r="BM56" s="150"/>
      <c r="BN56" s="151"/>
      <c r="BO56" s="146"/>
      <c r="BP56" s="146"/>
      <c r="BQ56" s="146"/>
      <c r="BR56" s="147"/>
      <c r="BS56" s="148"/>
      <c r="BT56" s="149"/>
      <c r="BU56" s="148"/>
      <c r="BV56" s="150"/>
      <c r="BW56" s="151"/>
      <c r="BX56" s="146"/>
      <c r="BY56" s="146"/>
      <c r="BZ56" s="146"/>
      <c r="CA56" s="147"/>
      <c r="CB56" s="148"/>
      <c r="CC56" s="149"/>
      <c r="CD56" s="148"/>
      <c r="CE56" s="150"/>
      <c r="CF56" s="151"/>
      <c r="CG56" s="146"/>
      <c r="CH56" s="146"/>
      <c r="CI56" s="146"/>
      <c r="CJ56" s="147"/>
      <c r="CK56" s="148"/>
      <c r="CL56" s="149"/>
      <c r="CM56" s="148"/>
      <c r="CN56" s="150"/>
      <c r="CO56" s="151"/>
      <c r="CP56" s="146"/>
      <c r="CQ56" s="146"/>
      <c r="CR56" s="146"/>
      <c r="CS56" s="147"/>
      <c r="CT56" s="148"/>
      <c r="CU56" s="149"/>
      <c r="CV56" s="148"/>
      <c r="CW56" s="150"/>
      <c r="CX56" s="151"/>
      <c r="CY56" s="146"/>
      <c r="CZ56" s="146"/>
      <c r="DA56" s="146"/>
      <c r="DB56" s="147"/>
      <c r="DC56" s="148"/>
      <c r="DD56" s="149"/>
      <c r="DE56" s="148"/>
      <c r="DF56" s="150"/>
      <c r="DG56" s="151"/>
      <c r="DH56" s="146"/>
      <c r="DI56" s="146"/>
      <c r="DJ56" s="146"/>
      <c r="DK56" s="147"/>
      <c r="DL56" s="148"/>
      <c r="DM56" s="149"/>
      <c r="DN56" s="148"/>
      <c r="DO56" s="150"/>
      <c r="DP56" s="151"/>
      <c r="DQ56" s="146"/>
      <c r="DR56" s="146"/>
      <c r="DS56" s="146"/>
      <c r="DT56" s="147"/>
      <c r="DU56" s="148"/>
      <c r="DV56" s="149"/>
      <c r="DW56" s="148"/>
      <c r="DX56" s="150"/>
      <c r="DY56" s="151"/>
      <c r="DZ56" s="146"/>
      <c r="EA56" s="146"/>
      <c r="EB56" s="146"/>
      <c r="EC56" s="147"/>
      <c r="ED56" s="148"/>
      <c r="EE56" s="149"/>
      <c r="EF56" s="148"/>
      <c r="EG56" s="150"/>
      <c r="EH56" s="151"/>
      <c r="EI56" s="146"/>
      <c r="EJ56" s="146"/>
      <c r="EK56" s="146"/>
      <c r="EL56" s="147"/>
      <c r="EM56" s="148"/>
      <c r="EN56" s="149"/>
      <c r="EO56" s="148"/>
      <c r="EP56" s="150"/>
      <c r="EQ56" s="151"/>
      <c r="ER56" s="146"/>
      <c r="ES56" s="146"/>
      <c r="ET56" s="146"/>
      <c r="EU56" s="147"/>
      <c r="EV56" s="148"/>
      <c r="EW56" s="149"/>
      <c r="EX56" s="148"/>
      <c r="EY56" s="150"/>
      <c r="EZ56" s="151"/>
      <c r="FA56" s="146"/>
      <c r="FB56" s="146"/>
      <c r="FC56" s="146"/>
      <c r="FD56" s="147"/>
      <c r="FE56" s="148"/>
      <c r="FF56" s="149"/>
      <c r="FG56" s="148"/>
      <c r="FH56" s="150"/>
      <c r="FI56" s="151"/>
      <c r="FJ56" s="146"/>
      <c r="FK56" s="146"/>
      <c r="FL56" s="146"/>
      <c r="FM56" s="147"/>
      <c r="FN56" s="148"/>
      <c r="FO56" s="149"/>
      <c r="FP56" s="148"/>
      <c r="FQ56" s="150"/>
      <c r="FR56" s="151"/>
      <c r="FS56" s="146"/>
      <c r="FT56" s="146"/>
      <c r="FU56" s="146"/>
      <c r="FV56" s="147"/>
      <c r="FW56" s="148"/>
      <c r="FX56" s="149"/>
      <c r="FY56" s="148"/>
      <c r="FZ56" s="150"/>
      <c r="GA56" s="151"/>
      <c r="GB56" s="146"/>
      <c r="GC56" s="146"/>
      <c r="GD56" s="146"/>
      <c r="GE56" s="147"/>
      <c r="GF56" s="148"/>
      <c r="GG56" s="149"/>
      <c r="GH56" s="148"/>
      <c r="GI56" s="150"/>
      <c r="GJ56" s="151"/>
      <c r="GK56" s="146"/>
      <c r="GL56" s="146"/>
      <c r="GM56" s="146"/>
      <c r="GN56" s="147"/>
      <c r="GO56" s="148"/>
      <c r="GP56" s="149"/>
      <c r="GQ56" s="148"/>
      <c r="GR56" s="150"/>
      <c r="GS56" s="151"/>
      <c r="GT56" s="152"/>
      <c r="GU56" s="131"/>
      <c r="GV56" s="153"/>
      <c r="GW56" s="141"/>
      <c r="GX56" s="141"/>
      <c r="GY56" s="167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407"/>
      <c r="L57" s="70"/>
      <c r="M57" s="71"/>
      <c r="N57" s="142"/>
      <c r="O57" s="72"/>
      <c r="P57" s="113">
        <f t="shared" si="0"/>
        <v>0</v>
      </c>
      <c r="Q57" s="117"/>
      <c r="R57" s="117"/>
      <c r="S57" s="117"/>
      <c r="T57" s="39">
        <f t="shared" si="1"/>
        <v>0</v>
      </c>
      <c r="U57" s="143"/>
      <c r="V57" s="154"/>
      <c r="W57" s="155"/>
      <c r="X57" s="146"/>
      <c r="Y57" s="147"/>
      <c r="Z57" s="148"/>
      <c r="AA57" s="149"/>
      <c r="AB57" s="148"/>
      <c r="AC57" s="150"/>
      <c r="AD57" s="151"/>
      <c r="AE57" s="146"/>
      <c r="AF57" s="146"/>
      <c r="AG57" s="146"/>
      <c r="AH57" s="147"/>
      <c r="AI57" s="148"/>
      <c r="AJ57" s="149"/>
      <c r="AK57" s="148"/>
      <c r="AL57" s="150"/>
      <c r="AM57" s="151"/>
      <c r="AN57" s="146"/>
      <c r="AO57" s="146"/>
      <c r="AP57" s="146"/>
      <c r="AQ57" s="147"/>
      <c r="AR57" s="148"/>
      <c r="AS57" s="149"/>
      <c r="AT57" s="148"/>
      <c r="AU57" s="150"/>
      <c r="AV57" s="151"/>
      <c r="AW57" s="146"/>
      <c r="AX57" s="146"/>
      <c r="AY57" s="146"/>
      <c r="AZ57" s="147"/>
      <c r="BA57" s="148"/>
      <c r="BB57" s="149"/>
      <c r="BC57" s="148"/>
      <c r="BD57" s="150"/>
      <c r="BE57" s="151"/>
      <c r="BF57" s="146"/>
      <c r="BG57" s="146"/>
      <c r="BH57" s="146"/>
      <c r="BI57" s="147"/>
      <c r="BJ57" s="148"/>
      <c r="BK57" s="149"/>
      <c r="BL57" s="148"/>
      <c r="BM57" s="150"/>
      <c r="BN57" s="151"/>
      <c r="BO57" s="146"/>
      <c r="BP57" s="146"/>
      <c r="BQ57" s="146"/>
      <c r="BR57" s="147"/>
      <c r="BS57" s="148"/>
      <c r="BT57" s="149"/>
      <c r="BU57" s="148"/>
      <c r="BV57" s="150"/>
      <c r="BW57" s="151"/>
      <c r="BX57" s="146"/>
      <c r="BY57" s="146"/>
      <c r="BZ57" s="146"/>
      <c r="CA57" s="147"/>
      <c r="CB57" s="148"/>
      <c r="CC57" s="149"/>
      <c r="CD57" s="148"/>
      <c r="CE57" s="150"/>
      <c r="CF57" s="151"/>
      <c r="CG57" s="146"/>
      <c r="CH57" s="146"/>
      <c r="CI57" s="146"/>
      <c r="CJ57" s="147"/>
      <c r="CK57" s="148"/>
      <c r="CL57" s="149"/>
      <c r="CM57" s="148"/>
      <c r="CN57" s="150"/>
      <c r="CO57" s="151"/>
      <c r="CP57" s="146"/>
      <c r="CQ57" s="146"/>
      <c r="CR57" s="146"/>
      <c r="CS57" s="147"/>
      <c r="CT57" s="148"/>
      <c r="CU57" s="149"/>
      <c r="CV57" s="148"/>
      <c r="CW57" s="150"/>
      <c r="CX57" s="151"/>
      <c r="CY57" s="146"/>
      <c r="CZ57" s="146"/>
      <c r="DA57" s="146"/>
      <c r="DB57" s="147"/>
      <c r="DC57" s="148"/>
      <c r="DD57" s="149"/>
      <c r="DE57" s="148"/>
      <c r="DF57" s="150"/>
      <c r="DG57" s="151"/>
      <c r="DH57" s="146"/>
      <c r="DI57" s="146"/>
      <c r="DJ57" s="146"/>
      <c r="DK57" s="147"/>
      <c r="DL57" s="148"/>
      <c r="DM57" s="149"/>
      <c r="DN57" s="148"/>
      <c r="DO57" s="150"/>
      <c r="DP57" s="151"/>
      <c r="DQ57" s="146"/>
      <c r="DR57" s="146"/>
      <c r="DS57" s="146"/>
      <c r="DT57" s="147"/>
      <c r="DU57" s="148"/>
      <c r="DV57" s="149"/>
      <c r="DW57" s="148"/>
      <c r="DX57" s="150"/>
      <c r="DY57" s="151"/>
      <c r="DZ57" s="146"/>
      <c r="EA57" s="146"/>
      <c r="EB57" s="146"/>
      <c r="EC57" s="147"/>
      <c r="ED57" s="148"/>
      <c r="EE57" s="149"/>
      <c r="EF57" s="148"/>
      <c r="EG57" s="150"/>
      <c r="EH57" s="151"/>
      <c r="EI57" s="146"/>
      <c r="EJ57" s="146"/>
      <c r="EK57" s="146"/>
      <c r="EL57" s="147"/>
      <c r="EM57" s="148"/>
      <c r="EN57" s="149"/>
      <c r="EO57" s="148"/>
      <c r="EP57" s="150"/>
      <c r="EQ57" s="151"/>
      <c r="ER57" s="146"/>
      <c r="ES57" s="146"/>
      <c r="ET57" s="146"/>
      <c r="EU57" s="147"/>
      <c r="EV57" s="148"/>
      <c r="EW57" s="149"/>
      <c r="EX57" s="148"/>
      <c r="EY57" s="150"/>
      <c r="EZ57" s="151"/>
      <c r="FA57" s="146"/>
      <c r="FB57" s="146"/>
      <c r="FC57" s="146"/>
      <c r="FD57" s="147"/>
      <c r="FE57" s="148"/>
      <c r="FF57" s="149"/>
      <c r="FG57" s="148"/>
      <c r="FH57" s="150"/>
      <c r="FI57" s="151"/>
      <c r="FJ57" s="146"/>
      <c r="FK57" s="146"/>
      <c r="FL57" s="146"/>
      <c r="FM57" s="147"/>
      <c r="FN57" s="148"/>
      <c r="FO57" s="149"/>
      <c r="FP57" s="148"/>
      <c r="FQ57" s="150"/>
      <c r="FR57" s="151"/>
      <c r="FS57" s="146"/>
      <c r="FT57" s="146"/>
      <c r="FU57" s="146"/>
      <c r="FV57" s="147"/>
      <c r="FW57" s="148"/>
      <c r="FX57" s="149"/>
      <c r="FY57" s="148"/>
      <c r="FZ57" s="150"/>
      <c r="GA57" s="151"/>
      <c r="GB57" s="146"/>
      <c r="GC57" s="146"/>
      <c r="GD57" s="146"/>
      <c r="GE57" s="147"/>
      <c r="GF57" s="148"/>
      <c r="GG57" s="149"/>
      <c r="GH57" s="148"/>
      <c r="GI57" s="150"/>
      <c r="GJ57" s="151"/>
      <c r="GK57" s="146"/>
      <c r="GL57" s="146"/>
      <c r="GM57" s="146"/>
      <c r="GN57" s="147"/>
      <c r="GO57" s="148"/>
      <c r="GP57" s="149"/>
      <c r="GQ57" s="148"/>
      <c r="GR57" s="150"/>
      <c r="GS57" s="151"/>
      <c r="GT57" s="154"/>
      <c r="GU57" s="156"/>
      <c r="GV57" s="153"/>
      <c r="GW57" s="141"/>
      <c r="GX57" s="141"/>
      <c r="GY57" s="167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68"/>
      <c r="K58" s="407"/>
      <c r="L58" s="70"/>
      <c r="M58" s="71"/>
      <c r="N58" s="142"/>
      <c r="O58" s="72"/>
      <c r="P58" s="113">
        <f t="shared" si="0"/>
        <v>0</v>
      </c>
      <c r="Q58" s="117"/>
      <c r="R58" s="117"/>
      <c r="S58" s="117"/>
      <c r="T58" s="39">
        <f t="shared" si="1"/>
        <v>0</v>
      </c>
      <c r="U58" s="143"/>
      <c r="V58" s="154"/>
      <c r="W58" s="157"/>
      <c r="X58" s="146"/>
      <c r="Y58" s="147"/>
      <c r="Z58" s="148"/>
      <c r="AA58" s="149"/>
      <c r="AB58" s="148"/>
      <c r="AC58" s="150"/>
      <c r="AD58" s="151"/>
      <c r="AE58" s="146"/>
      <c r="AF58" s="146"/>
      <c r="AG58" s="146"/>
      <c r="AH58" s="147"/>
      <c r="AI58" s="148"/>
      <c r="AJ58" s="149"/>
      <c r="AK58" s="148"/>
      <c r="AL58" s="150"/>
      <c r="AM58" s="151"/>
      <c r="AN58" s="146"/>
      <c r="AO58" s="146"/>
      <c r="AP58" s="146"/>
      <c r="AQ58" s="147"/>
      <c r="AR58" s="148"/>
      <c r="AS58" s="149"/>
      <c r="AT58" s="148"/>
      <c r="AU58" s="150"/>
      <c r="AV58" s="151"/>
      <c r="AW58" s="146"/>
      <c r="AX58" s="146"/>
      <c r="AY58" s="146"/>
      <c r="AZ58" s="147"/>
      <c r="BA58" s="148"/>
      <c r="BB58" s="149"/>
      <c r="BC58" s="148"/>
      <c r="BD58" s="150"/>
      <c r="BE58" s="151"/>
      <c r="BF58" s="146"/>
      <c r="BG58" s="146"/>
      <c r="BH58" s="146"/>
      <c r="BI58" s="147"/>
      <c r="BJ58" s="148"/>
      <c r="BK58" s="149"/>
      <c r="BL58" s="148"/>
      <c r="BM58" s="150"/>
      <c r="BN58" s="151"/>
      <c r="BO58" s="146"/>
      <c r="BP58" s="146"/>
      <c r="BQ58" s="146"/>
      <c r="BR58" s="147"/>
      <c r="BS58" s="148"/>
      <c r="BT58" s="149"/>
      <c r="BU58" s="148"/>
      <c r="BV58" s="150"/>
      <c r="BW58" s="151"/>
      <c r="BX58" s="146"/>
      <c r="BY58" s="146"/>
      <c r="BZ58" s="146"/>
      <c r="CA58" s="147"/>
      <c r="CB58" s="148"/>
      <c r="CC58" s="149"/>
      <c r="CD58" s="148"/>
      <c r="CE58" s="150"/>
      <c r="CF58" s="151"/>
      <c r="CG58" s="146"/>
      <c r="CH58" s="146"/>
      <c r="CI58" s="146"/>
      <c r="CJ58" s="147"/>
      <c r="CK58" s="148"/>
      <c r="CL58" s="149"/>
      <c r="CM58" s="148"/>
      <c r="CN58" s="150"/>
      <c r="CO58" s="151"/>
      <c r="CP58" s="146"/>
      <c r="CQ58" s="146"/>
      <c r="CR58" s="146"/>
      <c r="CS58" s="147"/>
      <c r="CT58" s="148"/>
      <c r="CU58" s="149"/>
      <c r="CV58" s="148"/>
      <c r="CW58" s="150"/>
      <c r="CX58" s="151"/>
      <c r="CY58" s="146"/>
      <c r="CZ58" s="146"/>
      <c r="DA58" s="146"/>
      <c r="DB58" s="147"/>
      <c r="DC58" s="148"/>
      <c r="DD58" s="149"/>
      <c r="DE58" s="148"/>
      <c r="DF58" s="150"/>
      <c r="DG58" s="151"/>
      <c r="DH58" s="146"/>
      <c r="DI58" s="146"/>
      <c r="DJ58" s="146"/>
      <c r="DK58" s="147"/>
      <c r="DL58" s="148"/>
      <c r="DM58" s="149"/>
      <c r="DN58" s="148"/>
      <c r="DO58" s="150"/>
      <c r="DP58" s="151"/>
      <c r="DQ58" s="146"/>
      <c r="DR58" s="146"/>
      <c r="DS58" s="146"/>
      <c r="DT58" s="147"/>
      <c r="DU58" s="148"/>
      <c r="DV58" s="149"/>
      <c r="DW58" s="148"/>
      <c r="DX58" s="150"/>
      <c r="DY58" s="151"/>
      <c r="DZ58" s="146"/>
      <c r="EA58" s="146"/>
      <c r="EB58" s="146"/>
      <c r="EC58" s="147"/>
      <c r="ED58" s="148"/>
      <c r="EE58" s="149"/>
      <c r="EF58" s="148"/>
      <c r="EG58" s="150"/>
      <c r="EH58" s="151"/>
      <c r="EI58" s="146"/>
      <c r="EJ58" s="146"/>
      <c r="EK58" s="146"/>
      <c r="EL58" s="147"/>
      <c r="EM58" s="148"/>
      <c r="EN58" s="149"/>
      <c r="EO58" s="148"/>
      <c r="EP58" s="150"/>
      <c r="EQ58" s="151"/>
      <c r="ER58" s="146"/>
      <c r="ES58" s="146"/>
      <c r="ET58" s="146"/>
      <c r="EU58" s="147"/>
      <c r="EV58" s="148"/>
      <c r="EW58" s="149"/>
      <c r="EX58" s="148"/>
      <c r="EY58" s="150"/>
      <c r="EZ58" s="151"/>
      <c r="FA58" s="146"/>
      <c r="FB58" s="146"/>
      <c r="FC58" s="146"/>
      <c r="FD58" s="147"/>
      <c r="FE58" s="148"/>
      <c r="FF58" s="149"/>
      <c r="FG58" s="148"/>
      <c r="FH58" s="150"/>
      <c r="FI58" s="151"/>
      <c r="FJ58" s="146"/>
      <c r="FK58" s="146"/>
      <c r="FL58" s="146"/>
      <c r="FM58" s="147"/>
      <c r="FN58" s="148"/>
      <c r="FO58" s="149"/>
      <c r="FP58" s="148"/>
      <c r="FQ58" s="150"/>
      <c r="FR58" s="151"/>
      <c r="FS58" s="146"/>
      <c r="FT58" s="146"/>
      <c r="FU58" s="146"/>
      <c r="FV58" s="147"/>
      <c r="FW58" s="148"/>
      <c r="FX58" s="149"/>
      <c r="FY58" s="148"/>
      <c r="FZ58" s="150"/>
      <c r="GA58" s="151"/>
      <c r="GB58" s="146"/>
      <c r="GC58" s="146"/>
      <c r="GD58" s="146"/>
      <c r="GE58" s="147"/>
      <c r="GF58" s="148"/>
      <c r="GG58" s="149"/>
      <c r="GH58" s="148"/>
      <c r="GI58" s="150"/>
      <c r="GJ58" s="151"/>
      <c r="GK58" s="146"/>
      <c r="GL58" s="146"/>
      <c r="GM58" s="146"/>
      <c r="GN58" s="147"/>
      <c r="GO58" s="148"/>
      <c r="GP58" s="149"/>
      <c r="GQ58" s="148"/>
      <c r="GR58" s="150"/>
      <c r="GS58" s="151"/>
      <c r="GT58" s="154"/>
      <c r="GU58" s="156"/>
      <c r="GV58" s="153"/>
      <c r="GW58" s="141"/>
      <c r="GX58" s="141"/>
      <c r="GY58" s="167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407"/>
      <c r="L59" s="70"/>
      <c r="M59" s="71"/>
      <c r="N59" s="142"/>
      <c r="O59" s="72"/>
      <c r="P59" s="113">
        <f t="shared" si="0"/>
        <v>0</v>
      </c>
      <c r="Q59" s="117"/>
      <c r="R59" s="117"/>
      <c r="S59" s="117"/>
      <c r="T59" s="39">
        <f t="shared" si="1"/>
        <v>0</v>
      </c>
      <c r="U59" s="143"/>
      <c r="V59" s="154"/>
      <c r="W59" s="155"/>
      <c r="X59" s="146"/>
      <c r="Y59" s="147"/>
      <c r="Z59" s="148"/>
      <c r="AA59" s="149"/>
      <c r="AB59" s="148"/>
      <c r="AC59" s="150"/>
      <c r="AD59" s="151"/>
      <c r="AE59" s="146"/>
      <c r="AF59" s="146"/>
      <c r="AG59" s="146"/>
      <c r="AH59" s="147"/>
      <c r="AI59" s="148"/>
      <c r="AJ59" s="149"/>
      <c r="AK59" s="148"/>
      <c r="AL59" s="150"/>
      <c r="AM59" s="151"/>
      <c r="AN59" s="146"/>
      <c r="AO59" s="146"/>
      <c r="AP59" s="146"/>
      <c r="AQ59" s="147"/>
      <c r="AR59" s="148"/>
      <c r="AS59" s="149"/>
      <c r="AT59" s="148"/>
      <c r="AU59" s="150"/>
      <c r="AV59" s="151"/>
      <c r="AW59" s="146"/>
      <c r="AX59" s="146"/>
      <c r="AY59" s="146"/>
      <c r="AZ59" s="147"/>
      <c r="BA59" s="148"/>
      <c r="BB59" s="149"/>
      <c r="BC59" s="148"/>
      <c r="BD59" s="150"/>
      <c r="BE59" s="151"/>
      <c r="BF59" s="146"/>
      <c r="BG59" s="146"/>
      <c r="BH59" s="146"/>
      <c r="BI59" s="147"/>
      <c r="BJ59" s="148"/>
      <c r="BK59" s="149"/>
      <c r="BL59" s="148"/>
      <c r="BM59" s="150"/>
      <c r="BN59" s="151"/>
      <c r="BO59" s="146"/>
      <c r="BP59" s="146"/>
      <c r="BQ59" s="146"/>
      <c r="BR59" s="147"/>
      <c r="BS59" s="148"/>
      <c r="BT59" s="149"/>
      <c r="BU59" s="148"/>
      <c r="BV59" s="150"/>
      <c r="BW59" s="151"/>
      <c r="BX59" s="146"/>
      <c r="BY59" s="146"/>
      <c r="BZ59" s="146"/>
      <c r="CA59" s="147"/>
      <c r="CB59" s="148"/>
      <c r="CC59" s="149"/>
      <c r="CD59" s="148"/>
      <c r="CE59" s="150"/>
      <c r="CF59" s="151"/>
      <c r="CG59" s="146"/>
      <c r="CH59" s="146"/>
      <c r="CI59" s="146"/>
      <c r="CJ59" s="147"/>
      <c r="CK59" s="148"/>
      <c r="CL59" s="149"/>
      <c r="CM59" s="148"/>
      <c r="CN59" s="150"/>
      <c r="CO59" s="151"/>
      <c r="CP59" s="146"/>
      <c r="CQ59" s="146"/>
      <c r="CR59" s="146"/>
      <c r="CS59" s="147"/>
      <c r="CT59" s="148"/>
      <c r="CU59" s="149"/>
      <c r="CV59" s="148"/>
      <c r="CW59" s="150"/>
      <c r="CX59" s="151"/>
      <c r="CY59" s="146"/>
      <c r="CZ59" s="146"/>
      <c r="DA59" s="146"/>
      <c r="DB59" s="147"/>
      <c r="DC59" s="148"/>
      <c r="DD59" s="149"/>
      <c r="DE59" s="148"/>
      <c r="DF59" s="150"/>
      <c r="DG59" s="151"/>
      <c r="DH59" s="146"/>
      <c r="DI59" s="146"/>
      <c r="DJ59" s="146"/>
      <c r="DK59" s="147"/>
      <c r="DL59" s="148"/>
      <c r="DM59" s="149"/>
      <c r="DN59" s="148"/>
      <c r="DO59" s="150"/>
      <c r="DP59" s="151"/>
      <c r="DQ59" s="146"/>
      <c r="DR59" s="146"/>
      <c r="DS59" s="146"/>
      <c r="DT59" s="147"/>
      <c r="DU59" s="148"/>
      <c r="DV59" s="149"/>
      <c r="DW59" s="148"/>
      <c r="DX59" s="150"/>
      <c r="DY59" s="151"/>
      <c r="DZ59" s="146"/>
      <c r="EA59" s="146"/>
      <c r="EB59" s="146"/>
      <c r="EC59" s="147"/>
      <c r="ED59" s="148"/>
      <c r="EE59" s="149"/>
      <c r="EF59" s="148"/>
      <c r="EG59" s="150"/>
      <c r="EH59" s="151"/>
      <c r="EI59" s="146"/>
      <c r="EJ59" s="146"/>
      <c r="EK59" s="146"/>
      <c r="EL59" s="147"/>
      <c r="EM59" s="148"/>
      <c r="EN59" s="149"/>
      <c r="EO59" s="148"/>
      <c r="EP59" s="150"/>
      <c r="EQ59" s="151"/>
      <c r="ER59" s="146"/>
      <c r="ES59" s="146"/>
      <c r="ET59" s="146"/>
      <c r="EU59" s="147"/>
      <c r="EV59" s="148"/>
      <c r="EW59" s="149"/>
      <c r="EX59" s="148"/>
      <c r="EY59" s="150"/>
      <c r="EZ59" s="151"/>
      <c r="FA59" s="146"/>
      <c r="FB59" s="146"/>
      <c r="FC59" s="146"/>
      <c r="FD59" s="147"/>
      <c r="FE59" s="148"/>
      <c r="FF59" s="149"/>
      <c r="FG59" s="148"/>
      <c r="FH59" s="150"/>
      <c r="FI59" s="151"/>
      <c r="FJ59" s="146"/>
      <c r="FK59" s="146"/>
      <c r="FL59" s="146"/>
      <c r="FM59" s="147"/>
      <c r="FN59" s="148"/>
      <c r="FO59" s="149"/>
      <c r="FP59" s="148"/>
      <c r="FQ59" s="150"/>
      <c r="FR59" s="151"/>
      <c r="FS59" s="146"/>
      <c r="FT59" s="146"/>
      <c r="FU59" s="146"/>
      <c r="FV59" s="147"/>
      <c r="FW59" s="148"/>
      <c r="FX59" s="149"/>
      <c r="FY59" s="148"/>
      <c r="FZ59" s="150"/>
      <c r="GA59" s="151"/>
      <c r="GB59" s="146"/>
      <c r="GC59" s="146"/>
      <c r="GD59" s="146"/>
      <c r="GE59" s="147"/>
      <c r="GF59" s="148"/>
      <c r="GG59" s="149"/>
      <c r="GH59" s="148"/>
      <c r="GI59" s="150"/>
      <c r="GJ59" s="151"/>
      <c r="GK59" s="146"/>
      <c r="GL59" s="146"/>
      <c r="GM59" s="146"/>
      <c r="GN59" s="147"/>
      <c r="GO59" s="148"/>
      <c r="GP59" s="149"/>
      <c r="GQ59" s="148"/>
      <c r="GR59" s="150"/>
      <c r="GS59" s="151"/>
      <c r="GT59" s="154"/>
      <c r="GU59" s="156"/>
      <c r="GV59" s="153"/>
      <c r="GW59" s="141"/>
      <c r="GX59" s="141"/>
      <c r="GY59" s="167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407"/>
      <c r="L60" s="70"/>
      <c r="M60" s="71"/>
      <c r="N60" s="142"/>
      <c r="O60" s="72"/>
      <c r="P60" s="113">
        <f t="shared" si="0"/>
        <v>0</v>
      </c>
      <c r="Q60" s="117"/>
      <c r="R60" s="117"/>
      <c r="S60" s="117"/>
      <c r="T60" s="39">
        <f t="shared" si="1"/>
        <v>0</v>
      </c>
      <c r="U60" s="143"/>
      <c r="V60" s="154"/>
      <c r="W60" s="155"/>
      <c r="X60" s="158"/>
      <c r="Y60" s="159"/>
      <c r="Z60" s="160"/>
      <c r="AA60" s="161"/>
      <c r="AB60" s="160"/>
      <c r="AC60" s="162"/>
      <c r="AD60" s="163"/>
      <c r="AE60" s="158"/>
      <c r="AF60" s="158"/>
      <c r="AG60" s="158"/>
      <c r="AH60" s="159"/>
      <c r="AI60" s="160"/>
      <c r="AJ60" s="161"/>
      <c r="AK60" s="160"/>
      <c r="AL60" s="162"/>
      <c r="AM60" s="163"/>
      <c r="AN60" s="158"/>
      <c r="AO60" s="158"/>
      <c r="AP60" s="158"/>
      <c r="AQ60" s="159"/>
      <c r="AR60" s="160"/>
      <c r="AS60" s="161"/>
      <c r="AT60" s="160"/>
      <c r="AU60" s="162"/>
      <c r="AV60" s="163"/>
      <c r="AW60" s="158"/>
      <c r="AX60" s="158"/>
      <c r="AY60" s="158"/>
      <c r="AZ60" s="159"/>
      <c r="BA60" s="160"/>
      <c r="BB60" s="161"/>
      <c r="BC60" s="160"/>
      <c r="BD60" s="162"/>
      <c r="BE60" s="163"/>
      <c r="BF60" s="158"/>
      <c r="BG60" s="158"/>
      <c r="BH60" s="158"/>
      <c r="BI60" s="159"/>
      <c r="BJ60" s="160"/>
      <c r="BK60" s="161"/>
      <c r="BL60" s="160"/>
      <c r="BM60" s="162"/>
      <c r="BN60" s="163"/>
      <c r="BO60" s="158"/>
      <c r="BP60" s="158"/>
      <c r="BQ60" s="158"/>
      <c r="BR60" s="159"/>
      <c r="BS60" s="160"/>
      <c r="BT60" s="161"/>
      <c r="BU60" s="160"/>
      <c r="BV60" s="162"/>
      <c r="BW60" s="163"/>
      <c r="BX60" s="158"/>
      <c r="BY60" s="158"/>
      <c r="BZ60" s="158"/>
      <c r="CA60" s="159"/>
      <c r="CB60" s="160"/>
      <c r="CC60" s="161"/>
      <c r="CD60" s="160"/>
      <c r="CE60" s="162"/>
      <c r="CF60" s="163"/>
      <c r="CG60" s="158"/>
      <c r="CH60" s="158"/>
      <c r="CI60" s="158"/>
      <c r="CJ60" s="159"/>
      <c r="CK60" s="160"/>
      <c r="CL60" s="161"/>
      <c r="CM60" s="160"/>
      <c r="CN60" s="162"/>
      <c r="CO60" s="163"/>
      <c r="CP60" s="158"/>
      <c r="CQ60" s="158"/>
      <c r="CR60" s="158"/>
      <c r="CS60" s="159"/>
      <c r="CT60" s="160"/>
      <c r="CU60" s="161"/>
      <c r="CV60" s="160"/>
      <c r="CW60" s="162"/>
      <c r="CX60" s="163"/>
      <c r="CY60" s="158"/>
      <c r="CZ60" s="158"/>
      <c r="DA60" s="158"/>
      <c r="DB60" s="159"/>
      <c r="DC60" s="160"/>
      <c r="DD60" s="161"/>
      <c r="DE60" s="160"/>
      <c r="DF60" s="162"/>
      <c r="DG60" s="163"/>
      <c r="DH60" s="158"/>
      <c r="DI60" s="158"/>
      <c r="DJ60" s="158"/>
      <c r="DK60" s="159"/>
      <c r="DL60" s="160"/>
      <c r="DM60" s="161"/>
      <c r="DN60" s="160"/>
      <c r="DO60" s="162"/>
      <c r="DP60" s="163"/>
      <c r="DQ60" s="158"/>
      <c r="DR60" s="158"/>
      <c r="DS60" s="158"/>
      <c r="DT60" s="159"/>
      <c r="DU60" s="160"/>
      <c r="DV60" s="161"/>
      <c r="DW60" s="160"/>
      <c r="DX60" s="162"/>
      <c r="DY60" s="163"/>
      <c r="DZ60" s="158"/>
      <c r="EA60" s="158"/>
      <c r="EB60" s="158"/>
      <c r="EC60" s="159"/>
      <c r="ED60" s="160"/>
      <c r="EE60" s="161"/>
      <c r="EF60" s="160"/>
      <c r="EG60" s="162"/>
      <c r="EH60" s="163"/>
      <c r="EI60" s="158"/>
      <c r="EJ60" s="158"/>
      <c r="EK60" s="158"/>
      <c r="EL60" s="159"/>
      <c r="EM60" s="160"/>
      <c r="EN60" s="161"/>
      <c r="EO60" s="160"/>
      <c r="EP60" s="162"/>
      <c r="EQ60" s="163"/>
      <c r="ER60" s="158"/>
      <c r="ES60" s="158"/>
      <c r="ET60" s="158"/>
      <c r="EU60" s="159"/>
      <c r="EV60" s="160"/>
      <c r="EW60" s="161"/>
      <c r="EX60" s="160"/>
      <c r="EY60" s="162"/>
      <c r="EZ60" s="163"/>
      <c r="FA60" s="158"/>
      <c r="FB60" s="158"/>
      <c r="FC60" s="158"/>
      <c r="FD60" s="159"/>
      <c r="FE60" s="160"/>
      <c r="FF60" s="161"/>
      <c r="FG60" s="160"/>
      <c r="FH60" s="162"/>
      <c r="FI60" s="163"/>
      <c r="FJ60" s="158"/>
      <c r="FK60" s="158"/>
      <c r="FL60" s="158"/>
      <c r="FM60" s="159"/>
      <c r="FN60" s="160"/>
      <c r="FO60" s="161"/>
      <c r="FP60" s="160"/>
      <c r="FQ60" s="162"/>
      <c r="FR60" s="163"/>
      <c r="FS60" s="158"/>
      <c r="FT60" s="158"/>
      <c r="FU60" s="158"/>
      <c r="FV60" s="159"/>
      <c r="FW60" s="160"/>
      <c r="FX60" s="161"/>
      <c r="FY60" s="160"/>
      <c r="FZ60" s="162"/>
      <c r="GA60" s="163"/>
      <c r="GB60" s="158"/>
      <c r="GC60" s="158"/>
      <c r="GD60" s="158"/>
      <c r="GE60" s="159"/>
      <c r="GF60" s="160"/>
      <c r="GG60" s="161"/>
      <c r="GH60" s="160"/>
      <c r="GI60" s="162"/>
      <c r="GJ60" s="163"/>
      <c r="GK60" s="158"/>
      <c r="GL60" s="158"/>
      <c r="GM60" s="158"/>
      <c r="GN60" s="159"/>
      <c r="GO60" s="160"/>
      <c r="GP60" s="161"/>
      <c r="GQ60" s="160"/>
      <c r="GR60" s="162"/>
      <c r="GS60" s="163"/>
      <c r="GT60" s="154"/>
      <c r="GU60" s="156"/>
      <c r="GV60" s="153"/>
      <c r="GW60" s="141"/>
      <c r="GX60" s="141"/>
      <c r="GY60" s="167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68"/>
      <c r="K61" s="407"/>
      <c r="L61" s="70"/>
      <c r="M61" s="71"/>
      <c r="N61" s="164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43"/>
      <c r="V61" s="154"/>
      <c r="W61" s="165"/>
      <c r="X61" s="158"/>
      <c r="Y61" s="159"/>
      <c r="Z61" s="160"/>
      <c r="AA61" s="161"/>
      <c r="AB61" s="160"/>
      <c r="AC61" s="162"/>
      <c r="AD61" s="163"/>
      <c r="AE61" s="158"/>
      <c r="AF61" s="158"/>
      <c r="AG61" s="158"/>
      <c r="AH61" s="159"/>
      <c r="AI61" s="160"/>
      <c r="AJ61" s="161"/>
      <c r="AK61" s="160"/>
      <c r="AL61" s="162"/>
      <c r="AM61" s="163"/>
      <c r="AN61" s="158"/>
      <c r="AO61" s="158"/>
      <c r="AP61" s="158"/>
      <c r="AQ61" s="159"/>
      <c r="AR61" s="160"/>
      <c r="AS61" s="161"/>
      <c r="AT61" s="160"/>
      <c r="AU61" s="162"/>
      <c r="AV61" s="163"/>
      <c r="AW61" s="158"/>
      <c r="AX61" s="158"/>
      <c r="AY61" s="158"/>
      <c r="AZ61" s="159"/>
      <c r="BA61" s="160"/>
      <c r="BB61" s="161"/>
      <c r="BC61" s="160"/>
      <c r="BD61" s="162"/>
      <c r="BE61" s="163"/>
      <c r="BF61" s="158"/>
      <c r="BG61" s="158"/>
      <c r="BH61" s="158"/>
      <c r="BI61" s="159"/>
      <c r="BJ61" s="160"/>
      <c r="BK61" s="161"/>
      <c r="BL61" s="160"/>
      <c r="BM61" s="162"/>
      <c r="BN61" s="163"/>
      <c r="BO61" s="158"/>
      <c r="BP61" s="158"/>
      <c r="BQ61" s="158"/>
      <c r="BR61" s="159"/>
      <c r="BS61" s="160"/>
      <c r="BT61" s="161"/>
      <c r="BU61" s="160"/>
      <c r="BV61" s="162"/>
      <c r="BW61" s="163"/>
      <c r="BX61" s="158"/>
      <c r="BY61" s="158"/>
      <c r="BZ61" s="158"/>
      <c r="CA61" s="159"/>
      <c r="CB61" s="160"/>
      <c r="CC61" s="161"/>
      <c r="CD61" s="160"/>
      <c r="CE61" s="162"/>
      <c r="CF61" s="163"/>
      <c r="CG61" s="158"/>
      <c r="CH61" s="158"/>
      <c r="CI61" s="158"/>
      <c r="CJ61" s="159"/>
      <c r="CK61" s="160"/>
      <c r="CL61" s="161"/>
      <c r="CM61" s="160"/>
      <c r="CN61" s="162"/>
      <c r="CO61" s="163"/>
      <c r="CP61" s="158"/>
      <c r="CQ61" s="158"/>
      <c r="CR61" s="158"/>
      <c r="CS61" s="159"/>
      <c r="CT61" s="160"/>
      <c r="CU61" s="161"/>
      <c r="CV61" s="160"/>
      <c r="CW61" s="162"/>
      <c r="CX61" s="163"/>
      <c r="CY61" s="158"/>
      <c r="CZ61" s="158"/>
      <c r="DA61" s="158"/>
      <c r="DB61" s="159"/>
      <c r="DC61" s="160"/>
      <c r="DD61" s="161"/>
      <c r="DE61" s="160"/>
      <c r="DF61" s="162"/>
      <c r="DG61" s="163"/>
      <c r="DH61" s="158"/>
      <c r="DI61" s="158"/>
      <c r="DJ61" s="158"/>
      <c r="DK61" s="159"/>
      <c r="DL61" s="160"/>
      <c r="DM61" s="161"/>
      <c r="DN61" s="160"/>
      <c r="DO61" s="162"/>
      <c r="DP61" s="163"/>
      <c r="DQ61" s="158"/>
      <c r="DR61" s="158"/>
      <c r="DS61" s="158"/>
      <c r="DT61" s="159"/>
      <c r="DU61" s="160"/>
      <c r="DV61" s="161"/>
      <c r="DW61" s="160"/>
      <c r="DX61" s="162"/>
      <c r="DY61" s="163"/>
      <c r="DZ61" s="158"/>
      <c r="EA61" s="158"/>
      <c r="EB61" s="158"/>
      <c r="EC61" s="159"/>
      <c r="ED61" s="160"/>
      <c r="EE61" s="161"/>
      <c r="EF61" s="160"/>
      <c r="EG61" s="162"/>
      <c r="EH61" s="163"/>
      <c r="EI61" s="158"/>
      <c r="EJ61" s="158"/>
      <c r="EK61" s="158"/>
      <c r="EL61" s="159"/>
      <c r="EM61" s="160"/>
      <c r="EN61" s="161"/>
      <c r="EO61" s="160"/>
      <c r="EP61" s="162"/>
      <c r="EQ61" s="163"/>
      <c r="ER61" s="158"/>
      <c r="ES61" s="158"/>
      <c r="ET61" s="158"/>
      <c r="EU61" s="159"/>
      <c r="EV61" s="160"/>
      <c r="EW61" s="161"/>
      <c r="EX61" s="160"/>
      <c r="EY61" s="162"/>
      <c r="EZ61" s="163"/>
      <c r="FA61" s="158"/>
      <c r="FB61" s="158"/>
      <c r="FC61" s="158"/>
      <c r="FD61" s="159"/>
      <c r="FE61" s="160"/>
      <c r="FF61" s="161"/>
      <c r="FG61" s="160"/>
      <c r="FH61" s="162"/>
      <c r="FI61" s="163"/>
      <c r="FJ61" s="158"/>
      <c r="FK61" s="158"/>
      <c r="FL61" s="158"/>
      <c r="FM61" s="159"/>
      <c r="FN61" s="160"/>
      <c r="FO61" s="161"/>
      <c r="FP61" s="160"/>
      <c r="FQ61" s="162"/>
      <c r="FR61" s="163"/>
      <c r="FS61" s="158"/>
      <c r="FT61" s="158"/>
      <c r="FU61" s="158"/>
      <c r="FV61" s="159"/>
      <c r="FW61" s="160"/>
      <c r="FX61" s="161"/>
      <c r="FY61" s="160"/>
      <c r="FZ61" s="162"/>
      <c r="GA61" s="163"/>
      <c r="GB61" s="158"/>
      <c r="GC61" s="158"/>
      <c r="GD61" s="158"/>
      <c r="GE61" s="159"/>
      <c r="GF61" s="160"/>
      <c r="GG61" s="161"/>
      <c r="GH61" s="160"/>
      <c r="GI61" s="162"/>
      <c r="GJ61" s="163"/>
      <c r="GK61" s="158"/>
      <c r="GL61" s="158"/>
      <c r="GM61" s="158"/>
      <c r="GN61" s="159"/>
      <c r="GO61" s="160"/>
      <c r="GP61" s="161"/>
      <c r="GQ61" s="160"/>
      <c r="GR61" s="162"/>
      <c r="GS61" s="163"/>
      <c r="GT61" s="154"/>
      <c r="GU61" s="156"/>
      <c r="GV61" s="153"/>
      <c r="GW61" s="66"/>
      <c r="GX61" s="66"/>
      <c r="GY61" s="167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407"/>
      <c r="L62" s="70"/>
      <c r="M62" s="71"/>
      <c r="N62" s="56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38"/>
      <c r="V62" s="166"/>
      <c r="W62" s="86"/>
      <c r="X62" s="68"/>
      <c r="Y62" s="167"/>
      <c r="Z62" s="168"/>
      <c r="AA62" s="169"/>
      <c r="AB62" s="168"/>
      <c r="AC62" s="170"/>
      <c r="AD62" s="171"/>
      <c r="AE62" s="68"/>
      <c r="AF62" s="68"/>
      <c r="AG62" s="68"/>
      <c r="AH62" s="167"/>
      <c r="AI62" s="168"/>
      <c r="AJ62" s="169"/>
      <c r="AK62" s="168"/>
      <c r="AL62" s="170"/>
      <c r="AM62" s="171"/>
      <c r="AN62" s="68"/>
      <c r="AO62" s="68"/>
      <c r="AP62" s="68"/>
      <c r="AQ62" s="167"/>
      <c r="AR62" s="168"/>
      <c r="AS62" s="169"/>
      <c r="AT62" s="168"/>
      <c r="AU62" s="170"/>
      <c r="AV62" s="171"/>
      <c r="AW62" s="68"/>
      <c r="AX62" s="68"/>
      <c r="AY62" s="68"/>
      <c r="AZ62" s="167"/>
      <c r="BA62" s="168"/>
      <c r="BB62" s="169"/>
      <c r="BC62" s="168"/>
      <c r="BD62" s="170"/>
      <c r="BE62" s="171"/>
      <c r="BF62" s="68"/>
      <c r="BG62" s="68"/>
      <c r="BH62" s="68"/>
      <c r="BI62" s="167"/>
      <c r="BJ62" s="168"/>
      <c r="BK62" s="169"/>
      <c r="BL62" s="168"/>
      <c r="BM62" s="170"/>
      <c r="BN62" s="171"/>
      <c r="BO62" s="68"/>
      <c r="BP62" s="68"/>
      <c r="BQ62" s="68"/>
      <c r="BR62" s="167"/>
      <c r="BS62" s="168"/>
      <c r="BT62" s="169"/>
      <c r="BU62" s="168"/>
      <c r="BV62" s="170"/>
      <c r="BW62" s="171"/>
      <c r="BX62" s="68"/>
      <c r="BY62" s="68"/>
      <c r="BZ62" s="68"/>
      <c r="CA62" s="167"/>
      <c r="CB62" s="168"/>
      <c r="CC62" s="169"/>
      <c r="CD62" s="168"/>
      <c r="CE62" s="170"/>
      <c r="CF62" s="171"/>
      <c r="CG62" s="68"/>
      <c r="CH62" s="68"/>
      <c r="CI62" s="68"/>
      <c r="CJ62" s="167"/>
      <c r="CK62" s="168"/>
      <c r="CL62" s="169"/>
      <c r="CM62" s="168"/>
      <c r="CN62" s="170"/>
      <c r="CO62" s="171"/>
      <c r="CP62" s="68"/>
      <c r="CQ62" s="68"/>
      <c r="CR62" s="68"/>
      <c r="CS62" s="167"/>
      <c r="CT62" s="168"/>
      <c r="CU62" s="169"/>
      <c r="CV62" s="168"/>
      <c r="CW62" s="170"/>
      <c r="CX62" s="171"/>
      <c r="CY62" s="68"/>
      <c r="CZ62" s="68"/>
      <c r="DA62" s="68"/>
      <c r="DB62" s="167"/>
      <c r="DC62" s="168"/>
      <c r="DD62" s="169"/>
      <c r="DE62" s="168"/>
      <c r="DF62" s="170"/>
      <c r="DG62" s="171"/>
      <c r="DH62" s="68"/>
      <c r="DI62" s="68"/>
      <c r="DJ62" s="68"/>
      <c r="DK62" s="167"/>
      <c r="DL62" s="168"/>
      <c r="DM62" s="169"/>
      <c r="DN62" s="168"/>
      <c r="DO62" s="170"/>
      <c r="DP62" s="171"/>
      <c r="DQ62" s="68"/>
      <c r="DR62" s="68"/>
      <c r="DS62" s="68"/>
      <c r="DT62" s="167"/>
      <c r="DU62" s="168"/>
      <c r="DV62" s="169"/>
      <c r="DW62" s="168"/>
      <c r="DX62" s="170"/>
      <c r="DY62" s="171"/>
      <c r="DZ62" s="68"/>
      <c r="EA62" s="68"/>
      <c r="EB62" s="68"/>
      <c r="EC62" s="167"/>
      <c r="ED62" s="168"/>
      <c r="EE62" s="169"/>
      <c r="EF62" s="168"/>
      <c r="EG62" s="170"/>
      <c r="EH62" s="171"/>
      <c r="EI62" s="68"/>
      <c r="EJ62" s="68"/>
      <c r="EK62" s="68"/>
      <c r="EL62" s="167"/>
      <c r="EM62" s="168"/>
      <c r="EN62" s="169"/>
      <c r="EO62" s="168"/>
      <c r="EP62" s="170"/>
      <c r="EQ62" s="171"/>
      <c r="ER62" s="68"/>
      <c r="ES62" s="68"/>
      <c r="ET62" s="68"/>
      <c r="EU62" s="167"/>
      <c r="EV62" s="168"/>
      <c r="EW62" s="169"/>
      <c r="EX62" s="168"/>
      <c r="EY62" s="170"/>
      <c r="EZ62" s="171"/>
      <c r="FA62" s="68"/>
      <c r="FB62" s="68"/>
      <c r="FC62" s="68"/>
      <c r="FD62" s="167"/>
      <c r="FE62" s="168"/>
      <c r="FF62" s="169"/>
      <c r="FG62" s="168"/>
      <c r="FH62" s="170"/>
      <c r="FI62" s="171"/>
      <c r="FJ62" s="68"/>
      <c r="FK62" s="68"/>
      <c r="FL62" s="68"/>
      <c r="FM62" s="167"/>
      <c r="FN62" s="168"/>
      <c r="FO62" s="169"/>
      <c r="FP62" s="168"/>
      <c r="FQ62" s="170"/>
      <c r="FR62" s="171"/>
      <c r="FS62" s="68"/>
      <c r="FT62" s="68"/>
      <c r="FU62" s="68"/>
      <c r="FV62" s="167"/>
      <c r="FW62" s="168"/>
      <c r="FX62" s="169"/>
      <c r="FY62" s="168"/>
      <c r="FZ62" s="170"/>
      <c r="GA62" s="171"/>
      <c r="GB62" s="68"/>
      <c r="GC62" s="68"/>
      <c r="GD62" s="68"/>
      <c r="GE62" s="167"/>
      <c r="GF62" s="168"/>
      <c r="GG62" s="169"/>
      <c r="GH62" s="168"/>
      <c r="GI62" s="170"/>
      <c r="GJ62" s="171"/>
      <c r="GK62" s="68"/>
      <c r="GL62" s="68"/>
      <c r="GM62" s="68"/>
      <c r="GN62" s="167"/>
      <c r="GO62" s="168"/>
      <c r="GP62" s="169"/>
      <c r="GQ62" s="168"/>
      <c r="GR62" s="170"/>
      <c r="GS62" s="171"/>
      <c r="GT62" s="166"/>
      <c r="GU62" s="64"/>
      <c r="GV62" s="65"/>
      <c r="GW62" s="66"/>
      <c r="GX62" s="66"/>
      <c r="GY62" s="167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68"/>
      <c r="K63" s="407"/>
      <c r="L63" s="70"/>
      <c r="M63" s="71"/>
      <c r="N63" s="56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38"/>
      <c r="V63" s="166"/>
      <c r="W63" s="86"/>
      <c r="X63" s="68"/>
      <c r="Y63" s="167"/>
      <c r="Z63" s="168"/>
      <c r="AA63" s="169"/>
      <c r="AB63" s="168"/>
      <c r="AC63" s="170"/>
      <c r="AD63" s="171"/>
      <c r="AE63" s="68"/>
      <c r="AF63" s="68"/>
      <c r="AG63" s="68"/>
      <c r="AH63" s="167"/>
      <c r="AI63" s="168"/>
      <c r="AJ63" s="169"/>
      <c r="AK63" s="168"/>
      <c r="AL63" s="170"/>
      <c r="AM63" s="171"/>
      <c r="AN63" s="68"/>
      <c r="AO63" s="68"/>
      <c r="AP63" s="68"/>
      <c r="AQ63" s="167"/>
      <c r="AR63" s="168"/>
      <c r="AS63" s="169"/>
      <c r="AT63" s="168"/>
      <c r="AU63" s="170"/>
      <c r="AV63" s="171"/>
      <c r="AW63" s="68"/>
      <c r="AX63" s="68"/>
      <c r="AY63" s="68"/>
      <c r="AZ63" s="167"/>
      <c r="BA63" s="168"/>
      <c r="BB63" s="169"/>
      <c r="BC63" s="168"/>
      <c r="BD63" s="170"/>
      <c r="BE63" s="171"/>
      <c r="BF63" s="68"/>
      <c r="BG63" s="68"/>
      <c r="BH63" s="68"/>
      <c r="BI63" s="167"/>
      <c r="BJ63" s="168"/>
      <c r="BK63" s="169"/>
      <c r="BL63" s="168"/>
      <c r="BM63" s="170"/>
      <c r="BN63" s="171"/>
      <c r="BO63" s="68"/>
      <c r="BP63" s="68"/>
      <c r="BQ63" s="68"/>
      <c r="BR63" s="167"/>
      <c r="BS63" s="168"/>
      <c r="BT63" s="169"/>
      <c r="BU63" s="168"/>
      <c r="BV63" s="170"/>
      <c r="BW63" s="171"/>
      <c r="BX63" s="68"/>
      <c r="BY63" s="68"/>
      <c r="BZ63" s="68"/>
      <c r="CA63" s="167"/>
      <c r="CB63" s="168"/>
      <c r="CC63" s="169"/>
      <c r="CD63" s="168"/>
      <c r="CE63" s="170"/>
      <c r="CF63" s="171"/>
      <c r="CG63" s="68"/>
      <c r="CH63" s="68"/>
      <c r="CI63" s="68"/>
      <c r="CJ63" s="167"/>
      <c r="CK63" s="168"/>
      <c r="CL63" s="169"/>
      <c r="CM63" s="168"/>
      <c r="CN63" s="170"/>
      <c r="CO63" s="171"/>
      <c r="CP63" s="68"/>
      <c r="CQ63" s="68"/>
      <c r="CR63" s="68"/>
      <c r="CS63" s="167"/>
      <c r="CT63" s="168"/>
      <c r="CU63" s="169"/>
      <c r="CV63" s="168"/>
      <c r="CW63" s="170"/>
      <c r="CX63" s="171"/>
      <c r="CY63" s="68"/>
      <c r="CZ63" s="68"/>
      <c r="DA63" s="68"/>
      <c r="DB63" s="167"/>
      <c r="DC63" s="168"/>
      <c r="DD63" s="169"/>
      <c r="DE63" s="168"/>
      <c r="DF63" s="170"/>
      <c r="DG63" s="171"/>
      <c r="DH63" s="68"/>
      <c r="DI63" s="68"/>
      <c r="DJ63" s="68"/>
      <c r="DK63" s="167"/>
      <c r="DL63" s="168"/>
      <c r="DM63" s="169"/>
      <c r="DN63" s="168"/>
      <c r="DO63" s="170"/>
      <c r="DP63" s="171"/>
      <c r="DQ63" s="68"/>
      <c r="DR63" s="68"/>
      <c r="DS63" s="68"/>
      <c r="DT63" s="167"/>
      <c r="DU63" s="168"/>
      <c r="DV63" s="169"/>
      <c r="DW63" s="168"/>
      <c r="DX63" s="170"/>
      <c r="DY63" s="171"/>
      <c r="DZ63" s="68"/>
      <c r="EA63" s="68"/>
      <c r="EB63" s="68"/>
      <c r="EC63" s="167"/>
      <c r="ED63" s="168"/>
      <c r="EE63" s="169"/>
      <c r="EF63" s="168"/>
      <c r="EG63" s="170"/>
      <c r="EH63" s="171"/>
      <c r="EI63" s="68"/>
      <c r="EJ63" s="68"/>
      <c r="EK63" s="68"/>
      <c r="EL63" s="167"/>
      <c r="EM63" s="168"/>
      <c r="EN63" s="169"/>
      <c r="EO63" s="168"/>
      <c r="EP63" s="170"/>
      <c r="EQ63" s="171"/>
      <c r="ER63" s="68"/>
      <c r="ES63" s="68"/>
      <c r="ET63" s="68"/>
      <c r="EU63" s="167"/>
      <c r="EV63" s="168"/>
      <c r="EW63" s="169"/>
      <c r="EX63" s="168"/>
      <c r="EY63" s="170"/>
      <c r="EZ63" s="171"/>
      <c r="FA63" s="68"/>
      <c r="FB63" s="68"/>
      <c r="FC63" s="68"/>
      <c r="FD63" s="167"/>
      <c r="FE63" s="168"/>
      <c r="FF63" s="169"/>
      <c r="FG63" s="168"/>
      <c r="FH63" s="170"/>
      <c r="FI63" s="171"/>
      <c r="FJ63" s="68"/>
      <c r="FK63" s="68"/>
      <c r="FL63" s="68"/>
      <c r="FM63" s="167"/>
      <c r="FN63" s="168"/>
      <c r="FO63" s="169"/>
      <c r="FP63" s="168"/>
      <c r="FQ63" s="170"/>
      <c r="FR63" s="171"/>
      <c r="FS63" s="68"/>
      <c r="FT63" s="68"/>
      <c r="FU63" s="68"/>
      <c r="FV63" s="167"/>
      <c r="FW63" s="168"/>
      <c r="FX63" s="169"/>
      <c r="FY63" s="168"/>
      <c r="FZ63" s="170"/>
      <c r="GA63" s="171"/>
      <c r="GB63" s="68"/>
      <c r="GC63" s="68"/>
      <c r="GD63" s="68"/>
      <c r="GE63" s="167"/>
      <c r="GF63" s="168"/>
      <c r="GG63" s="169"/>
      <c r="GH63" s="168"/>
      <c r="GI63" s="170"/>
      <c r="GJ63" s="171"/>
      <c r="GK63" s="68"/>
      <c r="GL63" s="68"/>
      <c r="GM63" s="68"/>
      <c r="GN63" s="167"/>
      <c r="GO63" s="168"/>
      <c r="GP63" s="169"/>
      <c r="GQ63" s="168"/>
      <c r="GR63" s="170"/>
      <c r="GS63" s="171"/>
      <c r="GT63" s="166"/>
      <c r="GU63" s="64"/>
      <c r="GV63" s="65"/>
      <c r="GW63" s="66"/>
      <c r="GX63" s="66"/>
      <c r="GY63" s="167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407"/>
      <c r="L64" s="70"/>
      <c r="M64" s="71"/>
      <c r="N64" s="56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38"/>
      <c r="V64" s="166"/>
      <c r="W64" s="86"/>
      <c r="X64" s="68"/>
      <c r="Y64" s="167"/>
      <c r="Z64" s="168"/>
      <c r="AA64" s="169"/>
      <c r="AB64" s="168"/>
      <c r="AC64" s="170"/>
      <c r="AD64" s="171"/>
      <c r="AE64" s="68"/>
      <c r="AF64" s="68"/>
      <c r="AG64" s="68"/>
      <c r="AH64" s="167"/>
      <c r="AI64" s="168"/>
      <c r="AJ64" s="169"/>
      <c r="AK64" s="168"/>
      <c r="AL64" s="170"/>
      <c r="AM64" s="171"/>
      <c r="AN64" s="68"/>
      <c r="AO64" s="68"/>
      <c r="AP64" s="68"/>
      <c r="AQ64" s="167"/>
      <c r="AR64" s="168"/>
      <c r="AS64" s="169"/>
      <c r="AT64" s="168"/>
      <c r="AU64" s="170"/>
      <c r="AV64" s="171"/>
      <c r="AW64" s="68"/>
      <c r="AX64" s="68"/>
      <c r="AY64" s="68"/>
      <c r="AZ64" s="167"/>
      <c r="BA64" s="168"/>
      <c r="BB64" s="169"/>
      <c r="BC64" s="168"/>
      <c r="BD64" s="170"/>
      <c r="BE64" s="171"/>
      <c r="BF64" s="68"/>
      <c r="BG64" s="68"/>
      <c r="BH64" s="68"/>
      <c r="BI64" s="167"/>
      <c r="BJ64" s="168"/>
      <c r="BK64" s="169"/>
      <c r="BL64" s="168"/>
      <c r="BM64" s="170"/>
      <c r="BN64" s="171"/>
      <c r="BO64" s="68"/>
      <c r="BP64" s="68"/>
      <c r="BQ64" s="68"/>
      <c r="BR64" s="167"/>
      <c r="BS64" s="168"/>
      <c r="BT64" s="169"/>
      <c r="BU64" s="168"/>
      <c r="BV64" s="170"/>
      <c r="BW64" s="171"/>
      <c r="BX64" s="68"/>
      <c r="BY64" s="68"/>
      <c r="BZ64" s="68"/>
      <c r="CA64" s="167"/>
      <c r="CB64" s="168"/>
      <c r="CC64" s="169"/>
      <c r="CD64" s="168"/>
      <c r="CE64" s="170"/>
      <c r="CF64" s="171"/>
      <c r="CG64" s="68"/>
      <c r="CH64" s="68"/>
      <c r="CI64" s="68"/>
      <c r="CJ64" s="167"/>
      <c r="CK64" s="168"/>
      <c r="CL64" s="169"/>
      <c r="CM64" s="168"/>
      <c r="CN64" s="170"/>
      <c r="CO64" s="171"/>
      <c r="CP64" s="68"/>
      <c r="CQ64" s="68"/>
      <c r="CR64" s="68"/>
      <c r="CS64" s="167"/>
      <c r="CT64" s="168"/>
      <c r="CU64" s="169"/>
      <c r="CV64" s="168"/>
      <c r="CW64" s="170"/>
      <c r="CX64" s="171"/>
      <c r="CY64" s="68"/>
      <c r="CZ64" s="68"/>
      <c r="DA64" s="68"/>
      <c r="DB64" s="167"/>
      <c r="DC64" s="168"/>
      <c r="DD64" s="169"/>
      <c r="DE64" s="168"/>
      <c r="DF64" s="170"/>
      <c r="DG64" s="171"/>
      <c r="DH64" s="68"/>
      <c r="DI64" s="68"/>
      <c r="DJ64" s="68"/>
      <c r="DK64" s="167"/>
      <c r="DL64" s="168"/>
      <c r="DM64" s="169"/>
      <c r="DN64" s="168"/>
      <c r="DO64" s="170"/>
      <c r="DP64" s="171"/>
      <c r="DQ64" s="68"/>
      <c r="DR64" s="68"/>
      <c r="DS64" s="68"/>
      <c r="DT64" s="167"/>
      <c r="DU64" s="168"/>
      <c r="DV64" s="169"/>
      <c r="DW64" s="168"/>
      <c r="DX64" s="170"/>
      <c r="DY64" s="171"/>
      <c r="DZ64" s="68"/>
      <c r="EA64" s="68"/>
      <c r="EB64" s="68"/>
      <c r="EC64" s="167"/>
      <c r="ED64" s="168"/>
      <c r="EE64" s="169"/>
      <c r="EF64" s="168"/>
      <c r="EG64" s="170"/>
      <c r="EH64" s="171"/>
      <c r="EI64" s="68"/>
      <c r="EJ64" s="68"/>
      <c r="EK64" s="68"/>
      <c r="EL64" s="167"/>
      <c r="EM64" s="168"/>
      <c r="EN64" s="169"/>
      <c r="EO64" s="168"/>
      <c r="EP64" s="170"/>
      <c r="EQ64" s="171"/>
      <c r="ER64" s="68"/>
      <c r="ES64" s="68"/>
      <c r="ET64" s="68"/>
      <c r="EU64" s="167"/>
      <c r="EV64" s="168"/>
      <c r="EW64" s="169"/>
      <c r="EX64" s="168"/>
      <c r="EY64" s="170"/>
      <c r="EZ64" s="171"/>
      <c r="FA64" s="68"/>
      <c r="FB64" s="68"/>
      <c r="FC64" s="68"/>
      <c r="FD64" s="167"/>
      <c r="FE64" s="168"/>
      <c r="FF64" s="169"/>
      <c r="FG64" s="168"/>
      <c r="FH64" s="170"/>
      <c r="FI64" s="171"/>
      <c r="FJ64" s="68"/>
      <c r="FK64" s="68"/>
      <c r="FL64" s="68"/>
      <c r="FM64" s="167"/>
      <c r="FN64" s="168"/>
      <c r="FO64" s="169"/>
      <c r="FP64" s="168"/>
      <c r="FQ64" s="170"/>
      <c r="FR64" s="171"/>
      <c r="FS64" s="68"/>
      <c r="FT64" s="68"/>
      <c r="FU64" s="68"/>
      <c r="FV64" s="167"/>
      <c r="FW64" s="168"/>
      <c r="FX64" s="169"/>
      <c r="FY64" s="168"/>
      <c r="FZ64" s="170"/>
      <c r="GA64" s="171"/>
      <c r="GB64" s="68"/>
      <c r="GC64" s="68"/>
      <c r="GD64" s="68"/>
      <c r="GE64" s="167"/>
      <c r="GF64" s="168"/>
      <c r="GG64" s="169"/>
      <c r="GH64" s="168"/>
      <c r="GI64" s="170"/>
      <c r="GJ64" s="171"/>
      <c r="GK64" s="68"/>
      <c r="GL64" s="68"/>
      <c r="GM64" s="68"/>
      <c r="GN64" s="167"/>
      <c r="GO64" s="168"/>
      <c r="GP64" s="169"/>
      <c r="GQ64" s="168"/>
      <c r="GR64" s="170"/>
      <c r="GS64" s="171"/>
      <c r="GT64" s="171"/>
      <c r="GU64" s="64"/>
      <c r="GV64" s="65"/>
      <c r="GW64" s="66"/>
      <c r="GX64" s="66"/>
      <c r="GY64" s="167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407"/>
      <c r="L65" s="70"/>
      <c r="M65" s="71"/>
      <c r="N65" s="56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38"/>
      <c r="V65" s="166"/>
      <c r="W65" s="86"/>
      <c r="X65" s="68"/>
      <c r="Y65" s="167"/>
      <c r="Z65" s="168"/>
      <c r="AA65" s="169"/>
      <c r="AB65" s="168"/>
      <c r="AC65" s="170"/>
      <c r="AD65" s="171"/>
      <c r="AE65" s="68"/>
      <c r="AF65" s="68"/>
      <c r="AG65" s="68"/>
      <c r="AH65" s="167"/>
      <c r="AI65" s="168"/>
      <c r="AJ65" s="169"/>
      <c r="AK65" s="168"/>
      <c r="AL65" s="170"/>
      <c r="AM65" s="171"/>
      <c r="AN65" s="68"/>
      <c r="AO65" s="68"/>
      <c r="AP65" s="68"/>
      <c r="AQ65" s="167"/>
      <c r="AR65" s="168"/>
      <c r="AS65" s="169"/>
      <c r="AT65" s="168"/>
      <c r="AU65" s="170"/>
      <c r="AV65" s="171"/>
      <c r="AW65" s="68"/>
      <c r="AX65" s="68"/>
      <c r="AY65" s="68"/>
      <c r="AZ65" s="167"/>
      <c r="BA65" s="168"/>
      <c r="BB65" s="169"/>
      <c r="BC65" s="168"/>
      <c r="BD65" s="170"/>
      <c r="BE65" s="171"/>
      <c r="BF65" s="68"/>
      <c r="BG65" s="68"/>
      <c r="BH65" s="68"/>
      <c r="BI65" s="167"/>
      <c r="BJ65" s="168"/>
      <c r="BK65" s="169"/>
      <c r="BL65" s="168"/>
      <c r="BM65" s="170"/>
      <c r="BN65" s="171"/>
      <c r="BO65" s="68"/>
      <c r="BP65" s="68"/>
      <c r="BQ65" s="68"/>
      <c r="BR65" s="167"/>
      <c r="BS65" s="168"/>
      <c r="BT65" s="169"/>
      <c r="BU65" s="168"/>
      <c r="BV65" s="170"/>
      <c r="BW65" s="171"/>
      <c r="BX65" s="68"/>
      <c r="BY65" s="68"/>
      <c r="BZ65" s="68"/>
      <c r="CA65" s="167"/>
      <c r="CB65" s="168"/>
      <c r="CC65" s="169"/>
      <c r="CD65" s="168"/>
      <c r="CE65" s="170"/>
      <c r="CF65" s="171"/>
      <c r="CG65" s="68"/>
      <c r="CH65" s="68"/>
      <c r="CI65" s="68"/>
      <c r="CJ65" s="167"/>
      <c r="CK65" s="168"/>
      <c r="CL65" s="169"/>
      <c r="CM65" s="168"/>
      <c r="CN65" s="170"/>
      <c r="CO65" s="171"/>
      <c r="CP65" s="68"/>
      <c r="CQ65" s="68"/>
      <c r="CR65" s="68"/>
      <c r="CS65" s="167"/>
      <c r="CT65" s="168"/>
      <c r="CU65" s="169"/>
      <c r="CV65" s="168"/>
      <c r="CW65" s="170"/>
      <c r="CX65" s="171"/>
      <c r="CY65" s="68"/>
      <c r="CZ65" s="68"/>
      <c r="DA65" s="68"/>
      <c r="DB65" s="167"/>
      <c r="DC65" s="168"/>
      <c r="DD65" s="169"/>
      <c r="DE65" s="168"/>
      <c r="DF65" s="170"/>
      <c r="DG65" s="171"/>
      <c r="DH65" s="68"/>
      <c r="DI65" s="68"/>
      <c r="DJ65" s="68"/>
      <c r="DK65" s="167"/>
      <c r="DL65" s="168"/>
      <c r="DM65" s="169"/>
      <c r="DN65" s="168"/>
      <c r="DO65" s="170"/>
      <c r="DP65" s="171"/>
      <c r="DQ65" s="68"/>
      <c r="DR65" s="68"/>
      <c r="DS65" s="68"/>
      <c r="DT65" s="167"/>
      <c r="DU65" s="168"/>
      <c r="DV65" s="169"/>
      <c r="DW65" s="168"/>
      <c r="DX65" s="170"/>
      <c r="DY65" s="171"/>
      <c r="DZ65" s="68"/>
      <c r="EA65" s="68"/>
      <c r="EB65" s="68"/>
      <c r="EC65" s="167"/>
      <c r="ED65" s="168"/>
      <c r="EE65" s="169"/>
      <c r="EF65" s="168"/>
      <c r="EG65" s="170"/>
      <c r="EH65" s="171"/>
      <c r="EI65" s="68"/>
      <c r="EJ65" s="68"/>
      <c r="EK65" s="68"/>
      <c r="EL65" s="167"/>
      <c r="EM65" s="168"/>
      <c r="EN65" s="169"/>
      <c r="EO65" s="168"/>
      <c r="EP65" s="170"/>
      <c r="EQ65" s="171"/>
      <c r="ER65" s="68"/>
      <c r="ES65" s="68"/>
      <c r="ET65" s="68"/>
      <c r="EU65" s="167"/>
      <c r="EV65" s="168"/>
      <c r="EW65" s="169"/>
      <c r="EX65" s="168"/>
      <c r="EY65" s="170"/>
      <c r="EZ65" s="171"/>
      <c r="FA65" s="68"/>
      <c r="FB65" s="68"/>
      <c r="FC65" s="68"/>
      <c r="FD65" s="167"/>
      <c r="FE65" s="168"/>
      <c r="FF65" s="169"/>
      <c r="FG65" s="168"/>
      <c r="FH65" s="170"/>
      <c r="FI65" s="171"/>
      <c r="FJ65" s="68"/>
      <c r="FK65" s="68"/>
      <c r="FL65" s="68"/>
      <c r="FM65" s="167"/>
      <c r="FN65" s="168"/>
      <c r="FO65" s="169"/>
      <c r="FP65" s="168"/>
      <c r="FQ65" s="170"/>
      <c r="FR65" s="171"/>
      <c r="FS65" s="68"/>
      <c r="FT65" s="68"/>
      <c r="FU65" s="68"/>
      <c r="FV65" s="167"/>
      <c r="FW65" s="168"/>
      <c r="FX65" s="169"/>
      <c r="FY65" s="168"/>
      <c r="FZ65" s="170"/>
      <c r="GA65" s="171"/>
      <c r="GB65" s="68"/>
      <c r="GC65" s="68"/>
      <c r="GD65" s="68"/>
      <c r="GE65" s="167"/>
      <c r="GF65" s="168"/>
      <c r="GG65" s="169"/>
      <c r="GH65" s="168"/>
      <c r="GI65" s="170"/>
      <c r="GJ65" s="171"/>
      <c r="GK65" s="68"/>
      <c r="GL65" s="68"/>
      <c r="GM65" s="68"/>
      <c r="GN65" s="167"/>
      <c r="GO65" s="168"/>
      <c r="GP65" s="169"/>
      <c r="GQ65" s="168"/>
      <c r="GR65" s="170"/>
      <c r="GS65" s="171"/>
      <c r="GT65" s="171"/>
      <c r="GU65" s="64"/>
      <c r="GV65" s="65"/>
      <c r="GW65" s="66"/>
      <c r="GX65" s="66"/>
      <c r="GY65" s="167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407"/>
      <c r="L66" s="70"/>
      <c r="M66" s="71"/>
      <c r="N66" s="56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38"/>
      <c r="V66" s="166"/>
      <c r="W66" s="86"/>
      <c r="X66" s="68"/>
      <c r="Y66" s="167"/>
      <c r="Z66" s="168"/>
      <c r="AA66" s="169"/>
      <c r="AB66" s="168"/>
      <c r="AC66" s="170"/>
      <c r="AD66" s="171"/>
      <c r="AE66" s="68"/>
      <c r="AF66" s="68"/>
      <c r="AG66" s="68"/>
      <c r="AH66" s="167"/>
      <c r="AI66" s="168"/>
      <c r="AJ66" s="169"/>
      <c r="AK66" s="168"/>
      <c r="AL66" s="170"/>
      <c r="AM66" s="171"/>
      <c r="AN66" s="68"/>
      <c r="AO66" s="68"/>
      <c r="AP66" s="68"/>
      <c r="AQ66" s="167"/>
      <c r="AR66" s="168"/>
      <c r="AS66" s="169"/>
      <c r="AT66" s="168"/>
      <c r="AU66" s="170"/>
      <c r="AV66" s="171"/>
      <c r="AW66" s="68"/>
      <c r="AX66" s="68"/>
      <c r="AY66" s="68"/>
      <c r="AZ66" s="167"/>
      <c r="BA66" s="168"/>
      <c r="BB66" s="169"/>
      <c r="BC66" s="168"/>
      <c r="BD66" s="170"/>
      <c r="BE66" s="171"/>
      <c r="BF66" s="68"/>
      <c r="BG66" s="68"/>
      <c r="BH66" s="68"/>
      <c r="BI66" s="167"/>
      <c r="BJ66" s="168"/>
      <c r="BK66" s="169"/>
      <c r="BL66" s="168"/>
      <c r="BM66" s="170"/>
      <c r="BN66" s="171"/>
      <c r="BO66" s="68"/>
      <c r="BP66" s="68"/>
      <c r="BQ66" s="68"/>
      <c r="BR66" s="167"/>
      <c r="BS66" s="168"/>
      <c r="BT66" s="169"/>
      <c r="BU66" s="168"/>
      <c r="BV66" s="170"/>
      <c r="BW66" s="171"/>
      <c r="BX66" s="68"/>
      <c r="BY66" s="68"/>
      <c r="BZ66" s="68"/>
      <c r="CA66" s="167"/>
      <c r="CB66" s="168"/>
      <c r="CC66" s="169"/>
      <c r="CD66" s="168"/>
      <c r="CE66" s="170"/>
      <c r="CF66" s="171"/>
      <c r="CG66" s="68"/>
      <c r="CH66" s="68"/>
      <c r="CI66" s="68"/>
      <c r="CJ66" s="167"/>
      <c r="CK66" s="168"/>
      <c r="CL66" s="169"/>
      <c r="CM66" s="168"/>
      <c r="CN66" s="170"/>
      <c r="CO66" s="171"/>
      <c r="CP66" s="68"/>
      <c r="CQ66" s="68"/>
      <c r="CR66" s="68"/>
      <c r="CS66" s="167"/>
      <c r="CT66" s="168"/>
      <c r="CU66" s="169"/>
      <c r="CV66" s="168"/>
      <c r="CW66" s="170"/>
      <c r="CX66" s="171"/>
      <c r="CY66" s="68"/>
      <c r="CZ66" s="68"/>
      <c r="DA66" s="68"/>
      <c r="DB66" s="167"/>
      <c r="DC66" s="168"/>
      <c r="DD66" s="169"/>
      <c r="DE66" s="168"/>
      <c r="DF66" s="170"/>
      <c r="DG66" s="171"/>
      <c r="DH66" s="68"/>
      <c r="DI66" s="68"/>
      <c r="DJ66" s="68"/>
      <c r="DK66" s="167"/>
      <c r="DL66" s="168"/>
      <c r="DM66" s="169"/>
      <c r="DN66" s="168"/>
      <c r="DO66" s="170"/>
      <c r="DP66" s="171"/>
      <c r="DQ66" s="68"/>
      <c r="DR66" s="68"/>
      <c r="DS66" s="68"/>
      <c r="DT66" s="167"/>
      <c r="DU66" s="168"/>
      <c r="DV66" s="169"/>
      <c r="DW66" s="168"/>
      <c r="DX66" s="170"/>
      <c r="DY66" s="171"/>
      <c r="DZ66" s="68"/>
      <c r="EA66" s="68"/>
      <c r="EB66" s="68"/>
      <c r="EC66" s="167"/>
      <c r="ED66" s="168"/>
      <c r="EE66" s="169"/>
      <c r="EF66" s="168"/>
      <c r="EG66" s="170"/>
      <c r="EH66" s="171"/>
      <c r="EI66" s="68"/>
      <c r="EJ66" s="68"/>
      <c r="EK66" s="68"/>
      <c r="EL66" s="167"/>
      <c r="EM66" s="168"/>
      <c r="EN66" s="169"/>
      <c r="EO66" s="168"/>
      <c r="EP66" s="170"/>
      <c r="EQ66" s="171"/>
      <c r="ER66" s="68"/>
      <c r="ES66" s="68"/>
      <c r="ET66" s="68"/>
      <c r="EU66" s="167"/>
      <c r="EV66" s="168"/>
      <c r="EW66" s="169"/>
      <c r="EX66" s="168"/>
      <c r="EY66" s="170"/>
      <c r="EZ66" s="171"/>
      <c r="FA66" s="68"/>
      <c r="FB66" s="68"/>
      <c r="FC66" s="68"/>
      <c r="FD66" s="167"/>
      <c r="FE66" s="168"/>
      <c r="FF66" s="169"/>
      <c r="FG66" s="168"/>
      <c r="FH66" s="170"/>
      <c r="FI66" s="171"/>
      <c r="FJ66" s="68"/>
      <c r="FK66" s="68"/>
      <c r="FL66" s="68"/>
      <c r="FM66" s="167"/>
      <c r="FN66" s="168"/>
      <c r="FO66" s="169"/>
      <c r="FP66" s="168"/>
      <c r="FQ66" s="170"/>
      <c r="FR66" s="171"/>
      <c r="FS66" s="68"/>
      <c r="FT66" s="68"/>
      <c r="FU66" s="68"/>
      <c r="FV66" s="167"/>
      <c r="FW66" s="168"/>
      <c r="FX66" s="169"/>
      <c r="FY66" s="168"/>
      <c r="FZ66" s="170"/>
      <c r="GA66" s="171"/>
      <c r="GB66" s="68"/>
      <c r="GC66" s="68"/>
      <c r="GD66" s="68"/>
      <c r="GE66" s="167"/>
      <c r="GF66" s="168"/>
      <c r="GG66" s="169"/>
      <c r="GH66" s="168"/>
      <c r="GI66" s="170"/>
      <c r="GJ66" s="171"/>
      <c r="GK66" s="68"/>
      <c r="GL66" s="68"/>
      <c r="GM66" s="68"/>
      <c r="GN66" s="167"/>
      <c r="GO66" s="168"/>
      <c r="GP66" s="169"/>
      <c r="GQ66" s="168"/>
      <c r="GR66" s="170"/>
      <c r="GS66" s="171"/>
      <c r="GT66" s="171"/>
      <c r="GU66" s="64"/>
      <c r="GV66" s="65"/>
      <c r="GW66" s="66"/>
      <c r="GX66" s="66"/>
      <c r="GY66" s="167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407"/>
      <c r="L67" s="70"/>
      <c r="M67" s="71"/>
      <c r="N67" s="56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38"/>
      <c r="V67" s="166"/>
      <c r="W67" s="86"/>
      <c r="X67" s="68"/>
      <c r="Y67" s="167"/>
      <c r="Z67" s="168"/>
      <c r="AA67" s="169"/>
      <c r="AB67" s="168"/>
      <c r="AC67" s="170"/>
      <c r="AD67" s="171"/>
      <c r="AE67" s="68"/>
      <c r="AF67" s="68"/>
      <c r="AG67" s="68"/>
      <c r="AH67" s="167"/>
      <c r="AI67" s="168"/>
      <c r="AJ67" s="169"/>
      <c r="AK67" s="168"/>
      <c r="AL67" s="170"/>
      <c r="AM67" s="171"/>
      <c r="AN67" s="68"/>
      <c r="AO67" s="68"/>
      <c r="AP67" s="68"/>
      <c r="AQ67" s="167"/>
      <c r="AR67" s="168"/>
      <c r="AS67" s="169"/>
      <c r="AT67" s="168"/>
      <c r="AU67" s="170"/>
      <c r="AV67" s="171"/>
      <c r="AW67" s="68"/>
      <c r="AX67" s="68"/>
      <c r="AY67" s="68"/>
      <c r="AZ67" s="167"/>
      <c r="BA67" s="168"/>
      <c r="BB67" s="169"/>
      <c r="BC67" s="168"/>
      <c r="BD67" s="170"/>
      <c r="BE67" s="171"/>
      <c r="BF67" s="68"/>
      <c r="BG67" s="68"/>
      <c r="BH67" s="68"/>
      <c r="BI67" s="167"/>
      <c r="BJ67" s="168"/>
      <c r="BK67" s="169"/>
      <c r="BL67" s="168"/>
      <c r="BM67" s="170"/>
      <c r="BN67" s="171"/>
      <c r="BO67" s="68"/>
      <c r="BP67" s="68"/>
      <c r="BQ67" s="68"/>
      <c r="BR67" s="167"/>
      <c r="BS67" s="168"/>
      <c r="BT67" s="169"/>
      <c r="BU67" s="168"/>
      <c r="BV67" s="170"/>
      <c r="BW67" s="171"/>
      <c r="BX67" s="68"/>
      <c r="BY67" s="68"/>
      <c r="BZ67" s="68"/>
      <c r="CA67" s="167"/>
      <c r="CB67" s="168"/>
      <c r="CC67" s="169"/>
      <c r="CD67" s="168"/>
      <c r="CE67" s="170"/>
      <c r="CF67" s="171"/>
      <c r="CG67" s="68"/>
      <c r="CH67" s="68"/>
      <c r="CI67" s="68"/>
      <c r="CJ67" s="167"/>
      <c r="CK67" s="168"/>
      <c r="CL67" s="169"/>
      <c r="CM67" s="168"/>
      <c r="CN67" s="170"/>
      <c r="CO67" s="171"/>
      <c r="CP67" s="68"/>
      <c r="CQ67" s="68"/>
      <c r="CR67" s="68"/>
      <c r="CS67" s="167"/>
      <c r="CT67" s="168"/>
      <c r="CU67" s="169"/>
      <c r="CV67" s="168"/>
      <c r="CW67" s="170"/>
      <c r="CX67" s="171"/>
      <c r="CY67" s="68"/>
      <c r="CZ67" s="68"/>
      <c r="DA67" s="68"/>
      <c r="DB67" s="167"/>
      <c r="DC67" s="168"/>
      <c r="DD67" s="169"/>
      <c r="DE67" s="168"/>
      <c r="DF67" s="170"/>
      <c r="DG67" s="171"/>
      <c r="DH67" s="68"/>
      <c r="DI67" s="68"/>
      <c r="DJ67" s="68"/>
      <c r="DK67" s="167"/>
      <c r="DL67" s="168"/>
      <c r="DM67" s="169"/>
      <c r="DN67" s="168"/>
      <c r="DO67" s="170"/>
      <c r="DP67" s="171"/>
      <c r="DQ67" s="68"/>
      <c r="DR67" s="68"/>
      <c r="DS67" s="68"/>
      <c r="DT67" s="167"/>
      <c r="DU67" s="168"/>
      <c r="DV67" s="169"/>
      <c r="DW67" s="168"/>
      <c r="DX67" s="170"/>
      <c r="DY67" s="171"/>
      <c r="DZ67" s="68"/>
      <c r="EA67" s="68"/>
      <c r="EB67" s="68"/>
      <c r="EC67" s="167"/>
      <c r="ED67" s="168"/>
      <c r="EE67" s="169"/>
      <c r="EF67" s="168"/>
      <c r="EG67" s="170"/>
      <c r="EH67" s="171"/>
      <c r="EI67" s="68"/>
      <c r="EJ67" s="68"/>
      <c r="EK67" s="68"/>
      <c r="EL67" s="167"/>
      <c r="EM67" s="168"/>
      <c r="EN67" s="169"/>
      <c r="EO67" s="168"/>
      <c r="EP67" s="170"/>
      <c r="EQ67" s="171"/>
      <c r="ER67" s="68"/>
      <c r="ES67" s="68"/>
      <c r="ET67" s="68"/>
      <c r="EU67" s="167"/>
      <c r="EV67" s="168"/>
      <c r="EW67" s="169"/>
      <c r="EX67" s="168"/>
      <c r="EY67" s="170"/>
      <c r="EZ67" s="171"/>
      <c r="FA67" s="68"/>
      <c r="FB67" s="68"/>
      <c r="FC67" s="68"/>
      <c r="FD67" s="167"/>
      <c r="FE67" s="168"/>
      <c r="FF67" s="169"/>
      <c r="FG67" s="168"/>
      <c r="FH67" s="170"/>
      <c r="FI67" s="171"/>
      <c r="FJ67" s="68"/>
      <c r="FK67" s="68"/>
      <c r="FL67" s="68"/>
      <c r="FM67" s="167"/>
      <c r="FN67" s="168"/>
      <c r="FO67" s="169"/>
      <c r="FP67" s="168"/>
      <c r="FQ67" s="170"/>
      <c r="FR67" s="171"/>
      <c r="FS67" s="68"/>
      <c r="FT67" s="68"/>
      <c r="FU67" s="68"/>
      <c r="FV67" s="167"/>
      <c r="FW67" s="168"/>
      <c r="FX67" s="169"/>
      <c r="FY67" s="168"/>
      <c r="FZ67" s="170"/>
      <c r="GA67" s="171"/>
      <c r="GB67" s="68"/>
      <c r="GC67" s="68"/>
      <c r="GD67" s="68"/>
      <c r="GE67" s="167"/>
      <c r="GF67" s="168"/>
      <c r="GG67" s="169"/>
      <c r="GH67" s="168"/>
      <c r="GI67" s="170"/>
      <c r="GJ67" s="171"/>
      <c r="GK67" s="68"/>
      <c r="GL67" s="68"/>
      <c r="GM67" s="68"/>
      <c r="GN67" s="167"/>
      <c r="GO67" s="168"/>
      <c r="GP67" s="169"/>
      <c r="GQ67" s="168"/>
      <c r="GR67" s="170"/>
      <c r="GS67" s="171"/>
      <c r="GT67" s="171"/>
      <c r="GU67" s="64"/>
      <c r="GV67" s="65"/>
      <c r="GW67" s="66"/>
      <c r="GX67" s="66"/>
      <c r="GY67" s="167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407"/>
      <c r="L68" s="70"/>
      <c r="M68" s="71"/>
      <c r="N68" s="56"/>
      <c r="O68" s="72"/>
      <c r="P68" s="113">
        <f t="shared" ref="P68:P70" si="4">O68-L68</f>
        <v>0</v>
      </c>
      <c r="Q68" s="117"/>
      <c r="R68" s="117"/>
      <c r="S68" s="117"/>
      <c r="T68" s="39">
        <f t="shared" si="1"/>
        <v>0</v>
      </c>
      <c r="U68" s="138"/>
      <c r="V68" s="172"/>
      <c r="W68" s="86"/>
      <c r="X68" s="68"/>
      <c r="Y68" s="167"/>
      <c r="Z68" s="168"/>
      <c r="AA68" s="169"/>
      <c r="AB68" s="168"/>
      <c r="AC68" s="170"/>
      <c r="AD68" s="171"/>
      <c r="AE68" s="68"/>
      <c r="AF68" s="68"/>
      <c r="AG68" s="68"/>
      <c r="AH68" s="167"/>
      <c r="AI68" s="168"/>
      <c r="AJ68" s="169"/>
      <c r="AK68" s="168"/>
      <c r="AL68" s="170"/>
      <c r="AM68" s="171"/>
      <c r="AN68" s="68"/>
      <c r="AO68" s="68"/>
      <c r="AP68" s="68"/>
      <c r="AQ68" s="167"/>
      <c r="AR68" s="168"/>
      <c r="AS68" s="169"/>
      <c r="AT68" s="168"/>
      <c r="AU68" s="170"/>
      <c r="AV68" s="171"/>
      <c r="AW68" s="68"/>
      <c r="AX68" s="68"/>
      <c r="AY68" s="68"/>
      <c r="AZ68" s="167"/>
      <c r="BA68" s="168"/>
      <c r="BB68" s="169"/>
      <c r="BC68" s="168"/>
      <c r="BD68" s="170"/>
      <c r="BE68" s="171"/>
      <c r="BF68" s="68"/>
      <c r="BG68" s="68"/>
      <c r="BH68" s="68"/>
      <c r="BI68" s="167"/>
      <c r="BJ68" s="168"/>
      <c r="BK68" s="169"/>
      <c r="BL68" s="168"/>
      <c r="BM68" s="170"/>
      <c r="BN68" s="171"/>
      <c r="BO68" s="68"/>
      <c r="BP68" s="68"/>
      <c r="BQ68" s="68"/>
      <c r="BR68" s="167"/>
      <c r="BS68" s="168"/>
      <c r="BT68" s="169"/>
      <c r="BU68" s="168"/>
      <c r="BV68" s="170"/>
      <c r="BW68" s="171"/>
      <c r="BX68" s="68"/>
      <c r="BY68" s="68"/>
      <c r="BZ68" s="68"/>
      <c r="CA68" s="167"/>
      <c r="CB68" s="168"/>
      <c r="CC68" s="169"/>
      <c r="CD68" s="168"/>
      <c r="CE68" s="170"/>
      <c r="CF68" s="171"/>
      <c r="CG68" s="68"/>
      <c r="CH68" s="68"/>
      <c r="CI68" s="68"/>
      <c r="CJ68" s="167"/>
      <c r="CK68" s="168"/>
      <c r="CL68" s="169"/>
      <c r="CM68" s="168"/>
      <c r="CN68" s="170"/>
      <c r="CO68" s="171"/>
      <c r="CP68" s="68"/>
      <c r="CQ68" s="68"/>
      <c r="CR68" s="68"/>
      <c r="CS68" s="167"/>
      <c r="CT68" s="168"/>
      <c r="CU68" s="169"/>
      <c r="CV68" s="168"/>
      <c r="CW68" s="170"/>
      <c r="CX68" s="171"/>
      <c r="CY68" s="68"/>
      <c r="CZ68" s="68"/>
      <c r="DA68" s="68"/>
      <c r="DB68" s="167"/>
      <c r="DC68" s="168"/>
      <c r="DD68" s="169"/>
      <c r="DE68" s="168"/>
      <c r="DF68" s="170"/>
      <c r="DG68" s="171"/>
      <c r="DH68" s="68"/>
      <c r="DI68" s="68"/>
      <c r="DJ68" s="68"/>
      <c r="DK68" s="167"/>
      <c r="DL68" s="168"/>
      <c r="DM68" s="169"/>
      <c r="DN68" s="168"/>
      <c r="DO68" s="170"/>
      <c r="DP68" s="171"/>
      <c r="DQ68" s="68"/>
      <c r="DR68" s="68"/>
      <c r="DS68" s="68"/>
      <c r="DT68" s="167"/>
      <c r="DU68" s="168"/>
      <c r="DV68" s="169"/>
      <c r="DW68" s="168"/>
      <c r="DX68" s="170"/>
      <c r="DY68" s="171"/>
      <c r="DZ68" s="68"/>
      <c r="EA68" s="68"/>
      <c r="EB68" s="68"/>
      <c r="EC68" s="167"/>
      <c r="ED68" s="168"/>
      <c r="EE68" s="169"/>
      <c r="EF68" s="168"/>
      <c r="EG68" s="170"/>
      <c r="EH68" s="171"/>
      <c r="EI68" s="68"/>
      <c r="EJ68" s="68"/>
      <c r="EK68" s="68"/>
      <c r="EL68" s="167"/>
      <c r="EM68" s="168"/>
      <c r="EN68" s="169"/>
      <c r="EO68" s="168"/>
      <c r="EP68" s="170"/>
      <c r="EQ68" s="171"/>
      <c r="ER68" s="68"/>
      <c r="ES68" s="68"/>
      <c r="ET68" s="68"/>
      <c r="EU68" s="167"/>
      <c r="EV68" s="168"/>
      <c r="EW68" s="169"/>
      <c r="EX68" s="168"/>
      <c r="EY68" s="170"/>
      <c r="EZ68" s="171"/>
      <c r="FA68" s="68"/>
      <c r="FB68" s="68"/>
      <c r="FC68" s="68"/>
      <c r="FD68" s="167"/>
      <c r="FE68" s="168"/>
      <c r="FF68" s="169"/>
      <c r="FG68" s="168"/>
      <c r="FH68" s="170"/>
      <c r="FI68" s="171"/>
      <c r="FJ68" s="68"/>
      <c r="FK68" s="68"/>
      <c r="FL68" s="68"/>
      <c r="FM68" s="167"/>
      <c r="FN68" s="168"/>
      <c r="FO68" s="169"/>
      <c r="FP68" s="168"/>
      <c r="FQ68" s="170"/>
      <c r="FR68" s="171"/>
      <c r="FS68" s="68"/>
      <c r="FT68" s="68"/>
      <c r="FU68" s="68"/>
      <c r="FV68" s="167"/>
      <c r="FW68" s="168"/>
      <c r="FX68" s="169"/>
      <c r="FY68" s="168"/>
      <c r="FZ68" s="170"/>
      <c r="GA68" s="171"/>
      <c r="GB68" s="68"/>
      <c r="GC68" s="68"/>
      <c r="GD68" s="68"/>
      <c r="GE68" s="167"/>
      <c r="GF68" s="168"/>
      <c r="GG68" s="169"/>
      <c r="GH68" s="168"/>
      <c r="GI68" s="170"/>
      <c r="GJ68" s="171"/>
      <c r="GK68" s="68"/>
      <c r="GL68" s="68"/>
      <c r="GM68" s="68"/>
      <c r="GN68" s="167"/>
      <c r="GO68" s="168"/>
      <c r="GP68" s="169"/>
      <c r="GQ68" s="168"/>
      <c r="GR68" s="170"/>
      <c r="GS68" s="171"/>
      <c r="GT68" s="171"/>
      <c r="GU68" s="64"/>
      <c r="GV68" s="65"/>
      <c r="GW68" s="66"/>
      <c r="GX68" s="66"/>
      <c r="GY68" s="167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407"/>
      <c r="L69" s="70"/>
      <c r="M69" s="71"/>
      <c r="N69" s="173"/>
      <c r="O69" s="72"/>
      <c r="P69" s="113">
        <f t="shared" si="4"/>
        <v>0</v>
      </c>
      <c r="Q69" s="117"/>
      <c r="R69" s="117"/>
      <c r="S69" s="117"/>
      <c r="T69" s="39">
        <f t="shared" si="1"/>
        <v>0</v>
      </c>
      <c r="U69" s="138"/>
      <c r="V69" s="172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71"/>
      <c r="GU69" s="64"/>
      <c r="GV69" s="65"/>
      <c r="GW69" s="66"/>
      <c r="GX69" s="66"/>
      <c r="GY69" s="167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174"/>
      <c r="K70" s="407"/>
      <c r="L70" s="70"/>
      <c r="M70" s="71"/>
      <c r="N70" s="175"/>
      <c r="O70" s="72"/>
      <c r="P70" s="113">
        <f t="shared" si="4"/>
        <v>0</v>
      </c>
      <c r="Q70" s="117"/>
      <c r="R70" s="117"/>
      <c r="S70" s="117"/>
      <c r="T70" s="39">
        <f t="shared" ref="T70:T77" si="5">Q70*O70</f>
        <v>0</v>
      </c>
      <c r="U70" s="138"/>
      <c r="V70" s="172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71"/>
      <c r="GU70" s="64"/>
      <c r="GV70" s="65"/>
      <c r="GW70" s="66"/>
      <c r="GX70" s="66"/>
      <c r="GY70" s="391"/>
      <c r="GZ70" s="67"/>
    </row>
    <row r="71" spans="1:208" x14ac:dyDescent="0.25">
      <c r="A71"/>
      <c r="D71" s="35"/>
      <c r="E71" s="36"/>
      <c r="F71" s="37"/>
      <c r="G71" s="38"/>
      <c r="H71" s="39"/>
      <c r="I71" s="40"/>
      <c r="J71" s="177"/>
      <c r="K71" s="452"/>
      <c r="N71" s="179"/>
      <c r="P71" s="27"/>
      <c r="Q71" s="180"/>
      <c r="R71" s="180"/>
      <c r="S71" s="180"/>
      <c r="T71" s="39">
        <f t="shared" si="5"/>
        <v>0</v>
      </c>
      <c r="U71" s="181"/>
      <c r="V71" s="182"/>
      <c r="W71" s="30"/>
      <c r="X71" s="8"/>
      <c r="Y71" s="183"/>
      <c r="Z71" s="184"/>
      <c r="AA71" s="185"/>
      <c r="AB71" s="184"/>
      <c r="AC71" s="186"/>
      <c r="AD71" s="187"/>
      <c r="AE71" s="8"/>
      <c r="AF71" s="8"/>
      <c r="AG71" s="188"/>
      <c r="AH71" s="183"/>
      <c r="AI71" s="184"/>
      <c r="AJ71" s="185"/>
      <c r="AK71" s="28"/>
      <c r="AL71" s="186"/>
      <c r="AM71" s="187"/>
      <c r="AN71" s="8"/>
      <c r="AO71" s="8"/>
      <c r="AP71" s="188"/>
      <c r="AQ71" s="183"/>
      <c r="AR71" s="184"/>
      <c r="AS71" s="185"/>
      <c r="AT71" s="184"/>
      <c r="AU71" s="186"/>
      <c r="AV71" s="187"/>
      <c r="AW71" s="8"/>
      <c r="AX71" s="8"/>
      <c r="AY71" s="188"/>
      <c r="AZ71" s="183"/>
      <c r="BA71" s="184"/>
      <c r="BB71" s="185"/>
      <c r="BC71" s="28"/>
      <c r="BD71" s="186"/>
      <c r="BE71" s="187"/>
      <c r="BF71" s="8"/>
      <c r="BG71" s="8"/>
      <c r="BH71" s="188"/>
      <c r="BI71" s="183"/>
      <c r="BJ71" s="184"/>
      <c r="BK71" s="185"/>
      <c r="BL71" s="28"/>
      <c r="BM71" s="186"/>
      <c r="BN71" s="187"/>
      <c r="BO71" s="8"/>
      <c r="BP71" s="8"/>
      <c r="BQ71" s="188"/>
      <c r="BR71" s="183"/>
      <c r="BS71" s="184"/>
      <c r="BT71" s="185"/>
      <c r="BU71" s="184"/>
      <c r="BV71" s="186"/>
      <c r="BW71" s="187"/>
      <c r="BX71" s="8"/>
      <c r="BY71" s="8"/>
      <c r="BZ71" s="188"/>
      <c r="CA71" s="183"/>
      <c r="CB71" s="184"/>
      <c r="CC71" s="185"/>
      <c r="CD71" s="184"/>
      <c r="CE71" s="186"/>
      <c r="CF71" s="187"/>
      <c r="CG71" s="8"/>
      <c r="CH71" s="8"/>
      <c r="CI71" s="188"/>
      <c r="CJ71" s="183"/>
      <c r="CK71" s="184"/>
      <c r="CL71" s="185"/>
      <c r="CM71" s="184"/>
      <c r="CN71" s="186"/>
      <c r="CO71" s="187"/>
      <c r="CP71" s="8"/>
      <c r="CQ71" s="8"/>
      <c r="CR71" s="188"/>
      <c r="CS71" s="183"/>
      <c r="CT71" s="184"/>
      <c r="CU71" s="189"/>
      <c r="CV71" s="28"/>
      <c r="CW71" s="190"/>
      <c r="CX71" s="187"/>
      <c r="CY71" s="8"/>
      <c r="CZ71" s="8"/>
      <c r="DA71" s="188"/>
      <c r="DB71" s="183"/>
      <c r="DC71" s="184"/>
      <c r="DD71" s="185"/>
      <c r="DE71" s="184"/>
      <c r="DF71" s="186"/>
      <c r="DG71" s="187"/>
      <c r="DH71" s="8"/>
      <c r="DI71" s="8"/>
      <c r="DJ71" s="188"/>
      <c r="DK71" s="183"/>
      <c r="DL71" s="184"/>
      <c r="DM71" s="189"/>
      <c r="DN71" s="28"/>
      <c r="DO71" s="190"/>
      <c r="DP71" s="187"/>
      <c r="DQ71" s="8"/>
      <c r="DR71" s="8"/>
      <c r="DS71" s="188"/>
      <c r="DT71" s="183"/>
      <c r="DU71" s="184"/>
      <c r="DV71" s="185"/>
      <c r="DW71" s="184"/>
      <c r="DX71" s="186"/>
      <c r="DY71" s="187"/>
      <c r="DZ71" s="8"/>
      <c r="EA71" s="8"/>
      <c r="EB71" s="188"/>
      <c r="EC71" s="183"/>
      <c r="ED71" s="184"/>
      <c r="EE71" s="189"/>
      <c r="EF71" s="28"/>
      <c r="EG71" s="190"/>
      <c r="EH71" s="187"/>
      <c r="EI71" s="8"/>
      <c r="EJ71" s="8"/>
      <c r="EK71" s="188"/>
      <c r="EL71" s="183"/>
      <c r="EM71" s="184"/>
      <c r="EN71" s="189"/>
      <c r="EO71" s="28"/>
      <c r="EP71" s="190"/>
      <c r="EQ71" s="187"/>
      <c r="ER71" s="8"/>
      <c r="ES71" s="8"/>
      <c r="ET71" s="188"/>
      <c r="EU71" s="183"/>
      <c r="EV71" s="184"/>
      <c r="EW71" s="185"/>
      <c r="EX71" s="184"/>
      <c r="EY71" s="186"/>
      <c r="EZ71" s="187"/>
      <c r="FA71" s="8"/>
      <c r="FB71" s="8"/>
      <c r="FC71" s="188"/>
      <c r="FD71" s="183"/>
      <c r="FE71" s="184"/>
      <c r="FF71" s="185"/>
      <c r="FG71" s="184"/>
      <c r="FH71" s="186"/>
      <c r="FI71" s="187"/>
      <c r="FJ71" s="8"/>
      <c r="FK71" s="8"/>
      <c r="FL71" s="188"/>
      <c r="FM71" s="183"/>
      <c r="FN71" s="184"/>
      <c r="FO71" s="185"/>
      <c r="FP71" s="184"/>
      <c r="FQ71" s="186"/>
      <c r="FR71" s="187"/>
      <c r="FS71" s="8"/>
      <c r="FT71" s="8"/>
      <c r="FU71" s="188"/>
      <c r="FV71" s="183"/>
      <c r="FW71" s="184"/>
      <c r="FX71" s="185"/>
      <c r="FY71" s="184"/>
      <c r="FZ71" s="186"/>
      <c r="GA71" s="187"/>
      <c r="GB71" s="8"/>
      <c r="GC71" s="8"/>
      <c r="GD71" s="188"/>
      <c r="GE71" s="183"/>
      <c r="GF71" s="184"/>
      <c r="GG71" s="185"/>
      <c r="GH71" s="184"/>
      <c r="GI71" s="186"/>
      <c r="GJ71" s="187"/>
      <c r="GK71" s="8"/>
      <c r="GL71" s="8"/>
      <c r="GM71" s="188"/>
      <c r="GN71" s="183"/>
      <c r="GO71" s="184"/>
      <c r="GP71" s="185"/>
      <c r="GQ71" s="184"/>
      <c r="GR71" s="186"/>
      <c r="GS71" s="187"/>
      <c r="GT71" s="187"/>
      <c r="GU71" s="29"/>
      <c r="GV71" s="191"/>
      <c r="GW71" s="31"/>
      <c r="GX71" s="31"/>
      <c r="GY71" s="387"/>
      <c r="GZ71" s="33"/>
    </row>
    <row r="72" spans="1:208" x14ac:dyDescent="0.25">
      <c r="A72"/>
      <c r="D72" s="35"/>
      <c r="E72" s="36"/>
      <c r="F72" s="37"/>
      <c r="G72" s="38"/>
      <c r="H72" s="39"/>
      <c r="I72" s="40"/>
      <c r="J72" s="177"/>
      <c r="K72" s="452"/>
      <c r="P72" s="27"/>
      <c r="Q72" s="180"/>
      <c r="R72" s="180"/>
      <c r="S72" s="180"/>
      <c r="T72" s="39">
        <f t="shared" si="5"/>
        <v>0</v>
      </c>
      <c r="U72" s="181"/>
      <c r="V72" s="182"/>
      <c r="W72" s="30"/>
      <c r="X72" s="8"/>
      <c r="Y72" s="183"/>
      <c r="Z72" s="184"/>
      <c r="AA72" s="185"/>
      <c r="AB72" s="184"/>
      <c r="AC72" s="186"/>
      <c r="AD72" s="187"/>
      <c r="AE72" s="8"/>
      <c r="AF72" s="8"/>
      <c r="AG72" s="188"/>
      <c r="AH72" s="183"/>
      <c r="AI72" s="184"/>
      <c r="AJ72" s="185"/>
      <c r="AK72" s="28"/>
      <c r="AL72" s="186"/>
      <c r="AM72" s="187"/>
      <c r="AN72" s="8"/>
      <c r="AO72" s="8"/>
      <c r="AP72" s="188"/>
      <c r="AQ72" s="183"/>
      <c r="AR72" s="184"/>
      <c r="AS72" s="185"/>
      <c r="AT72" s="184"/>
      <c r="AU72" s="186"/>
      <c r="AV72" s="187"/>
      <c r="AW72" s="8"/>
      <c r="AX72" s="8"/>
      <c r="AY72" s="188"/>
      <c r="AZ72" s="183"/>
      <c r="BA72" s="184"/>
      <c r="BB72" s="185"/>
      <c r="BC72" s="28"/>
      <c r="BD72" s="186"/>
      <c r="BE72" s="187"/>
      <c r="BF72" s="8"/>
      <c r="BG72" s="8"/>
      <c r="BH72" s="188"/>
      <c r="BI72" s="183"/>
      <c r="BJ72" s="184"/>
      <c r="BK72" s="185"/>
      <c r="BL72" s="28"/>
      <c r="BM72" s="186"/>
      <c r="BN72" s="187"/>
      <c r="BO72" s="8"/>
      <c r="BP72" s="8"/>
      <c r="BQ72" s="188"/>
      <c r="BR72" s="183"/>
      <c r="BS72" s="184"/>
      <c r="BT72" s="185"/>
      <c r="BU72" s="184"/>
      <c r="BV72" s="186"/>
      <c r="BW72" s="187"/>
      <c r="BX72" s="8"/>
      <c r="BY72" s="8"/>
      <c r="BZ72" s="188"/>
      <c r="CA72" s="183"/>
      <c r="CB72" s="184"/>
      <c r="CC72" s="185"/>
      <c r="CD72" s="184"/>
      <c r="CE72" s="186"/>
      <c r="CF72" s="187"/>
      <c r="CG72" s="8"/>
      <c r="CH72" s="8"/>
      <c r="CI72" s="188"/>
      <c r="CJ72" s="183"/>
      <c r="CK72" s="184"/>
      <c r="CL72" s="185"/>
      <c r="CM72" s="184"/>
      <c r="CN72" s="186"/>
      <c r="CO72" s="187"/>
      <c r="CP72" s="8"/>
      <c r="CQ72" s="8"/>
      <c r="CR72" s="188"/>
      <c r="CS72" s="183"/>
      <c r="CT72" s="184"/>
      <c r="CU72" s="189"/>
      <c r="CV72" s="28"/>
      <c r="CW72" s="190"/>
      <c r="CX72" s="187"/>
      <c r="CY72" s="8"/>
      <c r="CZ72" s="8"/>
      <c r="DA72" s="188"/>
      <c r="DB72" s="183"/>
      <c r="DC72" s="184"/>
      <c r="DD72" s="185"/>
      <c r="DE72" s="184"/>
      <c r="DF72" s="186"/>
      <c r="DG72" s="187"/>
      <c r="DH72" s="8"/>
      <c r="DI72" s="8"/>
      <c r="DJ72" s="188"/>
      <c r="DK72" s="183"/>
      <c r="DL72" s="184"/>
      <c r="DM72" s="189"/>
      <c r="DN72" s="28"/>
      <c r="DO72" s="190"/>
      <c r="DP72" s="187"/>
      <c r="DQ72" s="8"/>
      <c r="DR72" s="8"/>
      <c r="DS72" s="188"/>
      <c r="DT72" s="183"/>
      <c r="DU72" s="184"/>
      <c r="DV72" s="185"/>
      <c r="DW72" s="184"/>
      <c r="DX72" s="186"/>
      <c r="DY72" s="187"/>
      <c r="DZ72" s="8"/>
      <c r="EA72" s="8"/>
      <c r="EB72" s="188"/>
      <c r="EC72" s="183"/>
      <c r="ED72" s="184"/>
      <c r="EE72" s="189"/>
      <c r="EF72" s="28"/>
      <c r="EG72" s="190"/>
      <c r="EH72" s="187"/>
      <c r="EI72" s="8"/>
      <c r="EJ72" s="8"/>
      <c r="EK72" s="188"/>
      <c r="EL72" s="183"/>
      <c r="EM72" s="184"/>
      <c r="EN72" s="189"/>
      <c r="EO72" s="28"/>
      <c r="EP72" s="190"/>
      <c r="EQ72" s="187"/>
      <c r="ER72" s="8"/>
      <c r="ES72" s="8"/>
      <c r="ET72" s="188"/>
      <c r="EU72" s="183"/>
      <c r="EV72" s="184"/>
      <c r="EW72" s="185"/>
      <c r="EX72" s="184"/>
      <c r="EY72" s="186"/>
      <c r="EZ72" s="187"/>
      <c r="FA72" s="8"/>
      <c r="FB72" s="8"/>
      <c r="FC72" s="188"/>
      <c r="FD72" s="183"/>
      <c r="FE72" s="184"/>
      <c r="FF72" s="185"/>
      <c r="FG72" s="184"/>
      <c r="FH72" s="186"/>
      <c r="FI72" s="187"/>
      <c r="FJ72" s="8"/>
      <c r="FK72" s="8"/>
      <c r="FL72" s="188"/>
      <c r="FM72" s="183"/>
      <c r="FN72" s="184"/>
      <c r="FO72" s="185"/>
      <c r="FP72" s="184"/>
      <c r="FQ72" s="186"/>
      <c r="FR72" s="187"/>
      <c r="FS72" s="8"/>
      <c r="FT72" s="8"/>
      <c r="FU72" s="188"/>
      <c r="FV72" s="183"/>
      <c r="FW72" s="184"/>
      <c r="FX72" s="185"/>
      <c r="FY72" s="184"/>
      <c r="FZ72" s="186"/>
      <c r="GA72" s="187"/>
      <c r="GB72" s="8"/>
      <c r="GC72" s="8"/>
      <c r="GD72" s="188"/>
      <c r="GE72" s="183"/>
      <c r="GF72" s="184"/>
      <c r="GG72" s="185"/>
      <c r="GH72" s="184"/>
      <c r="GI72" s="186"/>
      <c r="GJ72" s="187"/>
      <c r="GK72" s="8"/>
      <c r="GL72" s="8"/>
      <c r="GM72" s="188"/>
      <c r="GN72" s="183"/>
      <c r="GO72" s="184"/>
      <c r="GP72" s="185"/>
      <c r="GQ72" s="184"/>
      <c r="GR72" s="186"/>
      <c r="GS72" s="187"/>
      <c r="GT72" s="187"/>
      <c r="GU72" s="29"/>
      <c r="GV72" s="191"/>
      <c r="GW72" s="31"/>
      <c r="GX72" s="31"/>
      <c r="GY72" s="387"/>
      <c r="GZ72" s="33"/>
    </row>
    <row r="73" spans="1:208" ht="16.5" thickBot="1" x14ac:dyDescent="0.3">
      <c r="A73"/>
      <c r="D73" s="35"/>
      <c r="E73" s="36"/>
      <c r="F73" s="37"/>
      <c r="G73" s="38"/>
      <c r="H73" s="39"/>
      <c r="I73" s="40"/>
      <c r="J73" s="177"/>
      <c r="K73" s="452"/>
      <c r="O73" s="192"/>
      <c r="P73" s="27"/>
      <c r="Q73" s="180"/>
      <c r="R73" s="180"/>
      <c r="S73" s="180"/>
      <c r="T73" s="39">
        <f t="shared" si="5"/>
        <v>0</v>
      </c>
      <c r="U73" s="181"/>
      <c r="V73" s="182"/>
      <c r="W73" s="30"/>
      <c r="X73" s="8"/>
      <c r="Y73" s="183"/>
      <c r="Z73" s="184"/>
      <c r="AA73" s="185"/>
      <c r="AB73" s="184"/>
      <c r="AC73" s="186"/>
      <c r="AD73" s="187"/>
      <c r="AE73" s="8"/>
      <c r="AF73" s="8"/>
      <c r="AG73" s="188"/>
      <c r="AH73" s="183"/>
      <c r="AI73" s="184"/>
      <c r="AJ73" s="185"/>
      <c r="AK73" s="28"/>
      <c r="AL73" s="186"/>
      <c r="AM73" s="187"/>
      <c r="AN73" s="8"/>
      <c r="AO73" s="8"/>
      <c r="AP73" s="188"/>
      <c r="AQ73" s="183"/>
      <c r="AR73" s="184"/>
      <c r="AS73" s="185"/>
      <c r="AT73" s="184"/>
      <c r="AU73" s="186"/>
      <c r="AV73" s="187"/>
      <c r="AW73" s="8"/>
      <c r="AX73" s="8"/>
      <c r="AY73" s="188"/>
      <c r="AZ73" s="183"/>
      <c r="BA73" s="184"/>
      <c r="BB73" s="185"/>
      <c r="BC73" s="28"/>
      <c r="BD73" s="186"/>
      <c r="BE73" s="187"/>
      <c r="BF73" s="8"/>
      <c r="BG73" s="8"/>
      <c r="BH73" s="188"/>
      <c r="BI73" s="183"/>
      <c r="BJ73" s="184"/>
      <c r="BK73" s="185"/>
      <c r="BL73" s="28"/>
      <c r="BM73" s="186"/>
      <c r="BN73" s="187"/>
      <c r="BO73" s="8"/>
      <c r="BP73" s="8"/>
      <c r="BQ73" s="188"/>
      <c r="BR73" s="183"/>
      <c r="BS73" s="184"/>
      <c r="BT73" s="185"/>
      <c r="BU73" s="184"/>
      <c r="BV73" s="186"/>
      <c r="BW73" s="187"/>
      <c r="BX73" s="8"/>
      <c r="BY73" s="8"/>
      <c r="BZ73" s="188"/>
      <c r="CA73" s="183"/>
      <c r="CB73" s="184"/>
      <c r="CC73" s="185"/>
      <c r="CD73" s="184"/>
      <c r="CE73" s="186"/>
      <c r="CF73" s="187"/>
      <c r="CG73" s="8"/>
      <c r="CH73" s="8"/>
      <c r="CI73" s="188"/>
      <c r="CJ73" s="183"/>
      <c r="CK73" s="184"/>
      <c r="CL73" s="185"/>
      <c r="CM73" s="184"/>
      <c r="CN73" s="186"/>
      <c r="CO73" s="187"/>
      <c r="CP73" s="8"/>
      <c r="CQ73" s="8"/>
      <c r="CR73" s="188"/>
      <c r="CS73" s="183"/>
      <c r="CT73" s="184"/>
      <c r="CU73" s="189"/>
      <c r="CV73" s="28"/>
      <c r="CW73" s="190"/>
      <c r="CX73" s="187"/>
      <c r="CY73" s="8"/>
      <c r="CZ73" s="8"/>
      <c r="DA73" s="188"/>
      <c r="DB73" s="183"/>
      <c r="DC73" s="184"/>
      <c r="DD73" s="185"/>
      <c r="DE73" s="184"/>
      <c r="DF73" s="186"/>
      <c r="DG73" s="187"/>
      <c r="DH73" s="8"/>
      <c r="DI73" s="8"/>
      <c r="DJ73" s="188"/>
      <c r="DK73" s="183"/>
      <c r="DL73" s="184"/>
      <c r="DM73" s="189"/>
      <c r="DN73" s="28"/>
      <c r="DO73" s="190"/>
      <c r="DP73" s="187"/>
      <c r="DQ73" s="8"/>
      <c r="DR73" s="8"/>
      <c r="DS73" s="188"/>
      <c r="DT73" s="183"/>
      <c r="DU73" s="184"/>
      <c r="DV73" s="185"/>
      <c r="DW73" s="184"/>
      <c r="DX73" s="186"/>
      <c r="DY73" s="187"/>
      <c r="DZ73" s="8"/>
      <c r="EA73" s="8"/>
      <c r="EB73" s="188"/>
      <c r="EC73" s="183"/>
      <c r="ED73" s="184"/>
      <c r="EE73" s="189"/>
      <c r="EF73" s="28"/>
      <c r="EG73" s="190"/>
      <c r="EH73" s="187"/>
      <c r="EI73" s="8"/>
      <c r="EJ73" s="8"/>
      <c r="EK73" s="188"/>
      <c r="EL73" s="183"/>
      <c r="EM73" s="184"/>
      <c r="EN73" s="189"/>
      <c r="EO73" s="28"/>
      <c r="EP73" s="190"/>
      <c r="EQ73" s="187"/>
      <c r="ER73" s="8"/>
      <c r="ES73" s="8"/>
      <c r="ET73" s="188"/>
      <c r="EU73" s="183"/>
      <c r="EV73" s="184"/>
      <c r="EW73" s="185"/>
      <c r="EX73" s="184"/>
      <c r="EY73" s="186"/>
      <c r="EZ73" s="187"/>
      <c r="FA73" s="8"/>
      <c r="FB73" s="8"/>
      <c r="FC73" s="188"/>
      <c r="FD73" s="183"/>
      <c r="FE73" s="184"/>
      <c r="FF73" s="185"/>
      <c r="FG73" s="184"/>
      <c r="FH73" s="186"/>
      <c r="FI73" s="187"/>
      <c r="FJ73" s="8"/>
      <c r="FK73" s="8"/>
      <c r="FL73" s="188"/>
      <c r="FM73" s="183"/>
      <c r="FN73" s="184"/>
      <c r="FO73" s="185"/>
      <c r="FP73" s="184"/>
      <c r="FQ73" s="186"/>
      <c r="FR73" s="187"/>
      <c r="FS73" s="8"/>
      <c r="FT73" s="8"/>
      <c r="FU73" s="188"/>
      <c r="FV73" s="183"/>
      <c r="FW73" s="184"/>
      <c r="FX73" s="185"/>
      <c r="FY73" s="184"/>
      <c r="FZ73" s="186"/>
      <c r="GA73" s="187"/>
      <c r="GB73" s="8"/>
      <c r="GC73" s="8"/>
      <c r="GD73" s="188"/>
      <c r="GE73" s="183"/>
      <c r="GF73" s="184"/>
      <c r="GG73" s="185"/>
      <c r="GH73" s="184"/>
      <c r="GI73" s="186"/>
      <c r="GJ73" s="187"/>
      <c r="GK73" s="8"/>
      <c r="GL73" s="8"/>
      <c r="GM73" s="188"/>
      <c r="GN73" s="183"/>
      <c r="GO73" s="184"/>
      <c r="GP73" s="185"/>
      <c r="GQ73" s="184"/>
      <c r="GR73" s="186"/>
      <c r="GS73" s="187"/>
      <c r="GT73" s="187"/>
      <c r="GU73" s="29"/>
      <c r="GV73" s="191"/>
      <c r="GW73" s="31"/>
      <c r="GX73" s="31"/>
      <c r="GY73" s="387"/>
      <c r="GZ73" s="33"/>
    </row>
    <row r="74" spans="1:208" ht="20.25" thickTop="1" thickBot="1" x14ac:dyDescent="0.35">
      <c r="A74"/>
      <c r="D74" s="35"/>
      <c r="E74" s="36"/>
      <c r="F74" s="37"/>
      <c r="G74" s="38"/>
      <c r="H74" s="39"/>
      <c r="I74" s="40"/>
      <c r="J74" s="177"/>
      <c r="K74" s="452"/>
      <c r="M74" s="870" t="s">
        <v>28</v>
      </c>
      <c r="N74" s="871"/>
      <c r="O74" s="872">
        <f>SUM(O9:O73)</f>
        <v>641009.39</v>
      </c>
      <c r="P74" s="193"/>
      <c r="Q74" s="180"/>
      <c r="R74" s="194"/>
      <c r="S74" s="180"/>
      <c r="T74" s="39">
        <f t="shared" si="5"/>
        <v>0</v>
      </c>
      <c r="U74" s="181"/>
      <c r="V74" s="182"/>
      <c r="W74" s="30"/>
      <c r="X74" s="195"/>
      <c r="Y74" s="196"/>
      <c r="Z74" s="197"/>
      <c r="AA74" s="198"/>
      <c r="AB74" s="197"/>
      <c r="AC74" s="199"/>
      <c r="AD74" s="200"/>
      <c r="AE74" s="195"/>
      <c r="AF74" s="195"/>
      <c r="AG74" s="201"/>
      <c r="AH74" s="196"/>
      <c r="AI74" s="197"/>
      <c r="AJ74" s="198"/>
      <c r="AK74" s="202"/>
      <c r="AL74" s="199"/>
      <c r="AM74" s="200"/>
      <c r="AN74" s="195"/>
      <c r="AO74" s="195"/>
      <c r="AP74" s="201"/>
      <c r="AQ74" s="196"/>
      <c r="AR74" s="197"/>
      <c r="AS74" s="198"/>
      <c r="AT74" s="197"/>
      <c r="AU74" s="199"/>
      <c r="AV74" s="200"/>
      <c r="AW74" s="195"/>
      <c r="AX74" s="195"/>
      <c r="AY74" s="201"/>
      <c r="AZ74" s="196"/>
      <c r="BA74" s="197"/>
      <c r="BB74" s="198"/>
      <c r="BC74" s="202"/>
      <c r="BD74" s="199"/>
      <c r="BE74" s="200"/>
      <c r="BF74" s="195"/>
      <c r="BG74" s="195"/>
      <c r="BH74" s="201"/>
      <c r="BI74" s="196"/>
      <c r="BJ74" s="197"/>
      <c r="BK74" s="198"/>
      <c r="BL74" s="202"/>
      <c r="BM74" s="199"/>
      <c r="BN74" s="200"/>
      <c r="BO74" s="195"/>
      <c r="BP74" s="195"/>
      <c r="BQ74" s="201"/>
      <c r="BR74" s="196"/>
      <c r="BS74" s="197"/>
      <c r="BT74" s="198"/>
      <c r="BU74" s="197"/>
      <c r="BV74" s="199"/>
      <c r="BW74" s="200"/>
      <c r="BX74" s="195"/>
      <c r="BY74" s="195"/>
      <c r="BZ74" s="201"/>
      <c r="CA74" s="196"/>
      <c r="CB74" s="197"/>
      <c r="CC74" s="198"/>
      <c r="CD74" s="197"/>
      <c r="CE74" s="199"/>
      <c r="CF74" s="200"/>
      <c r="CG74" s="195"/>
      <c r="CH74" s="195"/>
      <c r="CI74" s="201"/>
      <c r="CJ74" s="196"/>
      <c r="CK74" s="197"/>
      <c r="CL74" s="198"/>
      <c r="CM74" s="197"/>
      <c r="CN74" s="199"/>
      <c r="CO74" s="200"/>
      <c r="CP74" s="195"/>
      <c r="CQ74" s="195"/>
      <c r="CR74" s="201"/>
      <c r="CS74" s="196"/>
      <c r="CT74" s="197"/>
      <c r="CU74" s="203"/>
      <c r="CV74" s="202"/>
      <c r="CW74" s="204"/>
      <c r="CX74" s="200"/>
      <c r="CY74" s="195"/>
      <c r="CZ74" s="195"/>
      <c r="DA74" s="201"/>
      <c r="DB74" s="196"/>
      <c r="DC74" s="197"/>
      <c r="DD74" s="198"/>
      <c r="DE74" s="197"/>
      <c r="DF74" s="199"/>
      <c r="DG74" s="200"/>
      <c r="DH74" s="195"/>
      <c r="DI74" s="195"/>
      <c r="DJ74" s="201"/>
      <c r="DK74" s="196"/>
      <c r="DL74" s="197"/>
      <c r="DM74" s="203"/>
      <c r="DN74" s="202"/>
      <c r="DO74" s="204"/>
      <c r="DP74" s="200"/>
      <c r="DQ74" s="195"/>
      <c r="DR74" s="195"/>
      <c r="DS74" s="201"/>
      <c r="DT74" s="196"/>
      <c r="DU74" s="197"/>
      <c r="DV74" s="198"/>
      <c r="DW74" s="197"/>
      <c r="DX74" s="199"/>
      <c r="DY74" s="200"/>
      <c r="DZ74" s="195"/>
      <c r="EA74" s="195"/>
      <c r="EB74" s="201"/>
      <c r="EC74" s="196"/>
      <c r="ED74" s="197"/>
      <c r="EE74" s="203"/>
      <c r="EF74" s="202"/>
      <c r="EG74" s="204"/>
      <c r="EH74" s="200"/>
      <c r="EI74" s="195"/>
      <c r="EJ74" s="195"/>
      <c r="EK74" s="201"/>
      <c r="EL74" s="196"/>
      <c r="EM74" s="197"/>
      <c r="EN74" s="203"/>
      <c r="EO74" s="202"/>
      <c r="EP74" s="204"/>
      <c r="EQ74" s="200"/>
      <c r="ER74" s="195"/>
      <c r="ES74" s="195"/>
      <c r="ET74" s="201"/>
      <c r="EU74" s="196"/>
      <c r="EV74" s="197"/>
      <c r="EW74" s="198"/>
      <c r="EX74" s="197"/>
      <c r="EY74" s="199"/>
      <c r="EZ74" s="200"/>
      <c r="FA74" s="195"/>
      <c r="FB74" s="195"/>
      <c r="FC74" s="201"/>
      <c r="FD74" s="196"/>
      <c r="FE74" s="197"/>
      <c r="FF74" s="198"/>
      <c r="FG74" s="197"/>
      <c r="FH74" s="199"/>
      <c r="FI74" s="200"/>
      <c r="FJ74" s="195"/>
      <c r="FK74" s="195"/>
      <c r="FL74" s="201"/>
      <c r="FM74" s="196"/>
      <c r="FN74" s="197"/>
      <c r="FO74" s="198"/>
      <c r="FP74" s="197"/>
      <c r="FQ74" s="199"/>
      <c r="FR74" s="200"/>
      <c r="FS74" s="195"/>
      <c r="FT74" s="195"/>
      <c r="FU74" s="201"/>
      <c r="FV74" s="196"/>
      <c r="FW74" s="197"/>
      <c r="FX74" s="198"/>
      <c r="FY74" s="197"/>
      <c r="FZ74" s="199"/>
      <c r="GA74" s="200"/>
      <c r="GB74" s="195"/>
      <c r="GC74" s="195"/>
      <c r="GD74" s="201"/>
      <c r="GE74" s="196"/>
      <c r="GF74" s="197"/>
      <c r="GG74" s="198"/>
      <c r="GH74" s="197"/>
      <c r="GI74" s="199"/>
      <c r="GJ74" s="200"/>
      <c r="GK74" s="195"/>
      <c r="GL74" s="195"/>
      <c r="GM74" s="201"/>
      <c r="GN74" s="196"/>
      <c r="GO74" s="197"/>
      <c r="GP74" s="198"/>
      <c r="GQ74" s="197"/>
      <c r="GR74" s="199"/>
      <c r="GS74" s="200"/>
      <c r="GT74" s="187"/>
      <c r="GU74" s="29"/>
      <c r="GV74" s="205"/>
      <c r="GZ74" s="33"/>
    </row>
    <row r="75" spans="1:208" ht="19.5" thickBot="1" x14ac:dyDescent="0.3">
      <c r="A75"/>
      <c r="D75" s="35"/>
      <c r="E75" s="36"/>
      <c r="F75" s="37"/>
      <c r="G75" s="38"/>
      <c r="H75" s="39"/>
      <c r="I75" s="40"/>
      <c r="J75" s="208"/>
      <c r="K75" s="452"/>
      <c r="O75" s="873"/>
      <c r="P75" s="193"/>
      <c r="Q75" s="180"/>
      <c r="R75" s="194"/>
      <c r="S75" s="180"/>
      <c r="T75" s="39">
        <f t="shared" si="5"/>
        <v>0</v>
      </c>
      <c r="U75" s="181"/>
      <c r="V75" s="182"/>
      <c r="W75" s="30"/>
      <c r="X75" s="195"/>
      <c r="Y75" s="196"/>
      <c r="Z75" s="197"/>
      <c r="AA75" s="198"/>
      <c r="AB75" s="197"/>
      <c r="AC75" s="199"/>
      <c r="AD75" s="200"/>
      <c r="AE75" s="195"/>
      <c r="AF75" s="195"/>
      <c r="AG75" s="201"/>
      <c r="AH75" s="196"/>
      <c r="AI75" s="197"/>
      <c r="AJ75" s="198"/>
      <c r="AK75" s="202"/>
      <c r="AL75" s="199"/>
      <c r="AM75" s="200"/>
      <c r="AN75" s="195"/>
      <c r="AO75" s="195"/>
      <c r="AP75" s="201"/>
      <c r="AQ75" s="196"/>
      <c r="AR75" s="197"/>
      <c r="AS75" s="198"/>
      <c r="AT75" s="197"/>
      <c r="AU75" s="199"/>
      <c r="AV75" s="200"/>
      <c r="AW75" s="195"/>
      <c r="AX75" s="195"/>
      <c r="AY75" s="201"/>
      <c r="AZ75" s="196"/>
      <c r="BA75" s="197"/>
      <c r="BB75" s="198"/>
      <c r="BC75" s="202"/>
      <c r="BD75" s="199"/>
      <c r="BE75" s="200"/>
      <c r="BF75" s="195"/>
      <c r="BG75" s="195"/>
      <c r="BH75" s="201"/>
      <c r="BI75" s="196"/>
      <c r="BJ75" s="197"/>
      <c r="BK75" s="198"/>
      <c r="BL75" s="202"/>
      <c r="BM75" s="199"/>
      <c r="BN75" s="200"/>
      <c r="BO75" s="195"/>
      <c r="BP75" s="195"/>
      <c r="BQ75" s="201"/>
      <c r="BR75" s="196"/>
      <c r="BS75" s="197"/>
      <c r="BT75" s="198"/>
      <c r="BU75" s="197"/>
      <c r="BV75" s="199"/>
      <c r="BW75" s="200"/>
      <c r="BX75" s="195"/>
      <c r="BY75" s="195"/>
      <c r="BZ75" s="201"/>
      <c r="CA75" s="196"/>
      <c r="CB75" s="197"/>
      <c r="CC75" s="198"/>
      <c r="CD75" s="197"/>
      <c r="CE75" s="199"/>
      <c r="CF75" s="200"/>
      <c r="CG75" s="195"/>
      <c r="CH75" s="195"/>
      <c r="CI75" s="201"/>
      <c r="CJ75" s="196"/>
      <c r="CK75" s="197"/>
      <c r="CL75" s="198"/>
      <c r="CM75" s="197"/>
      <c r="CN75" s="199"/>
      <c r="CO75" s="200"/>
      <c r="CP75" s="195"/>
      <c r="CQ75" s="195"/>
      <c r="CR75" s="201"/>
      <c r="CS75" s="196"/>
      <c r="CT75" s="197"/>
      <c r="CU75" s="203"/>
      <c r="CV75" s="202"/>
      <c r="CW75" s="204"/>
      <c r="CX75" s="200"/>
      <c r="CY75" s="195"/>
      <c r="CZ75" s="195"/>
      <c r="DA75" s="201"/>
      <c r="DB75" s="196"/>
      <c r="DC75" s="197"/>
      <c r="DD75" s="198"/>
      <c r="DE75" s="197"/>
      <c r="DF75" s="199"/>
      <c r="DG75" s="200"/>
      <c r="DH75" s="195"/>
      <c r="DI75" s="195"/>
      <c r="DJ75" s="201"/>
      <c r="DK75" s="196"/>
      <c r="DL75" s="197"/>
      <c r="DM75" s="203"/>
      <c r="DN75" s="202"/>
      <c r="DO75" s="204"/>
      <c r="DP75" s="200"/>
      <c r="DQ75" s="195"/>
      <c r="DR75" s="195"/>
      <c r="DS75" s="201"/>
      <c r="DT75" s="196"/>
      <c r="DU75" s="197"/>
      <c r="DV75" s="198"/>
      <c r="DW75" s="197"/>
      <c r="DX75" s="199"/>
      <c r="DY75" s="200"/>
      <c r="DZ75" s="195"/>
      <c r="EA75" s="195"/>
      <c r="EB75" s="201"/>
      <c r="EC75" s="196"/>
      <c r="ED75" s="197"/>
      <c r="EE75" s="203"/>
      <c r="EF75" s="202"/>
      <c r="EG75" s="204"/>
      <c r="EH75" s="200"/>
      <c r="EI75" s="195"/>
      <c r="EJ75" s="195"/>
      <c r="EK75" s="201"/>
      <c r="EL75" s="196"/>
      <c r="EM75" s="197"/>
      <c r="EN75" s="203"/>
      <c r="EO75" s="202"/>
      <c r="EP75" s="204"/>
      <c r="EQ75" s="200"/>
      <c r="ER75" s="195"/>
      <c r="ES75" s="195"/>
      <c r="ET75" s="201"/>
      <c r="EU75" s="196"/>
      <c r="EV75" s="197"/>
      <c r="EW75" s="198"/>
      <c r="EX75" s="197"/>
      <c r="EY75" s="199"/>
      <c r="EZ75" s="200"/>
      <c r="FA75" s="195"/>
      <c r="FB75" s="195"/>
      <c r="FC75" s="201"/>
      <c r="FD75" s="196"/>
      <c r="FE75" s="197"/>
      <c r="FF75" s="198"/>
      <c r="FG75" s="197"/>
      <c r="FH75" s="199"/>
      <c r="FI75" s="200"/>
      <c r="FJ75" s="195"/>
      <c r="FK75" s="195"/>
      <c r="FL75" s="201"/>
      <c r="FM75" s="196"/>
      <c r="FN75" s="197"/>
      <c r="FO75" s="198"/>
      <c r="FP75" s="197"/>
      <c r="FQ75" s="199"/>
      <c r="FR75" s="200"/>
      <c r="FS75" s="195"/>
      <c r="FT75" s="195"/>
      <c r="FU75" s="201"/>
      <c r="FV75" s="196"/>
      <c r="FW75" s="197"/>
      <c r="FX75" s="198"/>
      <c r="FY75" s="197"/>
      <c r="FZ75" s="199"/>
      <c r="GA75" s="200"/>
      <c r="GB75" s="195"/>
      <c r="GC75" s="195"/>
      <c r="GD75" s="201"/>
      <c r="GE75" s="196"/>
      <c r="GF75" s="197"/>
      <c r="GG75" s="198"/>
      <c r="GH75" s="197"/>
      <c r="GI75" s="199"/>
      <c r="GJ75" s="200"/>
      <c r="GK75" s="195"/>
      <c r="GL75" s="195"/>
      <c r="GM75" s="201"/>
      <c r="GN75" s="196"/>
      <c r="GO75" s="197"/>
      <c r="GP75" s="198"/>
      <c r="GQ75" s="197"/>
      <c r="GR75" s="199"/>
      <c r="GS75" s="200"/>
      <c r="GT75" s="187"/>
      <c r="GU75" s="29"/>
      <c r="GV75" s="205"/>
      <c r="GZ75" s="33"/>
    </row>
    <row r="76" spans="1:208" ht="16.5" thickTop="1" x14ac:dyDescent="0.25">
      <c r="A76"/>
      <c r="D76" s="35"/>
      <c r="E76" s="36"/>
      <c r="F76" s="37"/>
      <c r="G76" s="38"/>
      <c r="H76" s="39"/>
      <c r="I76" s="40"/>
      <c r="J76" s="177"/>
      <c r="K76" s="452"/>
      <c r="P76" s="27"/>
      <c r="Q76" s="180"/>
      <c r="R76" s="180"/>
      <c r="S76" s="180"/>
      <c r="T76" s="39">
        <f t="shared" si="5"/>
        <v>0</v>
      </c>
      <c r="U76" s="181"/>
      <c r="V76" s="182"/>
      <c r="W76" s="30"/>
      <c r="X76" s="195"/>
      <c r="Y76" s="196"/>
      <c r="Z76" s="197"/>
      <c r="AA76" s="198"/>
      <c r="AB76" s="197"/>
      <c r="AC76" s="199"/>
      <c r="AD76" s="200"/>
      <c r="AE76" s="195"/>
      <c r="AF76" s="195"/>
      <c r="AG76" s="201"/>
      <c r="AH76" s="196"/>
      <c r="AI76" s="197"/>
      <c r="AJ76" s="198"/>
      <c r="AK76" s="202"/>
      <c r="AL76" s="199"/>
      <c r="AM76" s="200"/>
      <c r="AN76" s="195"/>
      <c r="AO76" s="195"/>
      <c r="AP76" s="201"/>
      <c r="AQ76" s="196"/>
      <c r="AR76" s="197"/>
      <c r="AS76" s="198"/>
      <c r="AT76" s="197"/>
      <c r="AU76" s="199"/>
      <c r="AV76" s="200"/>
      <c r="AW76" s="195"/>
      <c r="AX76" s="195"/>
      <c r="AY76" s="201"/>
      <c r="AZ76" s="196"/>
      <c r="BA76" s="197"/>
      <c r="BB76" s="198"/>
      <c r="BC76" s="202"/>
      <c r="BD76" s="199"/>
      <c r="BE76" s="200"/>
      <c r="BF76" s="195"/>
      <c r="BG76" s="195"/>
      <c r="BH76" s="201"/>
      <c r="BI76" s="196"/>
      <c r="BJ76" s="197"/>
      <c r="BK76" s="198"/>
      <c r="BL76" s="202"/>
      <c r="BM76" s="199"/>
      <c r="BN76" s="200"/>
      <c r="BO76" s="195"/>
      <c r="BP76" s="195"/>
      <c r="BQ76" s="201"/>
      <c r="BR76" s="196"/>
      <c r="BS76" s="197"/>
      <c r="BT76" s="198"/>
      <c r="BU76" s="197"/>
      <c r="BV76" s="199"/>
      <c r="BW76" s="200"/>
      <c r="BX76" s="195"/>
      <c r="BY76" s="195"/>
      <c r="BZ76" s="201"/>
      <c r="CA76" s="196"/>
      <c r="CB76" s="197"/>
      <c r="CC76" s="198"/>
      <c r="CD76" s="197"/>
      <c r="CE76" s="199"/>
      <c r="CF76" s="200"/>
      <c r="CG76" s="195"/>
      <c r="CH76" s="195"/>
      <c r="CI76" s="201"/>
      <c r="CJ76" s="196"/>
      <c r="CK76" s="197"/>
      <c r="CL76" s="198"/>
      <c r="CM76" s="197"/>
      <c r="CN76" s="199"/>
      <c r="CO76" s="200"/>
      <c r="CP76" s="195"/>
      <c r="CQ76" s="195"/>
      <c r="CR76" s="201"/>
      <c r="CS76" s="196"/>
      <c r="CT76" s="197"/>
      <c r="CU76" s="203"/>
      <c r="CV76" s="202"/>
      <c r="CW76" s="204"/>
      <c r="CX76" s="200"/>
      <c r="CY76" s="195"/>
      <c r="CZ76" s="195"/>
      <c r="DA76" s="201"/>
      <c r="DB76" s="196"/>
      <c r="DC76" s="197"/>
      <c r="DD76" s="198"/>
      <c r="DE76" s="197"/>
      <c r="DF76" s="199"/>
      <c r="DG76" s="200"/>
      <c r="DH76" s="195"/>
      <c r="DI76" s="195"/>
      <c r="DJ76" s="201"/>
      <c r="DK76" s="196"/>
      <c r="DL76" s="197"/>
      <c r="DM76" s="203"/>
      <c r="DN76" s="202"/>
      <c r="DO76" s="204"/>
      <c r="DP76" s="200"/>
      <c r="DQ76" s="195"/>
      <c r="DR76" s="195"/>
      <c r="DS76" s="201"/>
      <c r="DT76" s="196"/>
      <c r="DU76" s="197"/>
      <c r="DV76" s="198"/>
      <c r="DW76" s="197"/>
      <c r="DX76" s="199"/>
      <c r="DY76" s="200"/>
      <c r="DZ76" s="195"/>
      <c r="EA76" s="195"/>
      <c r="EB76" s="201"/>
      <c r="EC76" s="196"/>
      <c r="ED76" s="197"/>
      <c r="EE76" s="203"/>
      <c r="EF76" s="202"/>
      <c r="EG76" s="204"/>
      <c r="EH76" s="200"/>
      <c r="EI76" s="195"/>
      <c r="EJ76" s="195"/>
      <c r="EK76" s="201"/>
      <c r="EL76" s="196"/>
      <c r="EM76" s="197"/>
      <c r="EN76" s="203"/>
      <c r="EO76" s="202"/>
      <c r="EP76" s="204"/>
      <c r="EQ76" s="200"/>
      <c r="ER76" s="195"/>
      <c r="ES76" s="195"/>
      <c r="ET76" s="201"/>
      <c r="EU76" s="196"/>
      <c r="EV76" s="197"/>
      <c r="EW76" s="198"/>
      <c r="EX76" s="197"/>
      <c r="EY76" s="199"/>
      <c r="EZ76" s="200"/>
      <c r="FA76" s="195"/>
      <c r="FB76" s="195"/>
      <c r="FC76" s="201"/>
      <c r="FD76" s="196"/>
      <c r="FE76" s="197"/>
      <c r="FF76" s="198"/>
      <c r="FG76" s="197"/>
      <c r="FH76" s="199"/>
      <c r="FI76" s="200"/>
      <c r="FJ76" s="195"/>
      <c r="FK76" s="195"/>
      <c r="FL76" s="201"/>
      <c r="FM76" s="196"/>
      <c r="FN76" s="197"/>
      <c r="FO76" s="198"/>
      <c r="FP76" s="197"/>
      <c r="FQ76" s="199"/>
      <c r="FR76" s="200"/>
      <c r="FS76" s="195"/>
      <c r="FT76" s="195"/>
      <c r="FU76" s="201"/>
      <c r="FV76" s="196"/>
      <c r="FW76" s="197"/>
      <c r="FX76" s="198"/>
      <c r="FY76" s="197"/>
      <c r="FZ76" s="199"/>
      <c r="GA76" s="200"/>
      <c r="GB76" s="195"/>
      <c r="GC76" s="195"/>
      <c r="GD76" s="201"/>
      <c r="GE76" s="196"/>
      <c r="GF76" s="197"/>
      <c r="GG76" s="198"/>
      <c r="GH76" s="197"/>
      <c r="GI76" s="199"/>
      <c r="GJ76" s="200"/>
      <c r="GK76" s="195"/>
      <c r="GL76" s="195"/>
      <c r="GM76" s="201"/>
      <c r="GN76" s="196"/>
      <c r="GO76" s="197"/>
      <c r="GP76" s="198"/>
      <c r="GQ76" s="197"/>
      <c r="GR76" s="199"/>
      <c r="GS76" s="200"/>
      <c r="GT76" s="187"/>
      <c r="GU76" s="29"/>
      <c r="GV76" s="205"/>
      <c r="GZ76" s="33"/>
    </row>
    <row r="77" spans="1:208" ht="16.5" thickBot="1" x14ac:dyDescent="0.3">
      <c r="A77"/>
      <c r="D77" s="35"/>
      <c r="E77" s="36"/>
      <c r="F77" s="37"/>
      <c r="G77" s="38"/>
      <c r="H77" s="39"/>
      <c r="I77" s="40"/>
      <c r="J77" s="177"/>
      <c r="K77" s="452"/>
      <c r="P77" s="27"/>
      <c r="Q77" s="209"/>
      <c r="T77" s="39">
        <f t="shared" si="5"/>
        <v>0</v>
      </c>
      <c r="U77" s="210"/>
      <c r="W77" s="30"/>
      <c r="X77" s="195"/>
      <c r="Y77" s="183"/>
      <c r="Z77" s="197"/>
      <c r="AA77" s="198"/>
      <c r="AB77" s="197"/>
      <c r="AC77" s="199"/>
      <c r="AD77" s="200"/>
      <c r="AE77" s="195"/>
      <c r="AF77" s="195"/>
      <c r="AG77" s="201"/>
      <c r="AH77" s="183"/>
      <c r="AI77" s="197"/>
      <c r="AJ77" s="198"/>
      <c r="AK77" s="202"/>
      <c r="AL77" s="199"/>
      <c r="AM77" s="200"/>
      <c r="AN77" s="195"/>
      <c r="AO77" s="195"/>
      <c r="AP77" s="201"/>
      <c r="AQ77" s="183"/>
      <c r="AR77" s="197"/>
      <c r="AS77" s="198"/>
      <c r="AT77" s="197"/>
      <c r="AU77" s="199"/>
      <c r="AV77" s="200"/>
      <c r="AW77" s="195"/>
      <c r="AX77" s="195"/>
      <c r="AY77" s="201"/>
      <c r="AZ77" s="183"/>
      <c r="BA77" s="197"/>
      <c r="BB77" s="198"/>
      <c r="BC77" s="202"/>
      <c r="BD77" s="199"/>
      <c r="BE77" s="200"/>
      <c r="BF77" s="195"/>
      <c r="BG77" s="195"/>
      <c r="BH77" s="201"/>
      <c r="BI77" s="183"/>
      <c r="BJ77" s="197"/>
      <c r="BK77" s="198"/>
      <c r="BL77" s="202"/>
      <c r="BM77" s="199"/>
      <c r="BN77" s="200"/>
      <c r="BO77" s="195"/>
      <c r="BP77" s="195"/>
      <c r="BQ77" s="201"/>
      <c r="BR77" s="183"/>
      <c r="BS77" s="197"/>
      <c r="BT77" s="198"/>
      <c r="BU77" s="197"/>
      <c r="BV77" s="199"/>
      <c r="BW77" s="200"/>
      <c r="BX77" s="195"/>
      <c r="BY77" s="195"/>
      <c r="BZ77" s="201"/>
      <c r="CA77" s="183"/>
      <c r="CB77" s="197"/>
      <c r="CC77" s="198"/>
      <c r="CD77" s="197"/>
      <c r="CE77" s="199"/>
      <c r="CF77" s="200"/>
      <c r="CG77" s="195"/>
      <c r="CH77" s="195"/>
      <c r="CI77" s="201"/>
      <c r="CJ77" s="183"/>
      <c r="CK77" s="197"/>
      <c r="CL77" s="198"/>
      <c r="CM77" s="197"/>
      <c r="CN77" s="199"/>
      <c r="CO77" s="200"/>
      <c r="CP77" s="195"/>
      <c r="CQ77" s="195"/>
      <c r="CR77" s="201"/>
      <c r="CS77" s="183"/>
      <c r="CT77" s="197"/>
      <c r="CU77" s="203"/>
      <c r="CV77" s="202"/>
      <c r="CW77" s="204"/>
      <c r="CX77" s="200"/>
      <c r="CY77" s="195"/>
      <c r="CZ77" s="195"/>
      <c r="DA77" s="201"/>
      <c r="DB77" s="183"/>
      <c r="DC77" s="197"/>
      <c r="DD77" s="198"/>
      <c r="DE77" s="197"/>
      <c r="DF77" s="199"/>
      <c r="DG77" s="200"/>
      <c r="DH77" s="195"/>
      <c r="DI77" s="195"/>
      <c r="DJ77" s="201"/>
      <c r="DK77" s="183"/>
      <c r="DL77" s="197"/>
      <c r="DM77" s="203"/>
      <c r="DN77" s="202"/>
      <c r="DO77" s="204"/>
      <c r="DP77" s="200"/>
      <c r="DQ77" s="195"/>
      <c r="DR77" s="195"/>
      <c r="DS77" s="201"/>
      <c r="DT77" s="183"/>
      <c r="DU77" s="197"/>
      <c r="DV77" s="198"/>
      <c r="DW77" s="197"/>
      <c r="DX77" s="199"/>
      <c r="DY77" s="200"/>
      <c r="DZ77" s="195"/>
      <c r="EA77" s="195"/>
      <c r="EB77" s="201"/>
      <c r="EC77" s="183"/>
      <c r="ED77" s="197"/>
      <c r="EE77" s="203"/>
      <c r="EF77" s="202"/>
      <c r="EG77" s="204"/>
      <c r="EH77" s="200"/>
      <c r="EI77" s="195"/>
      <c r="EJ77" s="195"/>
      <c r="EK77" s="201"/>
      <c r="EL77" s="183"/>
      <c r="EM77" s="197"/>
      <c r="EN77" s="203"/>
      <c r="EO77" s="202"/>
      <c r="EP77" s="204"/>
      <c r="EQ77" s="200"/>
      <c r="ER77" s="195"/>
      <c r="ES77" s="195"/>
      <c r="ET77" s="201"/>
      <c r="EU77" s="183"/>
      <c r="EV77" s="197"/>
      <c r="EW77" s="198"/>
      <c r="EX77" s="197"/>
      <c r="EY77" s="199"/>
      <c r="EZ77" s="200"/>
      <c r="FA77" s="195"/>
      <c r="FB77" s="195"/>
      <c r="FC77" s="201"/>
      <c r="FD77" s="183"/>
      <c r="FE77" s="197"/>
      <c r="FF77" s="198"/>
      <c r="FG77" s="197"/>
      <c r="FH77" s="199"/>
      <c r="FI77" s="200"/>
      <c r="FJ77" s="195"/>
      <c r="FK77" s="195"/>
      <c r="FL77" s="201"/>
      <c r="FM77" s="183"/>
      <c r="FN77" s="197"/>
      <c r="FO77" s="198"/>
      <c r="FP77" s="197"/>
      <c r="FQ77" s="199"/>
      <c r="FR77" s="200"/>
      <c r="FS77" s="195"/>
      <c r="FT77" s="195"/>
      <c r="FU77" s="201"/>
      <c r="FV77" s="183"/>
      <c r="FW77" s="197"/>
      <c r="FX77" s="198"/>
      <c r="FY77" s="197"/>
      <c r="FZ77" s="199"/>
      <c r="GA77" s="200"/>
      <c r="GB77" s="195"/>
      <c r="GC77" s="195"/>
      <c r="GD77" s="201"/>
      <c r="GE77" s="183"/>
      <c r="GF77" s="197"/>
      <c r="GG77" s="198"/>
      <c r="GH77" s="197"/>
      <c r="GI77" s="199"/>
      <c r="GJ77" s="200"/>
      <c r="GK77" s="195"/>
      <c r="GL77" s="195"/>
      <c r="GM77" s="201"/>
      <c r="GN77" s="183"/>
      <c r="GO77" s="197"/>
      <c r="GP77" s="198"/>
      <c r="GQ77" s="197"/>
      <c r="GR77" s="199"/>
      <c r="GS77" s="200"/>
      <c r="GT77" s="187"/>
      <c r="GU77" s="29"/>
      <c r="GV77" s="211"/>
      <c r="GZ77" s="33"/>
    </row>
    <row r="78" spans="1:208" ht="17.25" thickTop="1" thickBot="1" x14ac:dyDescent="0.3">
      <c r="A78"/>
      <c r="D78" s="35"/>
      <c r="E78" s="36"/>
      <c r="F78" s="37"/>
      <c r="G78" s="38"/>
      <c r="H78" s="39"/>
      <c r="I78" s="40"/>
      <c r="J78" s="177"/>
      <c r="M78" s="212"/>
      <c r="N78" s="213"/>
      <c r="O78" s="874" t="s">
        <v>29</v>
      </c>
      <c r="P78" s="875"/>
      <c r="Q78" s="875"/>
      <c r="R78" s="214">
        <f>SUM(R9:R77)</f>
        <v>0</v>
      </c>
      <c r="S78" s="215"/>
      <c r="T78" s="216">
        <f>SUM(T9:T77)</f>
        <v>15687339.720000001</v>
      </c>
      <c r="U78" s="217"/>
      <c r="W78" s="218">
        <f t="shared" ref="W78:CH78" si="6">SUM(W9:W77)</f>
        <v>381836.00000000006</v>
      </c>
      <c r="X78" s="219">
        <f t="shared" si="6"/>
        <v>0</v>
      </c>
      <c r="Y78" s="219">
        <f t="shared" si="6"/>
        <v>0</v>
      </c>
      <c r="Z78" s="219">
        <f t="shared" si="6"/>
        <v>0</v>
      </c>
      <c r="AA78" s="219">
        <f t="shared" si="6"/>
        <v>0</v>
      </c>
      <c r="AB78" s="219">
        <f t="shared" si="6"/>
        <v>0</v>
      </c>
      <c r="AC78" s="219">
        <f t="shared" si="6"/>
        <v>0</v>
      </c>
      <c r="AD78" s="219">
        <f t="shared" si="6"/>
        <v>0</v>
      </c>
      <c r="AE78" s="219">
        <f t="shared" si="6"/>
        <v>0</v>
      </c>
      <c r="AF78" s="219">
        <f t="shared" si="6"/>
        <v>0</v>
      </c>
      <c r="AG78" s="219">
        <f t="shared" si="6"/>
        <v>0</v>
      </c>
      <c r="AH78" s="219">
        <f t="shared" si="6"/>
        <v>0</v>
      </c>
      <c r="AI78" s="219">
        <f t="shared" si="6"/>
        <v>0</v>
      </c>
      <c r="AJ78" s="219">
        <f t="shared" si="6"/>
        <v>0</v>
      </c>
      <c r="AK78" s="219">
        <f t="shared" si="6"/>
        <v>0</v>
      </c>
      <c r="AL78" s="219">
        <f t="shared" si="6"/>
        <v>0</v>
      </c>
      <c r="AM78" s="219">
        <f t="shared" si="6"/>
        <v>0</v>
      </c>
      <c r="AN78" s="219">
        <f t="shared" si="6"/>
        <v>0</v>
      </c>
      <c r="AO78" s="219">
        <f t="shared" si="6"/>
        <v>0</v>
      </c>
      <c r="AP78" s="219">
        <f t="shared" si="6"/>
        <v>0</v>
      </c>
      <c r="AQ78" s="219">
        <f t="shared" si="6"/>
        <v>0</v>
      </c>
      <c r="AR78" s="219">
        <f t="shared" si="6"/>
        <v>0</v>
      </c>
      <c r="AS78" s="219">
        <f t="shared" si="6"/>
        <v>0</v>
      </c>
      <c r="AT78" s="219">
        <f t="shared" si="6"/>
        <v>0</v>
      </c>
      <c r="AU78" s="219">
        <f t="shared" si="6"/>
        <v>0</v>
      </c>
      <c r="AV78" s="219">
        <f t="shared" si="6"/>
        <v>0</v>
      </c>
      <c r="AW78" s="219">
        <f t="shared" si="6"/>
        <v>0</v>
      </c>
      <c r="AX78" s="219">
        <f t="shared" si="6"/>
        <v>0</v>
      </c>
      <c r="AY78" s="219">
        <f t="shared" si="6"/>
        <v>0</v>
      </c>
      <c r="AZ78" s="219">
        <f t="shared" si="6"/>
        <v>0</v>
      </c>
      <c r="BA78" s="219">
        <f t="shared" si="6"/>
        <v>0</v>
      </c>
      <c r="BB78" s="219">
        <f t="shared" si="6"/>
        <v>0</v>
      </c>
      <c r="BC78" s="219">
        <f t="shared" si="6"/>
        <v>0</v>
      </c>
      <c r="BD78" s="219">
        <f t="shared" si="6"/>
        <v>0</v>
      </c>
      <c r="BE78" s="219">
        <f t="shared" si="6"/>
        <v>0</v>
      </c>
      <c r="BF78" s="219">
        <f t="shared" si="6"/>
        <v>0</v>
      </c>
      <c r="BG78" s="219">
        <f t="shared" si="6"/>
        <v>0</v>
      </c>
      <c r="BH78" s="219">
        <f t="shared" si="6"/>
        <v>0</v>
      </c>
      <c r="BI78" s="219">
        <f t="shared" si="6"/>
        <v>0</v>
      </c>
      <c r="BJ78" s="219">
        <f t="shared" si="6"/>
        <v>0</v>
      </c>
      <c r="BK78" s="219">
        <f t="shared" si="6"/>
        <v>0</v>
      </c>
      <c r="BL78" s="219">
        <f t="shared" si="6"/>
        <v>0</v>
      </c>
      <c r="BM78" s="219">
        <f t="shared" si="6"/>
        <v>0</v>
      </c>
      <c r="BN78" s="219">
        <f t="shared" si="6"/>
        <v>0</v>
      </c>
      <c r="BO78" s="219">
        <f t="shared" si="6"/>
        <v>0</v>
      </c>
      <c r="BP78" s="219">
        <f t="shared" si="6"/>
        <v>0</v>
      </c>
      <c r="BQ78" s="219">
        <f t="shared" si="6"/>
        <v>0</v>
      </c>
      <c r="BR78" s="219">
        <f t="shared" si="6"/>
        <v>0</v>
      </c>
      <c r="BS78" s="219">
        <f t="shared" si="6"/>
        <v>0</v>
      </c>
      <c r="BT78" s="219">
        <f t="shared" si="6"/>
        <v>0</v>
      </c>
      <c r="BU78" s="219">
        <f t="shared" si="6"/>
        <v>0</v>
      </c>
      <c r="BV78" s="219">
        <f t="shared" si="6"/>
        <v>0</v>
      </c>
      <c r="BW78" s="219">
        <f t="shared" si="6"/>
        <v>0</v>
      </c>
      <c r="BX78" s="219">
        <f t="shared" si="6"/>
        <v>0</v>
      </c>
      <c r="BY78" s="219">
        <f t="shared" si="6"/>
        <v>0</v>
      </c>
      <c r="BZ78" s="219">
        <f t="shared" si="6"/>
        <v>0</v>
      </c>
      <c r="CA78" s="219">
        <f t="shared" si="6"/>
        <v>0</v>
      </c>
      <c r="CB78" s="219">
        <f t="shared" si="6"/>
        <v>0</v>
      </c>
      <c r="CC78" s="219">
        <f t="shared" si="6"/>
        <v>0</v>
      </c>
      <c r="CD78" s="219">
        <f t="shared" si="6"/>
        <v>0</v>
      </c>
      <c r="CE78" s="219">
        <f t="shared" si="6"/>
        <v>0</v>
      </c>
      <c r="CF78" s="219">
        <f t="shared" si="6"/>
        <v>0</v>
      </c>
      <c r="CG78" s="219">
        <f t="shared" si="6"/>
        <v>0</v>
      </c>
      <c r="CH78" s="219">
        <f t="shared" si="6"/>
        <v>0</v>
      </c>
      <c r="CI78" s="219">
        <f t="shared" ref="CI78:ET78" si="7">SUM(CI9:CI77)</f>
        <v>0</v>
      </c>
      <c r="CJ78" s="219">
        <f t="shared" si="7"/>
        <v>0</v>
      </c>
      <c r="CK78" s="219">
        <f t="shared" si="7"/>
        <v>0</v>
      </c>
      <c r="CL78" s="219">
        <f t="shared" si="7"/>
        <v>0</v>
      </c>
      <c r="CM78" s="219">
        <f t="shared" si="7"/>
        <v>0</v>
      </c>
      <c r="CN78" s="219">
        <f t="shared" si="7"/>
        <v>0</v>
      </c>
      <c r="CO78" s="219">
        <f t="shared" si="7"/>
        <v>0</v>
      </c>
      <c r="CP78" s="219">
        <f t="shared" si="7"/>
        <v>0</v>
      </c>
      <c r="CQ78" s="219">
        <f t="shared" si="7"/>
        <v>0</v>
      </c>
      <c r="CR78" s="219">
        <f t="shared" si="7"/>
        <v>0</v>
      </c>
      <c r="CS78" s="219">
        <f t="shared" si="7"/>
        <v>0</v>
      </c>
      <c r="CT78" s="219">
        <f t="shared" si="7"/>
        <v>0</v>
      </c>
      <c r="CU78" s="219">
        <f t="shared" si="7"/>
        <v>0</v>
      </c>
      <c r="CV78" s="219">
        <f t="shared" si="7"/>
        <v>0</v>
      </c>
      <c r="CW78" s="219">
        <f t="shared" si="7"/>
        <v>0</v>
      </c>
      <c r="CX78" s="219">
        <f t="shared" si="7"/>
        <v>0</v>
      </c>
      <c r="CY78" s="219">
        <f t="shared" si="7"/>
        <v>0</v>
      </c>
      <c r="CZ78" s="219">
        <f t="shared" si="7"/>
        <v>0</v>
      </c>
      <c r="DA78" s="219">
        <f t="shared" si="7"/>
        <v>0</v>
      </c>
      <c r="DB78" s="219">
        <f t="shared" si="7"/>
        <v>0</v>
      </c>
      <c r="DC78" s="219">
        <f t="shared" si="7"/>
        <v>0</v>
      </c>
      <c r="DD78" s="219">
        <f t="shared" si="7"/>
        <v>0</v>
      </c>
      <c r="DE78" s="219">
        <f t="shared" si="7"/>
        <v>0</v>
      </c>
      <c r="DF78" s="219">
        <f t="shared" si="7"/>
        <v>0</v>
      </c>
      <c r="DG78" s="219">
        <f t="shared" si="7"/>
        <v>0</v>
      </c>
      <c r="DH78" s="219">
        <f t="shared" si="7"/>
        <v>0</v>
      </c>
      <c r="DI78" s="219">
        <f t="shared" si="7"/>
        <v>0</v>
      </c>
      <c r="DJ78" s="219">
        <f t="shared" si="7"/>
        <v>0</v>
      </c>
      <c r="DK78" s="219">
        <f t="shared" si="7"/>
        <v>0</v>
      </c>
      <c r="DL78" s="219">
        <f t="shared" si="7"/>
        <v>0</v>
      </c>
      <c r="DM78" s="219">
        <f t="shared" si="7"/>
        <v>0</v>
      </c>
      <c r="DN78" s="219">
        <f t="shared" si="7"/>
        <v>0</v>
      </c>
      <c r="DO78" s="219">
        <f t="shared" si="7"/>
        <v>0</v>
      </c>
      <c r="DP78" s="219">
        <f t="shared" si="7"/>
        <v>0</v>
      </c>
      <c r="DQ78" s="219">
        <f t="shared" si="7"/>
        <v>0</v>
      </c>
      <c r="DR78" s="219">
        <f t="shared" si="7"/>
        <v>0</v>
      </c>
      <c r="DS78" s="219">
        <f t="shared" si="7"/>
        <v>0</v>
      </c>
      <c r="DT78" s="219">
        <f t="shared" si="7"/>
        <v>0</v>
      </c>
      <c r="DU78" s="219">
        <f t="shared" si="7"/>
        <v>0</v>
      </c>
      <c r="DV78" s="219">
        <f t="shared" si="7"/>
        <v>0</v>
      </c>
      <c r="DW78" s="219">
        <f t="shared" si="7"/>
        <v>0</v>
      </c>
      <c r="DX78" s="219">
        <f t="shared" si="7"/>
        <v>0</v>
      </c>
      <c r="DY78" s="219">
        <f t="shared" si="7"/>
        <v>0</v>
      </c>
      <c r="DZ78" s="219">
        <f t="shared" si="7"/>
        <v>0</v>
      </c>
      <c r="EA78" s="219">
        <f t="shared" si="7"/>
        <v>0</v>
      </c>
      <c r="EB78" s="219">
        <f t="shared" si="7"/>
        <v>0</v>
      </c>
      <c r="EC78" s="219">
        <f t="shared" si="7"/>
        <v>0</v>
      </c>
      <c r="ED78" s="219">
        <f t="shared" si="7"/>
        <v>0</v>
      </c>
      <c r="EE78" s="219">
        <f t="shared" si="7"/>
        <v>0</v>
      </c>
      <c r="EF78" s="219">
        <f t="shared" si="7"/>
        <v>0</v>
      </c>
      <c r="EG78" s="219">
        <f t="shared" si="7"/>
        <v>0</v>
      </c>
      <c r="EH78" s="219">
        <f t="shared" si="7"/>
        <v>0</v>
      </c>
      <c r="EI78" s="219">
        <f t="shared" si="7"/>
        <v>0</v>
      </c>
      <c r="EJ78" s="219">
        <f t="shared" si="7"/>
        <v>0</v>
      </c>
      <c r="EK78" s="219">
        <f t="shared" si="7"/>
        <v>0</v>
      </c>
      <c r="EL78" s="219">
        <f t="shared" si="7"/>
        <v>0</v>
      </c>
      <c r="EM78" s="219">
        <f t="shared" si="7"/>
        <v>0</v>
      </c>
      <c r="EN78" s="219">
        <f t="shared" si="7"/>
        <v>0</v>
      </c>
      <c r="EO78" s="219">
        <f t="shared" si="7"/>
        <v>0</v>
      </c>
      <c r="EP78" s="219">
        <f t="shared" si="7"/>
        <v>0</v>
      </c>
      <c r="EQ78" s="219">
        <f t="shared" si="7"/>
        <v>0</v>
      </c>
      <c r="ER78" s="219">
        <f t="shared" si="7"/>
        <v>0</v>
      </c>
      <c r="ES78" s="219">
        <f t="shared" si="7"/>
        <v>0</v>
      </c>
      <c r="ET78" s="219">
        <f t="shared" si="7"/>
        <v>0</v>
      </c>
      <c r="EU78" s="219">
        <f t="shared" ref="EU78:GS78" si="8">SUM(EU9:EU77)</f>
        <v>0</v>
      </c>
      <c r="EV78" s="219">
        <f t="shared" si="8"/>
        <v>0</v>
      </c>
      <c r="EW78" s="219">
        <f t="shared" si="8"/>
        <v>0</v>
      </c>
      <c r="EX78" s="219">
        <f t="shared" si="8"/>
        <v>0</v>
      </c>
      <c r="EY78" s="219">
        <f t="shared" si="8"/>
        <v>0</v>
      </c>
      <c r="EZ78" s="219">
        <f t="shared" si="8"/>
        <v>0</v>
      </c>
      <c r="FA78" s="219">
        <f t="shared" si="8"/>
        <v>0</v>
      </c>
      <c r="FB78" s="219">
        <f t="shared" si="8"/>
        <v>0</v>
      </c>
      <c r="FC78" s="219">
        <f t="shared" si="8"/>
        <v>0</v>
      </c>
      <c r="FD78" s="219">
        <f t="shared" si="8"/>
        <v>0</v>
      </c>
      <c r="FE78" s="219">
        <f t="shared" si="8"/>
        <v>0</v>
      </c>
      <c r="FF78" s="219">
        <f t="shared" si="8"/>
        <v>0</v>
      </c>
      <c r="FG78" s="219">
        <f t="shared" si="8"/>
        <v>0</v>
      </c>
      <c r="FH78" s="219">
        <f t="shared" si="8"/>
        <v>0</v>
      </c>
      <c r="FI78" s="219">
        <f t="shared" si="8"/>
        <v>0</v>
      </c>
      <c r="FJ78" s="219">
        <f t="shared" si="8"/>
        <v>0</v>
      </c>
      <c r="FK78" s="219">
        <f t="shared" si="8"/>
        <v>0</v>
      </c>
      <c r="FL78" s="219">
        <f t="shared" si="8"/>
        <v>0</v>
      </c>
      <c r="FM78" s="219">
        <f t="shared" si="8"/>
        <v>0</v>
      </c>
      <c r="FN78" s="219">
        <f t="shared" si="8"/>
        <v>0</v>
      </c>
      <c r="FO78" s="219">
        <f t="shared" si="8"/>
        <v>0</v>
      </c>
      <c r="FP78" s="219">
        <f t="shared" si="8"/>
        <v>0</v>
      </c>
      <c r="FQ78" s="219">
        <f t="shared" si="8"/>
        <v>0</v>
      </c>
      <c r="FR78" s="219">
        <f t="shared" si="8"/>
        <v>0</v>
      </c>
      <c r="FS78" s="219">
        <f t="shared" si="8"/>
        <v>0</v>
      </c>
      <c r="FT78" s="219">
        <f t="shared" si="8"/>
        <v>0</v>
      </c>
      <c r="FU78" s="219">
        <f t="shared" si="8"/>
        <v>0</v>
      </c>
      <c r="FV78" s="219">
        <f t="shared" si="8"/>
        <v>0</v>
      </c>
      <c r="FW78" s="219">
        <f t="shared" si="8"/>
        <v>0</v>
      </c>
      <c r="FX78" s="219">
        <f t="shared" si="8"/>
        <v>0</v>
      </c>
      <c r="FY78" s="219">
        <f t="shared" si="8"/>
        <v>0</v>
      </c>
      <c r="FZ78" s="219">
        <f t="shared" si="8"/>
        <v>0</v>
      </c>
      <c r="GA78" s="219">
        <f t="shared" si="8"/>
        <v>0</v>
      </c>
      <c r="GB78" s="219">
        <f t="shared" si="8"/>
        <v>0</v>
      </c>
      <c r="GC78" s="219">
        <f t="shared" si="8"/>
        <v>0</v>
      </c>
      <c r="GD78" s="219">
        <f t="shared" si="8"/>
        <v>0</v>
      </c>
      <c r="GE78" s="219">
        <f t="shared" si="8"/>
        <v>0</v>
      </c>
      <c r="GF78" s="219">
        <f t="shared" si="8"/>
        <v>0</v>
      </c>
      <c r="GG78" s="219">
        <f t="shared" si="8"/>
        <v>0</v>
      </c>
      <c r="GH78" s="219">
        <f t="shared" si="8"/>
        <v>0</v>
      </c>
      <c r="GI78" s="219">
        <f t="shared" si="8"/>
        <v>0</v>
      </c>
      <c r="GJ78" s="219">
        <f t="shared" si="8"/>
        <v>0</v>
      </c>
      <c r="GK78" s="219">
        <f t="shared" si="8"/>
        <v>0</v>
      </c>
      <c r="GL78" s="219">
        <f t="shared" si="8"/>
        <v>0</v>
      </c>
      <c r="GM78" s="219">
        <f t="shared" si="8"/>
        <v>0</v>
      </c>
      <c r="GN78" s="219">
        <f t="shared" si="8"/>
        <v>0</v>
      </c>
      <c r="GO78" s="219">
        <f t="shared" si="8"/>
        <v>0</v>
      </c>
      <c r="GP78" s="219">
        <f t="shared" si="8"/>
        <v>0</v>
      </c>
      <c r="GQ78" s="219">
        <f t="shared" si="8"/>
        <v>0</v>
      </c>
      <c r="GR78" s="219">
        <f t="shared" si="8"/>
        <v>0</v>
      </c>
      <c r="GS78" s="219">
        <f t="shared" si="8"/>
        <v>0</v>
      </c>
      <c r="GT78" s="219"/>
      <c r="GU78" s="220">
        <f>SUM(GU9:GU77)</f>
        <v>0</v>
      </c>
      <c r="GV78" s="221"/>
      <c r="GW78" s="62"/>
      <c r="GX78" s="62"/>
      <c r="GY78" s="219"/>
      <c r="GZ78" s="223">
        <f>SUM(GZ9:GZ77)</f>
        <v>72848</v>
      </c>
    </row>
    <row r="79" spans="1:208" x14ac:dyDescent="0.25">
      <c r="D79" s="35"/>
      <c r="E79" s="36"/>
      <c r="F79" s="37"/>
      <c r="G79" s="38"/>
      <c r="H79" s="39"/>
      <c r="I79" s="40"/>
      <c r="J79" s="177"/>
      <c r="M79" s="212"/>
      <c r="N79" s="213"/>
      <c r="O79" s="224"/>
      <c r="P79" s="225"/>
      <c r="Q79" s="226"/>
      <c r="R79" s="226"/>
      <c r="S79" s="226"/>
      <c r="T79" s="39"/>
      <c r="U79" s="217"/>
      <c r="X79" s="227"/>
      <c r="Y79" s="228"/>
      <c r="Z79" s="229"/>
      <c r="AA79" s="36"/>
      <c r="AB79" s="229"/>
      <c r="AC79" s="230"/>
      <c r="AD79" s="87"/>
      <c r="AG79" s="227"/>
      <c r="AH79" s="228"/>
      <c r="AI79" s="229"/>
      <c r="AJ79" s="36"/>
      <c r="AK79" s="231"/>
      <c r="AL79" s="230"/>
      <c r="AM79" s="87"/>
      <c r="AP79" s="227"/>
      <c r="AQ79" s="228"/>
      <c r="AR79" s="229"/>
      <c r="AS79" s="36"/>
      <c r="AT79" s="229"/>
      <c r="AU79" s="230"/>
      <c r="AV79" s="87"/>
      <c r="AY79" s="227"/>
      <c r="AZ79" s="228"/>
      <c r="BA79" s="229"/>
      <c r="BB79" s="36"/>
      <c r="BC79" s="231"/>
      <c r="BD79" s="230"/>
      <c r="BE79" s="87"/>
      <c r="BH79" s="227"/>
      <c r="BI79" s="228"/>
      <c r="BJ79" s="229"/>
      <c r="BK79" s="36"/>
      <c r="BL79" s="231"/>
      <c r="BM79" s="230"/>
      <c r="BN79" s="87"/>
      <c r="BQ79" s="227"/>
      <c r="BR79" s="228"/>
      <c r="BS79" s="229"/>
      <c r="BT79" s="36"/>
      <c r="BU79" s="229"/>
      <c r="BV79" s="230"/>
      <c r="BW79" s="87"/>
      <c r="BZ79" s="227"/>
      <c r="CA79" s="228"/>
      <c r="CB79" s="229"/>
      <c r="CC79" s="36"/>
      <c r="CD79" s="229"/>
      <c r="CE79" s="230"/>
      <c r="CF79" s="87"/>
      <c r="CI79" s="227"/>
      <c r="CJ79" s="228"/>
      <c r="CK79" s="229"/>
      <c r="CL79" s="36"/>
      <c r="CM79" s="229"/>
      <c r="CN79" s="230"/>
      <c r="CO79" s="87"/>
      <c r="CR79" s="227"/>
      <c r="CS79" s="228"/>
      <c r="CT79" s="229"/>
      <c r="CU79" s="232"/>
      <c r="CV79" s="231"/>
      <c r="CW79" s="233"/>
      <c r="CX79" s="87"/>
      <c r="DA79" s="227"/>
      <c r="DB79" s="228"/>
      <c r="DC79" s="229"/>
      <c r="DD79" s="36"/>
      <c r="DE79" s="229"/>
      <c r="DF79" s="230"/>
      <c r="DG79" s="87"/>
      <c r="DJ79" s="227"/>
      <c r="DK79" s="228"/>
      <c r="DL79" s="229"/>
      <c r="DM79" s="232"/>
      <c r="DN79" s="231"/>
      <c r="DO79" s="233"/>
      <c r="DP79" s="87"/>
      <c r="DS79" s="227"/>
      <c r="DT79" s="228"/>
      <c r="DU79" s="229"/>
      <c r="DV79" s="36"/>
      <c r="DW79" s="229"/>
      <c r="DX79" s="230"/>
      <c r="DY79" s="87"/>
      <c r="EB79" s="227"/>
      <c r="EC79" s="228"/>
      <c r="ED79" s="229"/>
      <c r="EE79" s="232"/>
      <c r="EF79" s="231"/>
      <c r="EG79" s="233"/>
      <c r="EH79" s="87"/>
      <c r="EK79" s="227"/>
      <c r="EL79" s="228"/>
      <c r="EM79" s="229"/>
      <c r="EN79" s="232"/>
      <c r="EO79" s="231"/>
      <c r="EP79" s="233"/>
      <c r="EQ79" s="87"/>
      <c r="ET79" s="227"/>
      <c r="EU79" s="228"/>
      <c r="EV79" s="229"/>
      <c r="EW79" s="36"/>
      <c r="EX79" s="229"/>
      <c r="EY79" s="230"/>
      <c r="EZ79" s="87"/>
      <c r="FC79" s="227"/>
      <c r="FD79" s="228"/>
      <c r="FE79" s="229"/>
      <c r="FF79" s="36"/>
      <c r="FG79" s="229"/>
      <c r="FH79" s="230"/>
      <c r="FI79" s="87"/>
      <c r="FL79" s="227"/>
      <c r="FM79" s="228"/>
      <c r="FN79" s="229"/>
      <c r="FO79" s="36"/>
      <c r="FP79" s="229"/>
      <c r="FQ79" s="230"/>
      <c r="FR79" s="87"/>
      <c r="FU79" s="227"/>
      <c r="FV79" s="228"/>
      <c r="FW79" s="229"/>
      <c r="FX79" s="36"/>
      <c r="FY79" s="229"/>
      <c r="FZ79" s="230"/>
      <c r="GA79" s="87"/>
      <c r="GD79" s="227"/>
      <c r="GE79" s="228"/>
      <c r="GF79" s="229"/>
      <c r="GG79" s="36"/>
      <c r="GH79" s="229"/>
      <c r="GI79" s="230"/>
      <c r="GJ79" s="87"/>
      <c r="GM79" s="227"/>
      <c r="GN79" s="228"/>
      <c r="GO79" s="229"/>
      <c r="GP79" s="36"/>
      <c r="GQ79" s="229"/>
      <c r="GR79" s="230"/>
      <c r="GS79" s="87"/>
      <c r="GT79" s="187"/>
      <c r="GU79"/>
      <c r="GW79" s="235"/>
      <c r="GX79" s="235"/>
      <c r="GY79" s="195"/>
      <c r="GZ79" s="195"/>
    </row>
    <row r="80" spans="1:208" ht="16.5" thickBot="1" x14ac:dyDescent="0.3">
      <c r="D80" s="35"/>
      <c r="E80" s="36"/>
      <c r="F80" s="37"/>
      <c r="G80" s="38"/>
      <c r="H80" s="39"/>
      <c r="I80" s="40"/>
      <c r="J80" s="177"/>
      <c r="M80" s="212"/>
      <c r="N80" s="213"/>
      <c r="O80" s="224"/>
      <c r="P80" s="225"/>
      <c r="Q80" s="226"/>
      <c r="R80" s="226"/>
      <c r="S80" s="226"/>
      <c r="T80" s="39"/>
      <c r="U80" s="217"/>
      <c r="X80" s="227"/>
      <c r="Y80" s="228"/>
      <c r="Z80" s="229"/>
      <c r="AA80" s="36"/>
      <c r="AB80" s="229"/>
      <c r="AC80" s="230"/>
      <c r="AD80" s="87"/>
      <c r="AG80" s="227"/>
      <c r="AH80" s="228"/>
      <c r="AI80" s="229"/>
      <c r="AJ80" s="36"/>
      <c r="AK80" s="231"/>
      <c r="AL80" s="230"/>
      <c r="AM80" s="87"/>
      <c r="AP80" s="227"/>
      <c r="AQ80" s="228"/>
      <c r="AR80" s="229"/>
      <c r="AS80" s="36"/>
      <c r="AT80" s="229"/>
      <c r="AU80" s="230"/>
      <c r="AV80" s="87"/>
      <c r="AY80" s="227"/>
      <c r="AZ80" s="228"/>
      <c r="BA80" s="229"/>
      <c r="BB80" s="36"/>
      <c r="BC80" s="231"/>
      <c r="BD80" s="230"/>
      <c r="BE80" s="87"/>
      <c r="BH80" s="227"/>
      <c r="BI80" s="228"/>
      <c r="BJ80" s="229"/>
      <c r="BK80" s="36"/>
      <c r="BL80" s="231"/>
      <c r="BM80" s="230"/>
      <c r="BN80" s="87"/>
      <c r="BQ80" s="227"/>
      <c r="BR80" s="228"/>
      <c r="BS80" s="229"/>
      <c r="BT80" s="36"/>
      <c r="BU80" s="229"/>
      <c r="BV80" s="230"/>
      <c r="BW80" s="87"/>
      <c r="BZ80" s="227"/>
      <c r="CA80" s="228"/>
      <c r="CB80" s="229"/>
      <c r="CC80" s="36"/>
      <c r="CD80" s="229"/>
      <c r="CE80" s="230"/>
      <c r="CF80" s="87"/>
      <c r="CI80" s="227"/>
      <c r="CJ80" s="228"/>
      <c r="CK80" s="229"/>
      <c r="CL80" s="36"/>
      <c r="CM80" s="229"/>
      <c r="CN80" s="230"/>
      <c r="CO80" s="87"/>
      <c r="CR80" s="227"/>
      <c r="CS80" s="228"/>
      <c r="CT80" s="229"/>
      <c r="CU80" s="232"/>
      <c r="CV80" s="231"/>
      <c r="CW80" s="233"/>
      <c r="CX80" s="87"/>
      <c r="DA80" s="227"/>
      <c r="DB80" s="228"/>
      <c r="DC80" s="229"/>
      <c r="DD80" s="36"/>
      <c r="DE80" s="229"/>
      <c r="DF80" s="230"/>
      <c r="DG80" s="87"/>
      <c r="DJ80" s="227"/>
      <c r="DK80" s="228"/>
      <c r="DL80" s="229"/>
      <c r="DM80" s="232"/>
      <c r="DN80" s="231"/>
      <c r="DO80" s="233"/>
      <c r="DP80" s="87"/>
      <c r="DS80" s="227"/>
      <c r="DT80" s="228"/>
      <c r="DU80" s="229"/>
      <c r="DV80" s="36"/>
      <c r="DW80" s="229"/>
      <c r="DX80" s="230"/>
      <c r="DY80" s="87"/>
      <c r="EB80" s="227"/>
      <c r="EC80" s="228"/>
      <c r="ED80" s="229"/>
      <c r="EE80" s="232"/>
      <c r="EF80" s="231"/>
      <c r="EG80" s="233"/>
      <c r="EH80" s="87"/>
      <c r="EK80" s="227"/>
      <c r="EL80" s="228"/>
      <c r="EM80" s="229"/>
      <c r="EN80" s="232"/>
      <c r="EO80" s="231"/>
      <c r="EP80" s="233"/>
      <c r="EQ80" s="87"/>
      <c r="ET80" s="227"/>
      <c r="EU80" s="228"/>
      <c r="EV80" s="229"/>
      <c r="EW80" s="36"/>
      <c r="EX80" s="229"/>
      <c r="EY80" s="230"/>
      <c r="EZ80" s="87"/>
      <c r="FC80" s="227"/>
      <c r="FD80" s="228"/>
      <c r="FE80" s="229"/>
      <c r="FF80" s="36"/>
      <c r="FG80" s="229"/>
      <c r="FH80" s="230"/>
      <c r="FI80" s="87"/>
      <c r="FL80" s="227"/>
      <c r="FM80" s="228"/>
      <c r="FN80" s="229"/>
      <c r="FO80" s="36"/>
      <c r="FP80" s="229"/>
      <c r="FQ80" s="230"/>
      <c r="FR80" s="87"/>
      <c r="FU80" s="227"/>
      <c r="FV80" s="228"/>
      <c r="FW80" s="229"/>
      <c r="FX80" s="36"/>
      <c r="FY80" s="229"/>
      <c r="FZ80" s="230"/>
      <c r="GA80" s="87"/>
      <c r="GD80" s="227"/>
      <c r="GE80" s="228"/>
      <c r="GF80" s="229"/>
      <c r="GG80" s="36"/>
      <c r="GH80" s="229"/>
      <c r="GI80" s="230"/>
      <c r="GJ80" s="87"/>
      <c r="GM80" s="227"/>
      <c r="GN80" s="228"/>
      <c r="GO80" s="229"/>
      <c r="GP80" s="36"/>
      <c r="GQ80" s="229"/>
      <c r="GR80" s="230"/>
      <c r="GS80" s="87"/>
      <c r="GT80" s="187"/>
      <c r="GU80"/>
      <c r="GW80" s="235"/>
      <c r="GX80" s="235"/>
      <c r="GY80" s="195"/>
      <c r="GZ80" s="195"/>
    </row>
    <row r="81" spans="1:208" ht="16.5" thickTop="1" x14ac:dyDescent="0.25">
      <c r="D81" s="35"/>
      <c r="E81" s="36"/>
      <c r="F81" s="37"/>
      <c r="G81" s="38"/>
      <c r="H81" s="39"/>
      <c r="I81" s="40"/>
      <c r="J81" s="177"/>
      <c r="M81" s="212"/>
      <c r="O81" s="876" t="s">
        <v>30</v>
      </c>
      <c r="P81" s="877"/>
      <c r="Q81" s="877"/>
      <c r="R81" s="237"/>
      <c r="S81" s="237"/>
      <c r="T81" s="880">
        <f>GZ78+GU78+W78+T78+R78</f>
        <v>16142023.720000001</v>
      </c>
      <c r="U81" s="881"/>
      <c r="X81" s="227"/>
      <c r="Y81" s="228"/>
      <c r="Z81" s="229"/>
      <c r="AA81" s="36"/>
      <c r="AB81" s="229"/>
      <c r="AC81" s="230"/>
      <c r="AD81" s="87"/>
      <c r="AG81" s="227"/>
      <c r="AH81" s="228"/>
      <c r="AI81" s="229"/>
      <c r="AJ81" s="36"/>
      <c r="AK81" s="231"/>
      <c r="AL81" s="230"/>
      <c r="AM81" s="87"/>
      <c r="AP81" s="227"/>
      <c r="AQ81" s="228"/>
      <c r="AR81" s="229"/>
      <c r="AS81" s="36"/>
      <c r="AT81" s="229"/>
      <c r="AU81" s="230"/>
      <c r="AV81" s="87"/>
      <c r="AY81" s="227"/>
      <c r="AZ81" s="228"/>
      <c r="BA81" s="229"/>
      <c r="BB81" s="36"/>
      <c r="BC81" s="231"/>
      <c r="BD81" s="230"/>
      <c r="BE81" s="87"/>
      <c r="BH81" s="227"/>
      <c r="BI81" s="228"/>
      <c r="BJ81" s="229"/>
      <c r="BK81" s="36"/>
      <c r="BL81" s="231"/>
      <c r="BM81" s="230"/>
      <c r="BN81" s="87"/>
      <c r="BQ81" s="227"/>
      <c r="BR81" s="228"/>
      <c r="BS81" s="229"/>
      <c r="BT81" s="36"/>
      <c r="BU81" s="229"/>
      <c r="BV81" s="230"/>
      <c r="BW81" s="87"/>
      <c r="BZ81" s="227"/>
      <c r="CA81" s="228"/>
      <c r="CB81" s="229"/>
      <c r="CC81" s="36"/>
      <c r="CD81" s="229"/>
      <c r="CE81" s="230"/>
      <c r="CF81" s="87"/>
      <c r="CI81" s="227"/>
      <c r="CJ81" s="228"/>
      <c r="CK81" s="229"/>
      <c r="CL81" s="36"/>
      <c r="CM81" s="229"/>
      <c r="CN81" s="230"/>
      <c r="CO81" s="87"/>
      <c r="CR81" s="227"/>
      <c r="CS81" s="228"/>
      <c r="CT81" s="229"/>
      <c r="CU81" s="232"/>
      <c r="CV81" s="231"/>
      <c r="CW81" s="233"/>
      <c r="CX81" s="87"/>
      <c r="DA81" s="227"/>
      <c r="DB81" s="228"/>
      <c r="DC81" s="229"/>
      <c r="DD81" s="36"/>
      <c r="DE81" s="229"/>
      <c r="DF81" s="230"/>
      <c r="DG81" s="87"/>
      <c r="DJ81" s="227"/>
      <c r="DK81" s="228"/>
      <c r="DL81" s="229"/>
      <c r="DM81" s="232"/>
      <c r="DN81" s="231"/>
      <c r="DO81" s="233"/>
      <c r="DP81" s="87"/>
      <c r="DS81" s="227"/>
      <c r="DT81" s="228"/>
      <c r="DU81" s="229"/>
      <c r="DV81" s="36"/>
      <c r="DW81" s="229"/>
      <c r="DX81" s="230"/>
      <c r="DY81" s="87"/>
      <c r="EB81" s="227"/>
      <c r="EC81" s="228"/>
      <c r="ED81" s="229"/>
      <c r="EE81" s="232"/>
      <c r="EF81" s="231"/>
      <c r="EG81" s="233"/>
      <c r="EH81" s="87"/>
      <c r="EK81" s="227"/>
      <c r="EL81" s="228"/>
      <c r="EM81" s="229"/>
      <c r="EN81" s="232"/>
      <c r="EO81" s="231"/>
      <c r="EP81" s="233"/>
      <c r="EQ81" s="87"/>
      <c r="ET81" s="227"/>
      <c r="EU81" s="228"/>
      <c r="EV81" s="229"/>
      <c r="EW81" s="36"/>
      <c r="EX81" s="229"/>
      <c r="EY81" s="230"/>
      <c r="EZ81" s="87"/>
      <c r="FC81" s="227"/>
      <c r="FD81" s="228"/>
      <c r="FE81" s="229"/>
      <c r="FF81" s="36"/>
      <c r="FG81" s="229"/>
      <c r="FH81" s="230"/>
      <c r="FI81" s="87"/>
      <c r="FL81" s="227"/>
      <c r="FM81" s="228"/>
      <c r="FN81" s="229"/>
      <c r="FO81" s="36"/>
      <c r="FP81" s="229"/>
      <c r="FQ81" s="230"/>
      <c r="FR81" s="87"/>
      <c r="FU81" s="227"/>
      <c r="FV81" s="228"/>
      <c r="FW81" s="229"/>
      <c r="FX81" s="36"/>
      <c r="FY81" s="229"/>
      <c r="FZ81" s="230"/>
      <c r="GA81" s="87"/>
      <c r="GD81" s="227"/>
      <c r="GE81" s="228"/>
      <c r="GF81" s="229"/>
      <c r="GG81" s="36"/>
      <c r="GH81" s="229"/>
      <c r="GI81" s="230"/>
      <c r="GJ81" s="87"/>
      <c r="GM81" s="227"/>
      <c r="GN81" s="228"/>
      <c r="GO81" s="229"/>
      <c r="GP81" s="36"/>
      <c r="GQ81" s="229"/>
      <c r="GR81" s="230"/>
      <c r="GS81" s="87"/>
      <c r="GT81" s="187"/>
      <c r="GU81"/>
      <c r="GW81" s="235"/>
      <c r="GX81" s="235"/>
      <c r="GY81" s="195"/>
      <c r="GZ81" s="195"/>
    </row>
    <row r="82" spans="1:208" ht="16.5" thickBot="1" x14ac:dyDescent="0.3">
      <c r="D82" s="35"/>
      <c r="E82" s="36"/>
      <c r="F82" s="37"/>
      <c r="G82" s="38"/>
      <c r="H82" s="39"/>
      <c r="I82" s="40"/>
      <c r="J82" s="238"/>
      <c r="M82" s="212"/>
      <c r="O82" s="878"/>
      <c r="P82" s="879"/>
      <c r="Q82" s="879"/>
      <c r="R82" s="239"/>
      <c r="S82" s="239"/>
      <c r="T82" s="882"/>
      <c r="U82" s="883"/>
      <c r="X82" s="227"/>
      <c r="Y82" s="228"/>
      <c r="Z82" s="229"/>
      <c r="AA82" s="36"/>
      <c r="AB82" s="229"/>
      <c r="AC82" s="230"/>
      <c r="AD82" s="87"/>
      <c r="AG82" s="227"/>
      <c r="AH82" s="228"/>
      <c r="AI82" s="229"/>
      <c r="AJ82" s="36"/>
      <c r="AK82" s="231"/>
      <c r="AL82" s="230"/>
      <c r="AM82" s="87"/>
      <c r="AP82" s="227"/>
      <c r="AQ82" s="228"/>
      <c r="AR82" s="229"/>
      <c r="AS82" s="36"/>
      <c r="AT82" s="229"/>
      <c r="AU82" s="230"/>
      <c r="AV82" s="87"/>
      <c r="AY82" s="227"/>
      <c r="AZ82" s="228"/>
      <c r="BA82" s="229"/>
      <c r="BB82" s="36"/>
      <c r="BC82" s="231"/>
      <c r="BD82" s="230"/>
      <c r="BE82" s="87"/>
      <c r="BH82" s="227"/>
      <c r="BI82" s="228"/>
      <c r="BJ82" s="229"/>
      <c r="BK82" s="36"/>
      <c r="BL82" s="231"/>
      <c r="BM82" s="230"/>
      <c r="BN82" s="87"/>
      <c r="BQ82" s="227"/>
      <c r="BR82" s="228"/>
      <c r="BS82" s="229"/>
      <c r="BT82" s="36"/>
      <c r="BU82" s="229"/>
      <c r="BV82" s="230"/>
      <c r="BW82" s="87"/>
      <c r="BZ82" s="227"/>
      <c r="CA82" s="228"/>
      <c r="CB82" s="229"/>
      <c r="CC82" s="36"/>
      <c r="CD82" s="229"/>
      <c r="CE82" s="230"/>
      <c r="CF82" s="87"/>
      <c r="CI82" s="227"/>
      <c r="CJ82" s="228"/>
      <c r="CK82" s="229"/>
      <c r="CL82" s="36"/>
      <c r="CM82" s="229"/>
      <c r="CN82" s="230"/>
      <c r="CO82" s="87"/>
      <c r="CR82" s="227"/>
      <c r="CS82" s="228"/>
      <c r="CT82" s="229"/>
      <c r="CU82" s="232"/>
      <c r="CV82" s="231"/>
      <c r="CW82" s="233"/>
      <c r="CX82" s="87"/>
      <c r="DA82" s="227"/>
      <c r="DB82" s="228"/>
      <c r="DC82" s="229"/>
      <c r="DD82" s="36"/>
      <c r="DE82" s="229"/>
      <c r="DF82" s="230"/>
      <c r="DG82" s="87"/>
      <c r="DJ82" s="227"/>
      <c r="DK82" s="228"/>
      <c r="DL82" s="229"/>
      <c r="DM82" s="232"/>
      <c r="DN82" s="231"/>
      <c r="DO82" s="233"/>
      <c r="DP82" s="87"/>
      <c r="DS82" s="227"/>
      <c r="DT82" s="228"/>
      <c r="DU82" s="229"/>
      <c r="DV82" s="36"/>
      <c r="DW82" s="229"/>
      <c r="DX82" s="230"/>
      <c r="DY82" s="87"/>
      <c r="EB82" s="227"/>
      <c r="EC82" s="228"/>
      <c r="ED82" s="229"/>
      <c r="EE82" s="232"/>
      <c r="EF82" s="231"/>
      <c r="EG82" s="233"/>
      <c r="EH82" s="87"/>
      <c r="EK82" s="227"/>
      <c r="EL82" s="228"/>
      <c r="EM82" s="229"/>
      <c r="EN82" s="232"/>
      <c r="EO82" s="231"/>
      <c r="EP82" s="233"/>
      <c r="EQ82" s="87"/>
      <c r="ET82" s="227"/>
      <c r="EU82" s="228"/>
      <c r="EV82" s="229"/>
      <c r="EW82" s="36"/>
      <c r="EX82" s="229"/>
      <c r="EY82" s="230"/>
      <c r="EZ82" s="87"/>
      <c r="FC82" s="227"/>
      <c r="FD82" s="228"/>
      <c r="FE82" s="229"/>
      <c r="FF82" s="36"/>
      <c r="FG82" s="229"/>
      <c r="FH82" s="230"/>
      <c r="FI82" s="87"/>
      <c r="FL82" s="227"/>
      <c r="FM82" s="228"/>
      <c r="FN82" s="229"/>
      <c r="FO82" s="36"/>
      <c r="FP82" s="229"/>
      <c r="FQ82" s="230"/>
      <c r="FR82" s="87"/>
      <c r="FU82" s="227"/>
      <c r="FV82" s="228"/>
      <c r="FW82" s="229"/>
      <c r="FX82" s="36"/>
      <c r="FY82" s="229"/>
      <c r="FZ82" s="230"/>
      <c r="GA82" s="87"/>
      <c r="GD82" s="227"/>
      <c r="GE82" s="228"/>
      <c r="GF82" s="229"/>
      <c r="GG82" s="36"/>
      <c r="GH82" s="229"/>
      <c r="GI82" s="230"/>
      <c r="GJ82" s="87"/>
      <c r="GM82" s="227"/>
      <c r="GN82" s="228"/>
      <c r="GO82" s="229"/>
      <c r="GP82" s="36"/>
      <c r="GQ82" s="229"/>
      <c r="GR82" s="230"/>
      <c r="GS82" s="87"/>
      <c r="GT82" s="187"/>
      <c r="GU82"/>
      <c r="GW82" s="235"/>
      <c r="GX82" s="235"/>
      <c r="GY82" s="195"/>
      <c r="GZ82" s="195"/>
    </row>
    <row r="83" spans="1:208" ht="16.5" thickTop="1" x14ac:dyDescent="0.25">
      <c r="D83" s="35"/>
      <c r="E83" s="36"/>
      <c r="F83" s="37"/>
      <c r="G83" s="38"/>
      <c r="H83" s="39"/>
      <c r="I83" s="40"/>
      <c r="J83" s="238"/>
      <c r="M83" s="212"/>
      <c r="O83" s="224"/>
      <c r="P83" s="225"/>
      <c r="Q83" s="226"/>
      <c r="R83" s="226"/>
      <c r="S83" s="226"/>
      <c r="T83" s="39"/>
      <c r="U83" s="217"/>
      <c r="X83" s="227"/>
      <c r="Y83" s="228"/>
      <c r="Z83" s="229"/>
      <c r="AA83" s="36"/>
      <c r="AB83" s="229"/>
      <c r="AC83" s="230"/>
      <c r="AD83" s="87"/>
      <c r="AG83" s="227"/>
      <c r="AH83" s="228"/>
      <c r="AI83" s="229"/>
      <c r="AJ83" s="36"/>
      <c r="AK83" s="231"/>
      <c r="AL83" s="230"/>
      <c r="AM83" s="87"/>
      <c r="AP83" s="227"/>
      <c r="AQ83" s="228"/>
      <c r="AR83" s="229"/>
      <c r="AS83" s="36"/>
      <c r="AT83" s="229"/>
      <c r="AU83" s="230"/>
      <c r="AV83" s="87"/>
      <c r="AY83" s="227"/>
      <c r="AZ83" s="228"/>
      <c r="BA83" s="229"/>
      <c r="BB83" s="36"/>
      <c r="BC83" s="231"/>
      <c r="BD83" s="230"/>
      <c r="BE83" s="87"/>
      <c r="BH83" s="227"/>
      <c r="BI83" s="228"/>
      <c r="BJ83" s="229"/>
      <c r="BK83" s="36"/>
      <c r="BL83" s="231"/>
      <c r="BM83" s="230"/>
      <c r="BN83" s="87"/>
      <c r="BQ83" s="227"/>
      <c r="BR83" s="228"/>
      <c r="BS83" s="229"/>
      <c r="BT83" s="36"/>
      <c r="BU83" s="229"/>
      <c r="BV83" s="230"/>
      <c r="BW83" s="87"/>
      <c r="BZ83" s="227"/>
      <c r="CA83" s="228"/>
      <c r="CB83" s="229"/>
      <c r="CC83" s="36"/>
      <c r="CD83" s="229"/>
      <c r="CE83" s="230"/>
      <c r="CF83" s="87"/>
      <c r="CI83" s="227"/>
      <c r="CJ83" s="228"/>
      <c r="CK83" s="229"/>
      <c r="CL83" s="36"/>
      <c r="CM83" s="229"/>
      <c r="CN83" s="230"/>
      <c r="CO83" s="87"/>
      <c r="CR83" s="227"/>
      <c r="CS83" s="228"/>
      <c r="CT83" s="229"/>
      <c r="CU83" s="232"/>
      <c r="CV83" s="231"/>
      <c r="CW83" s="233"/>
      <c r="CX83" s="87"/>
      <c r="DA83" s="227"/>
      <c r="DB83" s="228"/>
      <c r="DC83" s="229"/>
      <c r="DD83" s="36"/>
      <c r="DE83" s="229"/>
      <c r="DF83" s="230"/>
      <c r="DG83" s="87"/>
      <c r="DJ83" s="227"/>
      <c r="DK83" s="228"/>
      <c r="DL83" s="229"/>
      <c r="DM83" s="232"/>
      <c r="DN83" s="231"/>
      <c r="DO83" s="233"/>
      <c r="DP83" s="87"/>
      <c r="DS83" s="227"/>
      <c r="DT83" s="228"/>
      <c r="DU83" s="229"/>
      <c r="DV83" s="36"/>
      <c r="DW83" s="229"/>
      <c r="DX83" s="230"/>
      <c r="DY83" s="87"/>
      <c r="EB83" s="227"/>
      <c r="EC83" s="228"/>
      <c r="ED83" s="229"/>
      <c r="EE83" s="232"/>
      <c r="EF83" s="231"/>
      <c r="EG83" s="233"/>
      <c r="EH83" s="87"/>
      <c r="EK83" s="227"/>
      <c r="EL83" s="228"/>
      <c r="EM83" s="229"/>
      <c r="EN83" s="232"/>
      <c r="EO83" s="231"/>
      <c r="EP83" s="233"/>
      <c r="EQ83" s="87"/>
      <c r="ET83" s="227"/>
      <c r="EU83" s="228"/>
      <c r="EV83" s="229"/>
      <c r="EW83" s="36"/>
      <c r="EX83" s="229"/>
      <c r="EY83" s="230"/>
      <c r="EZ83" s="87"/>
      <c r="FC83" s="227"/>
      <c r="FD83" s="228"/>
      <c r="FE83" s="229"/>
      <c r="FF83" s="36"/>
      <c r="FG83" s="229"/>
      <c r="FH83" s="230"/>
      <c r="FI83" s="87"/>
      <c r="FL83" s="227"/>
      <c r="FM83" s="228"/>
      <c r="FN83" s="229"/>
      <c r="FO83" s="36"/>
      <c r="FP83" s="229"/>
      <c r="FQ83" s="230"/>
      <c r="FR83" s="87"/>
      <c r="FU83" s="227"/>
      <c r="FV83" s="228"/>
      <c r="FW83" s="229"/>
      <c r="FX83" s="36"/>
      <c r="FY83" s="229"/>
      <c r="FZ83" s="230"/>
      <c r="GA83" s="87"/>
      <c r="GD83" s="227"/>
      <c r="GE83" s="228"/>
      <c r="GF83" s="229"/>
      <c r="GG83" s="36"/>
      <c r="GH83" s="229"/>
      <c r="GI83" s="230"/>
      <c r="GJ83" s="87"/>
      <c r="GM83" s="227"/>
      <c r="GN83" s="228"/>
      <c r="GO83" s="229"/>
      <c r="GP83" s="36"/>
      <c r="GQ83" s="229"/>
      <c r="GR83" s="230"/>
      <c r="GS83" s="87"/>
      <c r="GT83" s="187"/>
      <c r="GU83"/>
      <c r="GW83" s="235"/>
      <c r="GX83" s="235"/>
      <c r="GY83" s="195"/>
      <c r="GZ83" s="195"/>
    </row>
    <row r="84" spans="1:208" x14ac:dyDescent="0.25">
      <c r="D84" s="35"/>
      <c r="E84" s="36"/>
      <c r="F84" s="37"/>
      <c r="G84" s="38"/>
      <c r="H84" s="39"/>
      <c r="I84" s="40"/>
      <c r="J84" s="177"/>
      <c r="M84" s="212"/>
      <c r="O84" s="224"/>
      <c r="P84" s="225"/>
      <c r="Q84" s="226"/>
      <c r="R84" s="226"/>
      <c r="S84" s="226"/>
      <c r="T84" s="39"/>
      <c r="U84" s="217"/>
      <c r="X84" s="227"/>
      <c r="Y84" s="228"/>
      <c r="Z84" s="229"/>
      <c r="AA84" s="36"/>
      <c r="AB84" s="229"/>
      <c r="AC84" s="230"/>
      <c r="AD84" s="87"/>
      <c r="AG84" s="227"/>
      <c r="AH84" s="228"/>
      <c r="AI84" s="229"/>
      <c r="AJ84" s="36"/>
      <c r="AK84" s="231"/>
      <c r="AL84" s="230"/>
      <c r="AM84" s="87"/>
      <c r="AP84" s="227"/>
      <c r="AQ84" s="228"/>
      <c r="AR84" s="229"/>
      <c r="AS84" s="36"/>
      <c r="AT84" s="229"/>
      <c r="AU84" s="230"/>
      <c r="AV84" s="87"/>
      <c r="AY84" s="227"/>
      <c r="AZ84" s="228"/>
      <c r="BA84" s="229"/>
      <c r="BB84" s="36"/>
      <c r="BC84" s="231"/>
      <c r="BD84" s="230"/>
      <c r="BE84" s="87"/>
      <c r="BH84" s="227"/>
      <c r="BI84" s="228"/>
      <c r="BJ84" s="229"/>
      <c r="BK84" s="36"/>
      <c r="BL84" s="231"/>
      <c r="BM84" s="230"/>
      <c r="BN84" s="87"/>
      <c r="BQ84" s="227"/>
      <c r="BR84" s="228"/>
      <c r="BS84" s="229"/>
      <c r="BT84" s="36"/>
      <c r="BU84" s="229"/>
      <c r="BV84" s="230"/>
      <c r="BW84" s="87"/>
      <c r="BZ84" s="227"/>
      <c r="CA84" s="228"/>
      <c r="CB84" s="229"/>
      <c r="CC84" s="36"/>
      <c r="CD84" s="229"/>
      <c r="CE84" s="230"/>
      <c r="CF84" s="87"/>
      <c r="CI84" s="227"/>
      <c r="CJ84" s="228"/>
      <c r="CK84" s="229"/>
      <c r="CL84" s="36"/>
      <c r="CM84" s="229"/>
      <c r="CN84" s="230"/>
      <c r="CO84" s="87"/>
      <c r="CR84" s="227"/>
      <c r="CS84" s="228"/>
      <c r="CT84" s="229"/>
      <c r="CU84" s="232"/>
      <c r="CV84" s="231"/>
      <c r="CW84" s="233"/>
      <c r="CX84" s="87"/>
      <c r="DA84" s="227"/>
      <c r="DB84" s="228"/>
      <c r="DC84" s="229"/>
      <c r="DD84" s="36"/>
      <c r="DE84" s="229"/>
      <c r="DF84" s="230"/>
      <c r="DG84" s="87"/>
      <c r="DJ84" s="227"/>
      <c r="DK84" s="228"/>
      <c r="DL84" s="229"/>
      <c r="DM84" s="232"/>
      <c r="DN84" s="231"/>
      <c r="DO84" s="233"/>
      <c r="DP84" s="87"/>
      <c r="DS84" s="227"/>
      <c r="DT84" s="228"/>
      <c r="DU84" s="229"/>
      <c r="DV84" s="36"/>
      <c r="DW84" s="229"/>
      <c r="DX84" s="230"/>
      <c r="DY84" s="87"/>
      <c r="EB84" s="227"/>
      <c r="EC84" s="228"/>
      <c r="ED84" s="229"/>
      <c r="EE84" s="232"/>
      <c r="EF84" s="231"/>
      <c r="EG84" s="233"/>
      <c r="EH84" s="87"/>
      <c r="EK84" s="227"/>
      <c r="EL84" s="228"/>
      <c r="EM84" s="229"/>
      <c r="EN84" s="232"/>
      <c r="EO84" s="231"/>
      <c r="EP84" s="233"/>
      <c r="EQ84" s="87"/>
      <c r="ET84" s="227"/>
      <c r="EU84" s="228"/>
      <c r="EV84" s="229"/>
      <c r="EW84" s="36"/>
      <c r="EX84" s="229"/>
      <c r="EY84" s="230"/>
      <c r="EZ84" s="87"/>
      <c r="FC84" s="227"/>
      <c r="FD84" s="228"/>
      <c r="FE84" s="229"/>
      <c r="FF84" s="36"/>
      <c r="FG84" s="229"/>
      <c r="FH84" s="230"/>
      <c r="FI84" s="87"/>
      <c r="FL84" s="227"/>
      <c r="FM84" s="228"/>
      <c r="FN84" s="229"/>
      <c r="FO84" s="36"/>
      <c r="FP84" s="229"/>
      <c r="FQ84" s="230"/>
      <c r="FR84" s="87"/>
      <c r="FU84" s="227"/>
      <c r="FV84" s="228"/>
      <c r="FW84" s="229"/>
      <c r="FX84" s="36"/>
      <c r="FY84" s="229"/>
      <c r="FZ84" s="230"/>
      <c r="GA84" s="87"/>
      <c r="GD84" s="227"/>
      <c r="GE84" s="228"/>
      <c r="GF84" s="229"/>
      <c r="GG84" s="36"/>
      <c r="GH84" s="229"/>
      <c r="GI84" s="230"/>
      <c r="GJ84" s="87"/>
      <c r="GM84" s="227"/>
      <c r="GN84" s="228"/>
      <c r="GO84" s="229"/>
      <c r="GP84" s="36"/>
      <c r="GQ84" s="229"/>
      <c r="GR84" s="230"/>
      <c r="GS84" s="87"/>
      <c r="GT84" s="187"/>
      <c r="GU84"/>
      <c r="GW84" s="235"/>
      <c r="GX84" s="235"/>
      <c r="GY84" s="195"/>
      <c r="GZ84" s="195"/>
    </row>
    <row r="85" spans="1:208" x14ac:dyDescent="0.25">
      <c r="A85" s="1">
        <v>25</v>
      </c>
      <c r="B85" t="e">
        <f>#REF!</f>
        <v>#REF!</v>
      </c>
      <c r="C85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77"/>
      <c r="M85" s="212"/>
      <c r="O85" s="224"/>
      <c r="P85" s="240"/>
      <c r="Q85" s="226"/>
      <c r="R85" s="226"/>
      <c r="S85" s="226"/>
      <c r="T85" s="39"/>
      <c r="U85" s="241"/>
      <c r="X85" s="227"/>
      <c r="Y85" s="228"/>
      <c r="Z85" s="229"/>
      <c r="AA85" s="198"/>
      <c r="AB85" s="197"/>
      <c r="AC85" s="199"/>
      <c r="AD85" s="200"/>
      <c r="AG85" s="227"/>
      <c r="AH85" s="228"/>
      <c r="AI85" s="229"/>
      <c r="AJ85" s="232"/>
      <c r="AK85" s="231"/>
      <c r="AL85" s="233"/>
      <c r="AM85" s="87"/>
      <c r="AP85" s="227"/>
      <c r="AQ85" s="228">
        <v>21</v>
      </c>
      <c r="AR85" s="229"/>
      <c r="AS85" s="232"/>
      <c r="AT85" s="229"/>
      <c r="AU85" s="233"/>
      <c r="AV85" s="87"/>
      <c r="AY85" s="227"/>
      <c r="AZ85" s="228">
        <v>21</v>
      </c>
      <c r="BA85" s="229"/>
      <c r="BB85" s="232"/>
      <c r="BC85" s="231"/>
      <c r="BD85" s="233"/>
      <c r="BE85" s="87"/>
      <c r="BH85" s="227"/>
      <c r="BI85" s="228"/>
      <c r="BJ85" s="229"/>
      <c r="BK85" s="232"/>
      <c r="BL85" s="231"/>
      <c r="BM85" s="233"/>
      <c r="BN85" s="87"/>
      <c r="BQ85" s="227"/>
      <c r="BR85" s="228"/>
      <c r="BS85" s="229"/>
      <c r="BT85" s="36"/>
      <c r="BU85" s="229"/>
      <c r="BV85" s="230"/>
      <c r="BW85" s="87"/>
      <c r="BZ85" s="227"/>
      <c r="CA85" s="228"/>
      <c r="CB85" s="229"/>
      <c r="CC85" s="36"/>
      <c r="CD85" s="229"/>
      <c r="CE85" s="230"/>
      <c r="CF85" s="87"/>
      <c r="CI85" s="227"/>
      <c r="CJ85" s="228">
        <v>21</v>
      </c>
      <c r="CK85" s="229"/>
      <c r="CL85" s="36"/>
      <c r="CM85" s="229"/>
      <c r="CN85" s="230"/>
      <c r="CO85" s="87"/>
      <c r="CR85" s="227"/>
      <c r="CS85" s="228"/>
      <c r="CT85" s="229"/>
      <c r="CU85" s="232"/>
      <c r="CV85" s="231"/>
      <c r="CW85" s="233"/>
      <c r="CX85" s="87"/>
      <c r="DA85" s="227"/>
      <c r="DB85" s="228">
        <v>21</v>
      </c>
      <c r="DC85" s="229"/>
      <c r="DD85" s="36"/>
      <c r="DE85" s="229"/>
      <c r="DF85" s="230"/>
      <c r="DG85" s="87"/>
      <c r="DJ85" s="227"/>
      <c r="DK85" s="228"/>
      <c r="DL85" s="229"/>
      <c r="DM85" s="232"/>
      <c r="DN85" s="231"/>
      <c r="DO85" s="233"/>
      <c r="DP85" s="87"/>
      <c r="DS85" s="227"/>
      <c r="DT85" s="228"/>
      <c r="DU85" s="229"/>
      <c r="DV85" s="36"/>
      <c r="DW85" s="229"/>
      <c r="DX85" s="230"/>
      <c r="DY85" s="87"/>
      <c r="EB85" s="227"/>
      <c r="EC85" s="228">
        <v>21</v>
      </c>
      <c r="ED85" s="229"/>
      <c r="EE85" s="232"/>
      <c r="EF85" s="231"/>
      <c r="EG85" s="233"/>
      <c r="EH85" s="87"/>
      <c r="EK85" s="227"/>
      <c r="EL85" s="228">
        <v>21</v>
      </c>
      <c r="EM85" s="229"/>
      <c r="EN85" s="232"/>
      <c r="EO85" s="231"/>
      <c r="EP85" s="233"/>
      <c r="EQ85" s="87"/>
      <c r="ET85" s="227"/>
      <c r="EU85" s="228">
        <v>21</v>
      </c>
      <c r="EV85" s="229"/>
      <c r="EW85" s="36"/>
      <c r="EX85" s="229"/>
      <c r="EY85" s="230"/>
      <c r="EZ85" s="87"/>
      <c r="FC85" s="227"/>
      <c r="FD85" s="228">
        <v>21</v>
      </c>
      <c r="FE85" s="229"/>
      <c r="FF85" s="36"/>
      <c r="FG85" s="229"/>
      <c r="FH85" s="230"/>
      <c r="FI85" s="87"/>
      <c r="FL85" s="227"/>
      <c r="FM85" s="228">
        <v>21</v>
      </c>
      <c r="FN85" s="229"/>
      <c r="FO85" s="36"/>
      <c r="FP85" s="229"/>
      <c r="FQ85" s="230"/>
      <c r="FR85" s="87"/>
      <c r="FU85" s="227"/>
      <c r="FV85" s="228">
        <v>21</v>
      </c>
      <c r="FW85" s="229"/>
      <c r="FX85" s="36"/>
      <c r="FY85" s="229"/>
      <c r="FZ85" s="230"/>
      <c r="GA85" s="87"/>
      <c r="GD85" s="227"/>
      <c r="GE85" s="228">
        <v>21</v>
      </c>
      <c r="GF85" s="229"/>
      <c r="GG85" s="36"/>
      <c r="GH85" s="229"/>
      <c r="GI85" s="230"/>
      <c r="GJ85" s="87"/>
      <c r="GM85" s="227"/>
      <c r="GN85" s="228">
        <v>21</v>
      </c>
      <c r="GO85" s="229"/>
      <c r="GP85" s="36"/>
      <c r="GQ85" s="229"/>
      <c r="GR85" s="230"/>
      <c r="GS85" s="87"/>
      <c r="GT85" s="187"/>
      <c r="GU85"/>
      <c r="GW85" s="235"/>
      <c r="GX85" s="235"/>
      <c r="GY85" s="195"/>
      <c r="GZ85" s="195"/>
    </row>
    <row r="86" spans="1:208" x14ac:dyDescent="0.25">
      <c r="A86" s="1">
        <v>26</v>
      </c>
      <c r="B86" t="e">
        <f>#REF!</f>
        <v>#REF!</v>
      </c>
      <c r="C86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38"/>
      <c r="M86" s="212"/>
      <c r="T86" s="39"/>
      <c r="U86" s="242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232"/>
      <c r="AK86" s="231"/>
      <c r="AL86" s="233"/>
      <c r="AM86" s="87"/>
      <c r="AP86" s="227"/>
      <c r="AQ86" s="228">
        <v>22</v>
      </c>
      <c r="AR86" s="231"/>
      <c r="AS86" s="232"/>
      <c r="AT86" s="229"/>
      <c r="AU86" s="233"/>
      <c r="AV86" s="87"/>
      <c r="AY86" s="227"/>
      <c r="AZ86" s="228">
        <v>22</v>
      </c>
      <c r="BA86" s="229"/>
      <c r="BB86" s="232"/>
      <c r="BC86" s="231"/>
      <c r="BD86" s="233"/>
      <c r="BE86" s="87"/>
      <c r="BH86" s="227"/>
      <c r="BI86" s="228"/>
      <c r="BJ86" s="229"/>
      <c r="BK86" s="232"/>
      <c r="BL86" s="231"/>
      <c r="BM86" s="233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>
        <v>22</v>
      </c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>
        <v>22</v>
      </c>
      <c r="DC86" s="229"/>
      <c r="DD86" s="232"/>
      <c r="DE86" s="231"/>
      <c r="DF86" s="233"/>
      <c r="DG86" s="87"/>
      <c r="DJ86" s="227"/>
      <c r="DK86" s="228"/>
      <c r="DL86" s="229">
        <v>0</v>
      </c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>
        <v>22</v>
      </c>
      <c r="ED86" s="229"/>
      <c r="EE86" s="232"/>
      <c r="EF86" s="231"/>
      <c r="EG86" s="233"/>
      <c r="EH86" s="87"/>
      <c r="EK86" s="227"/>
      <c r="EL86" s="228">
        <v>22</v>
      </c>
      <c r="EM86" s="229"/>
      <c r="EN86" s="232"/>
      <c r="EO86" s="231"/>
      <c r="EP86" s="233"/>
      <c r="EQ86" s="87"/>
      <c r="ET86" s="227"/>
      <c r="EU86" s="228">
        <v>22</v>
      </c>
      <c r="EV86" s="229"/>
      <c r="EW86" s="36"/>
      <c r="EX86" s="229"/>
      <c r="EY86" s="230"/>
      <c r="EZ86" s="87"/>
      <c r="FC86" s="227"/>
      <c r="FD86" s="228">
        <v>22</v>
      </c>
      <c r="FE86" s="229"/>
      <c r="FF86" s="36"/>
      <c r="FG86" s="229"/>
      <c r="FH86" s="230"/>
      <c r="FI86" s="87"/>
      <c r="FL86" s="227"/>
      <c r="FM86" s="228">
        <v>22</v>
      </c>
      <c r="FN86" s="229"/>
      <c r="FO86" s="36"/>
      <c r="FP86" s="229"/>
      <c r="FQ86" s="230"/>
      <c r="FR86" s="87"/>
      <c r="FU86" s="227"/>
      <c r="FV86" s="228">
        <v>22</v>
      </c>
      <c r="FW86" s="229"/>
      <c r="FX86" s="36"/>
      <c r="FY86" s="229"/>
      <c r="FZ86" s="230"/>
      <c r="GA86" s="87"/>
      <c r="GD86" s="227"/>
      <c r="GE86" s="228">
        <v>22</v>
      </c>
      <c r="GF86" s="229"/>
      <c r="GG86" s="36"/>
      <c r="GH86" s="229"/>
      <c r="GI86" s="230"/>
      <c r="GJ86" s="87"/>
      <c r="GM86" s="227"/>
      <c r="GN86" s="228">
        <v>22</v>
      </c>
      <c r="GO86" s="229"/>
      <c r="GP86" s="36"/>
      <c r="GQ86" s="229"/>
      <c r="GR86" s="230"/>
      <c r="GS86" s="87"/>
      <c r="GT86" s="187"/>
      <c r="GU86"/>
      <c r="GW86" s="235"/>
      <c r="GX86" s="235"/>
      <c r="GY86" s="195"/>
      <c r="GZ86" s="195"/>
    </row>
    <row r="87" spans="1:208" ht="16.5" thickBot="1" x14ac:dyDescent="0.3">
      <c r="A87" s="1">
        <v>27</v>
      </c>
      <c r="B87" t="e">
        <f>#REF!</f>
        <v>#REF!</v>
      </c>
      <c r="C87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38"/>
      <c r="U87" s="242"/>
      <c r="X87" s="227"/>
      <c r="Y87" s="228"/>
      <c r="Z87" s="231"/>
      <c r="AA87" s="36"/>
      <c r="AB87" s="229"/>
      <c r="AC87" s="230"/>
      <c r="AD87" s="87"/>
      <c r="AG87" s="243"/>
      <c r="AH87" s="244"/>
      <c r="AI87" s="245"/>
      <c r="AJ87" s="246"/>
      <c r="AK87" s="247"/>
      <c r="AL87" s="248"/>
      <c r="AP87" s="227"/>
      <c r="AQ87" s="228">
        <v>23</v>
      </c>
      <c r="AR87" s="231"/>
      <c r="AS87" s="232"/>
      <c r="AT87" s="229"/>
      <c r="AU87" s="230"/>
      <c r="AV87" s="87"/>
      <c r="AY87" s="227"/>
      <c r="AZ87" s="228"/>
      <c r="BA87" s="231"/>
      <c r="BB87" s="232"/>
      <c r="BC87" s="249"/>
      <c r="BD87" s="230"/>
      <c r="BE87" s="87"/>
      <c r="BH87" s="243"/>
      <c r="BI87" s="250"/>
      <c r="BJ87" s="245"/>
      <c r="BK87" s="251"/>
      <c r="BL87" s="247"/>
      <c r="BM87" s="252"/>
      <c r="BN87" s="87"/>
      <c r="BR87" s="228"/>
      <c r="BS87" s="231"/>
      <c r="BT87" s="36"/>
      <c r="BU87" s="231"/>
      <c r="BV87" s="230"/>
      <c r="BW87" s="87"/>
      <c r="BZ87" s="243"/>
      <c r="CA87" s="253"/>
      <c r="CB87" s="245"/>
      <c r="CC87" s="246"/>
      <c r="CD87" s="247"/>
      <c r="CE87" s="248"/>
      <c r="CI87" s="227"/>
      <c r="CJ87" s="228">
        <v>23</v>
      </c>
      <c r="CK87" s="231"/>
      <c r="CM87" s="231"/>
      <c r="CR87" s="243"/>
      <c r="CS87" s="253"/>
      <c r="CT87" s="245">
        <v>0</v>
      </c>
      <c r="CU87" s="246"/>
      <c r="CV87" s="247">
        <v>0</v>
      </c>
      <c r="CW87" s="248"/>
      <c r="DA87" s="243"/>
      <c r="DB87" s="253"/>
      <c r="DC87" s="245">
        <v>0</v>
      </c>
      <c r="DD87" s="246"/>
      <c r="DE87" s="247">
        <v>0</v>
      </c>
      <c r="DF87" s="248"/>
      <c r="DJ87" s="243"/>
      <c r="DK87" s="253"/>
      <c r="DL87" s="245">
        <v>0</v>
      </c>
      <c r="DM87" s="246"/>
      <c r="DN87" s="247">
        <v>0</v>
      </c>
      <c r="DO87" s="248"/>
      <c r="DS87" s="243"/>
      <c r="DT87" s="253"/>
      <c r="DU87" s="245">
        <v>0</v>
      </c>
      <c r="DV87" s="246"/>
      <c r="DW87" s="247">
        <v>0</v>
      </c>
      <c r="DX87" s="248"/>
      <c r="EB87" s="243"/>
      <c r="EC87" s="253"/>
      <c r="ED87" s="245">
        <v>0</v>
      </c>
      <c r="EE87" s="246"/>
      <c r="EF87" s="247">
        <v>0</v>
      </c>
      <c r="EG87" s="248"/>
      <c r="EK87" s="243"/>
      <c r="EL87" s="253"/>
      <c r="EM87" s="245">
        <v>0</v>
      </c>
      <c r="EN87" s="246"/>
      <c r="EO87" s="247">
        <v>0</v>
      </c>
      <c r="EP87" s="248"/>
      <c r="ET87" s="243"/>
      <c r="EU87" s="253"/>
      <c r="EV87" s="245">
        <v>0</v>
      </c>
      <c r="EW87" s="246"/>
      <c r="EX87" s="247">
        <v>0</v>
      </c>
      <c r="EY87" s="248"/>
      <c r="FC87" s="243"/>
      <c r="FD87" s="253"/>
      <c r="FE87" s="245">
        <v>0</v>
      </c>
      <c r="FF87" s="246"/>
      <c r="FG87" s="247">
        <v>0</v>
      </c>
      <c r="FH87" s="248"/>
      <c r="FL87" s="243"/>
      <c r="FM87" s="253"/>
      <c r="FN87" s="245">
        <v>0</v>
      </c>
      <c r="FO87" s="246"/>
      <c r="FP87" s="247">
        <v>0</v>
      </c>
      <c r="FQ87" s="248"/>
      <c r="FU87" s="243"/>
      <c r="FV87" s="253"/>
      <c r="FW87" s="245">
        <v>0</v>
      </c>
      <c r="FX87" s="246"/>
      <c r="FY87" s="247">
        <v>0</v>
      </c>
      <c r="FZ87" s="248"/>
      <c r="GD87" s="243"/>
      <c r="GE87" s="253"/>
      <c r="GF87" s="245">
        <v>0</v>
      </c>
      <c r="GG87" s="246"/>
      <c r="GH87" s="247">
        <v>0</v>
      </c>
      <c r="GI87" s="248"/>
      <c r="GM87" s="243"/>
      <c r="GN87" s="253"/>
      <c r="GO87" s="245">
        <v>0</v>
      </c>
      <c r="GP87" s="246"/>
      <c r="GQ87" s="247">
        <v>0</v>
      </c>
      <c r="GR87" s="248"/>
      <c r="GU87"/>
      <c r="GW87" s="235"/>
      <c r="GX87" s="235"/>
      <c r="GY87" s="195"/>
      <c r="GZ87" s="195"/>
    </row>
    <row r="88" spans="1:208" x14ac:dyDescent="0.25">
      <c r="J88" s="177"/>
      <c r="K88" s="452"/>
      <c r="T88" s="39"/>
      <c r="U88" s="217"/>
      <c r="GU88"/>
      <c r="GW88" s="235"/>
      <c r="GX88" s="235"/>
      <c r="GY88" s="195"/>
      <c r="GZ88" s="195"/>
    </row>
    <row r="89" spans="1:208" x14ac:dyDescent="0.25">
      <c r="J89" s="238"/>
      <c r="K89" s="452"/>
      <c r="T89" s="39"/>
      <c r="U89" s="217"/>
      <c r="GU89"/>
      <c r="GW89" s="235"/>
      <c r="GX89" s="235"/>
      <c r="GY89" s="195"/>
      <c r="GZ89" s="195"/>
    </row>
    <row r="90" spans="1:208" x14ac:dyDescent="0.25">
      <c r="J90" s="177"/>
      <c r="K90" s="452"/>
      <c r="O90" s="224"/>
      <c r="P90" s="225"/>
      <c r="Q90" s="226"/>
      <c r="R90" s="226"/>
      <c r="S90" s="226"/>
      <c r="T90" s="39"/>
      <c r="U90" s="217"/>
      <c r="GU90"/>
      <c r="GW90" s="235"/>
      <c r="GX90" s="235"/>
      <c r="GY90" s="195"/>
      <c r="GZ90" s="195"/>
    </row>
    <row r="91" spans="1:208" x14ac:dyDescent="0.25">
      <c r="J91" s="238"/>
      <c r="K91" s="452"/>
      <c r="M91" s="212"/>
      <c r="O91" s="224"/>
      <c r="P91" s="225"/>
      <c r="Q91" s="226"/>
      <c r="R91" s="226"/>
      <c r="S91" s="226"/>
      <c r="T91" s="39"/>
      <c r="U91" s="217"/>
      <c r="GU91"/>
      <c r="GW91" s="235"/>
      <c r="GX91" s="235"/>
      <c r="GY91" s="195"/>
      <c r="GZ91" s="195"/>
    </row>
    <row r="92" spans="1:208" x14ac:dyDescent="0.25">
      <c r="J92" s="177"/>
      <c r="K92" s="452"/>
      <c r="M92" s="212"/>
      <c r="O92" s="884"/>
      <c r="P92" s="884"/>
      <c r="Q92" s="884"/>
      <c r="T92" s="39"/>
      <c r="U92" s="217"/>
      <c r="GU92"/>
      <c r="GW92" s="235"/>
      <c r="GX92" s="235"/>
      <c r="GY92" s="195"/>
      <c r="GZ92" s="195"/>
    </row>
    <row r="93" spans="1:208" x14ac:dyDescent="0.25">
      <c r="J93" s="238"/>
      <c r="GU93"/>
      <c r="GW93" s="235"/>
      <c r="GX93" s="235"/>
      <c r="GY93" s="195"/>
      <c r="GZ93" s="195"/>
    </row>
    <row r="94" spans="1:208" x14ac:dyDescent="0.25">
      <c r="J94" s="177"/>
      <c r="GU94"/>
      <c r="GW94" s="235"/>
      <c r="GX94" s="235"/>
      <c r="GY94" s="195"/>
      <c r="GZ94" s="195"/>
    </row>
    <row r="95" spans="1:208" x14ac:dyDescent="0.25">
      <c r="A95"/>
      <c r="F95"/>
      <c r="J95" s="177"/>
      <c r="K95" s="453"/>
      <c r="L95"/>
      <c r="M95"/>
      <c r="N95"/>
      <c r="O95" s="37"/>
      <c r="P95"/>
      <c r="Q95"/>
      <c r="R95"/>
      <c r="S95"/>
      <c r="V95"/>
      <c r="W95"/>
      <c r="GU95"/>
      <c r="GW95" s="235"/>
      <c r="GX95" s="235"/>
      <c r="GY95" s="195"/>
      <c r="GZ95" s="195"/>
    </row>
    <row r="96" spans="1:208" x14ac:dyDescent="0.25">
      <c r="A96"/>
      <c r="F96"/>
      <c r="J96" s="238"/>
      <c r="K96" s="453"/>
      <c r="L96"/>
      <c r="M96"/>
      <c r="N96"/>
      <c r="O96" s="37"/>
      <c r="P96"/>
      <c r="Q96"/>
      <c r="R96"/>
      <c r="S96"/>
      <c r="V96"/>
      <c r="W96"/>
      <c r="GU96"/>
      <c r="GW96" s="235"/>
      <c r="GX96" s="235"/>
      <c r="GY96" s="195"/>
      <c r="GZ96" s="195"/>
    </row>
    <row r="97" spans="1:208" x14ac:dyDescent="0.25">
      <c r="A97"/>
      <c r="F97"/>
      <c r="J97" s="238"/>
      <c r="K97" s="453"/>
      <c r="L97"/>
      <c r="M97"/>
      <c r="N97"/>
      <c r="O97" s="37"/>
      <c r="P97"/>
      <c r="Q97"/>
      <c r="R97"/>
      <c r="S97"/>
      <c r="V97"/>
      <c r="W97"/>
      <c r="GU97"/>
      <c r="GW97" s="235"/>
      <c r="GX97" s="235"/>
      <c r="GY97" s="195"/>
      <c r="GZ97" s="195"/>
    </row>
    <row r="98" spans="1:208" x14ac:dyDescent="0.25">
      <c r="A98"/>
      <c r="F98"/>
      <c r="J98" s="238"/>
      <c r="K98" s="453"/>
      <c r="L98"/>
      <c r="M98"/>
      <c r="N98"/>
      <c r="O98" s="37"/>
      <c r="P98"/>
      <c r="Q98"/>
      <c r="R98"/>
      <c r="S98"/>
      <c r="V98"/>
      <c r="W98"/>
      <c r="GU98"/>
      <c r="GW98" s="235"/>
      <c r="GX98" s="235"/>
      <c r="GY98" s="195"/>
      <c r="GZ98" s="195"/>
    </row>
    <row r="99" spans="1:208" x14ac:dyDescent="0.25">
      <c r="A99"/>
      <c r="F99"/>
      <c r="J99" s="255"/>
      <c r="K99" s="453"/>
      <c r="L99"/>
      <c r="M99"/>
      <c r="N99"/>
      <c r="O99" s="37"/>
      <c r="P99"/>
      <c r="Q99"/>
      <c r="R99"/>
      <c r="S99"/>
      <c r="V99"/>
      <c r="W99"/>
      <c r="GU99"/>
      <c r="GW99" s="235"/>
      <c r="GX99" s="235"/>
      <c r="GY99" s="195"/>
      <c r="GZ99" s="195"/>
    </row>
    <row r="100" spans="1:208" x14ac:dyDescent="0.25">
      <c r="A100"/>
      <c r="F100"/>
      <c r="J100" s="208"/>
      <c r="K100" s="453"/>
      <c r="L100"/>
      <c r="M100"/>
      <c r="N100"/>
      <c r="O100" s="37"/>
      <c r="P100"/>
      <c r="Q100"/>
      <c r="R100"/>
      <c r="S100"/>
      <c r="V100"/>
      <c r="W100"/>
      <c r="GU100"/>
      <c r="GW100" s="235"/>
      <c r="GX100" s="235"/>
      <c r="GY100" s="195"/>
      <c r="GZ100" s="195"/>
    </row>
    <row r="101" spans="1:208" x14ac:dyDescent="0.25">
      <c r="A101"/>
      <c r="F101"/>
      <c r="J101" s="177"/>
      <c r="K101" s="453"/>
      <c r="L101"/>
      <c r="M101"/>
      <c r="N101"/>
      <c r="O101" s="37"/>
      <c r="P101"/>
      <c r="Q101"/>
      <c r="R101"/>
      <c r="S101"/>
      <c r="V101"/>
      <c r="W101"/>
      <c r="GU101"/>
      <c r="GW101" s="235"/>
      <c r="GX101" s="235"/>
      <c r="GY101" s="195"/>
      <c r="GZ101" s="195"/>
    </row>
    <row r="102" spans="1:208" x14ac:dyDescent="0.25">
      <c r="A102"/>
      <c r="F102"/>
      <c r="J102" s="177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195"/>
      <c r="GZ102" s="195"/>
    </row>
    <row r="103" spans="1:208" x14ac:dyDescent="0.25">
      <c r="A103"/>
      <c r="F103"/>
      <c r="J103" s="177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195"/>
      <c r="GZ103" s="195"/>
    </row>
    <row r="104" spans="1:208" x14ac:dyDescent="0.25">
      <c r="A104"/>
      <c r="F104"/>
      <c r="J104" s="177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195"/>
      <c r="GZ104" s="195"/>
    </row>
    <row r="105" spans="1:208" x14ac:dyDescent="0.25">
      <c r="A105"/>
      <c r="F105"/>
      <c r="J105" s="177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195"/>
      <c r="GZ105" s="195"/>
    </row>
    <row r="106" spans="1:208" x14ac:dyDescent="0.25">
      <c r="A106"/>
      <c r="F106"/>
      <c r="J106" s="177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195"/>
      <c r="GZ106" s="195"/>
    </row>
    <row r="107" spans="1:208" x14ac:dyDescent="0.25">
      <c r="A107"/>
      <c r="F107"/>
      <c r="J107" s="177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195"/>
      <c r="GZ107" s="195"/>
    </row>
  </sheetData>
  <mergeCells count="30">
    <mergeCell ref="O78:Q78"/>
    <mergeCell ref="O81:Q82"/>
    <mergeCell ref="T81:U82"/>
    <mergeCell ref="O92:Q92"/>
    <mergeCell ref="FT1:FZ1"/>
    <mergeCell ref="DI1:DO1"/>
    <mergeCell ref="J1:Q1"/>
    <mergeCell ref="X1:AC1"/>
    <mergeCell ref="AF1:AL1"/>
    <mergeCell ref="AO1:AU1"/>
    <mergeCell ref="AX1:BD1"/>
    <mergeCell ref="BG1:BM1"/>
    <mergeCell ref="R4:S4"/>
    <mergeCell ref="R14:S14"/>
    <mergeCell ref="GC1:GI1"/>
    <mergeCell ref="GL1:GR1"/>
    <mergeCell ref="R39:S39"/>
    <mergeCell ref="M74:N74"/>
    <mergeCell ref="O74:O75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N259"/>
  <sheetViews>
    <sheetView topLeftCell="B111" workbookViewId="0">
      <selection activeCell="H71" sqref="H71"/>
    </sheetView>
  </sheetViews>
  <sheetFormatPr baseColWidth="10" defaultRowHeight="15.75" x14ac:dyDescent="0.25"/>
  <cols>
    <col min="1" max="1" width="25.5703125" style="8" customWidth="1"/>
    <col min="2" max="2" width="15" style="8" customWidth="1"/>
    <col min="3" max="3" width="11.42578125" style="62"/>
    <col min="4" max="4" width="12.85546875" customWidth="1"/>
    <col min="5" max="5" width="11.85546875" style="261" bestFit="1" customWidth="1"/>
    <col min="6" max="6" width="12.42578125" style="29" bestFit="1" customWidth="1"/>
    <col min="7" max="7" width="17.28515625" style="8" bestFit="1" customWidth="1"/>
    <col min="8" max="8" width="15.28515625" style="183" customWidth="1"/>
    <col min="9" max="9" width="11.85546875" style="62" customWidth="1"/>
    <col min="10" max="10" width="13.85546875" style="720" bestFit="1" customWidth="1"/>
    <col min="11" max="11" width="11.42578125" style="195"/>
  </cols>
  <sheetData>
    <row r="1" spans="1:14" ht="42" x14ac:dyDescent="0.65">
      <c r="A1" s="885" t="s">
        <v>279</v>
      </c>
      <c r="B1" s="885"/>
      <c r="C1" s="885"/>
      <c r="D1" s="885"/>
      <c r="E1" s="885"/>
      <c r="F1" s="885"/>
      <c r="G1" s="885"/>
      <c r="H1" s="259"/>
    </row>
    <row r="2" spans="1:14" ht="16.5" thickBot="1" x14ac:dyDescent="0.3">
      <c r="D2" s="260"/>
    </row>
    <row r="3" spans="1:14" ht="17.25" thickTop="1" thickBot="1" x14ac:dyDescent="0.3">
      <c r="A3" s="262" t="s">
        <v>8</v>
      </c>
      <c r="B3" s="262" t="s">
        <v>16</v>
      </c>
      <c r="C3" s="263" t="s">
        <v>18</v>
      </c>
      <c r="D3" s="264" t="s">
        <v>19</v>
      </c>
      <c r="E3" s="265" t="s">
        <v>11</v>
      </c>
      <c r="F3" s="44" t="s">
        <v>22</v>
      </c>
      <c r="G3" s="266" t="s">
        <v>24</v>
      </c>
      <c r="H3" s="267"/>
    </row>
    <row r="4" spans="1:14" ht="16.5" thickTop="1" x14ac:dyDescent="0.25">
      <c r="A4" s="268" t="s">
        <v>1171</v>
      </c>
      <c r="B4" s="183" t="s">
        <v>206</v>
      </c>
      <c r="C4" s="31">
        <v>42826</v>
      </c>
      <c r="D4" s="270">
        <v>4237</v>
      </c>
      <c r="E4" s="261">
        <v>1381.6</v>
      </c>
      <c r="F4" s="29">
        <v>66.5</v>
      </c>
      <c r="G4" s="39">
        <f t="shared" ref="G4:G93" si="0">F4*E4</f>
        <v>91876.4</v>
      </c>
      <c r="H4" s="31" t="s">
        <v>1313</v>
      </c>
      <c r="I4" s="62" t="s">
        <v>1172</v>
      </c>
      <c r="J4" s="716">
        <f>11876.4+80000</f>
        <v>91876.4</v>
      </c>
    </row>
    <row r="5" spans="1:14" x14ac:dyDescent="0.25">
      <c r="A5" s="268" t="s">
        <v>1308</v>
      </c>
      <c r="B5" s="183" t="s">
        <v>1291</v>
      </c>
      <c r="C5" s="269">
        <v>42826</v>
      </c>
      <c r="D5" s="270">
        <v>4238</v>
      </c>
      <c r="E5" s="261">
        <v>3.7</v>
      </c>
      <c r="F5" s="29">
        <v>26</v>
      </c>
      <c r="G5" s="39">
        <f t="shared" si="0"/>
        <v>96.2</v>
      </c>
      <c r="H5" s="31">
        <v>42826</v>
      </c>
      <c r="I5" s="62" t="s">
        <v>1172</v>
      </c>
      <c r="L5" s="195"/>
      <c r="M5" s="195"/>
      <c r="N5" s="195"/>
    </row>
    <row r="6" spans="1:14" x14ac:dyDescent="0.25">
      <c r="A6" s="268" t="s">
        <v>1184</v>
      </c>
      <c r="B6" s="183" t="s">
        <v>206</v>
      </c>
      <c r="C6" s="269">
        <v>42828</v>
      </c>
      <c r="D6" s="270">
        <v>4239</v>
      </c>
      <c r="E6" s="261">
        <v>1343.8</v>
      </c>
      <c r="F6" s="29">
        <v>66</v>
      </c>
      <c r="G6" s="39">
        <f t="shared" si="0"/>
        <v>88690.8</v>
      </c>
      <c r="H6" s="31">
        <v>42833</v>
      </c>
      <c r="I6" s="62" t="s">
        <v>1172</v>
      </c>
      <c r="L6" s="195"/>
      <c r="M6" s="195"/>
      <c r="N6" s="195"/>
    </row>
    <row r="7" spans="1:14" x14ac:dyDescent="0.25">
      <c r="A7" s="268" t="s">
        <v>1171</v>
      </c>
      <c r="B7" s="280" t="s">
        <v>206</v>
      </c>
      <c r="C7" s="269">
        <v>42828</v>
      </c>
      <c r="D7" s="270">
        <v>4240</v>
      </c>
      <c r="E7" s="261">
        <v>1813.2</v>
      </c>
      <c r="F7" s="29">
        <v>66.5</v>
      </c>
      <c r="G7" s="39">
        <f t="shared" si="0"/>
        <v>120577.8</v>
      </c>
      <c r="H7" s="31">
        <v>42832</v>
      </c>
      <c r="I7" s="62" t="s">
        <v>1172</v>
      </c>
      <c r="L7" s="195"/>
      <c r="M7" s="195"/>
      <c r="N7" s="195"/>
    </row>
    <row r="8" spans="1:14" x14ac:dyDescent="0.25">
      <c r="A8" s="273" t="s">
        <v>1220</v>
      </c>
      <c r="B8" s="268" t="s">
        <v>1311</v>
      </c>
      <c r="C8" s="274">
        <v>42828</v>
      </c>
      <c r="D8" s="270">
        <v>4241</v>
      </c>
      <c r="E8" s="261">
        <v>5.3</v>
      </c>
      <c r="F8" s="29">
        <v>220</v>
      </c>
      <c r="G8" s="39">
        <f t="shared" si="0"/>
        <v>1166</v>
      </c>
      <c r="H8" s="31">
        <v>42829</v>
      </c>
      <c r="I8" s="62" t="s">
        <v>1172</v>
      </c>
      <c r="L8" s="195"/>
      <c r="M8" s="195"/>
      <c r="N8" s="195"/>
    </row>
    <row r="9" spans="1:14" x14ac:dyDescent="0.25">
      <c r="A9" s="273" t="s">
        <v>1182</v>
      </c>
      <c r="B9" s="268" t="s">
        <v>1281</v>
      </c>
      <c r="C9" s="274">
        <v>42828</v>
      </c>
      <c r="D9" s="270">
        <v>4242</v>
      </c>
      <c r="E9" s="261">
        <v>79603</v>
      </c>
      <c r="F9" s="29">
        <v>1</v>
      </c>
      <c r="G9" s="39">
        <f t="shared" si="0"/>
        <v>79603</v>
      </c>
      <c r="H9" s="31">
        <v>42841</v>
      </c>
      <c r="I9" s="62" t="s">
        <v>1172</v>
      </c>
      <c r="J9" s="720" t="s">
        <v>15</v>
      </c>
      <c r="L9" s="195"/>
      <c r="M9" s="195"/>
      <c r="N9" s="195"/>
    </row>
    <row r="10" spans="1:14" x14ac:dyDescent="0.25">
      <c r="A10" s="273" t="s">
        <v>1315</v>
      </c>
      <c r="B10" s="268" t="s">
        <v>1314</v>
      </c>
      <c r="C10" s="274">
        <v>42828</v>
      </c>
      <c r="D10" s="270">
        <v>4243</v>
      </c>
      <c r="E10" s="261">
        <v>77.7</v>
      </c>
      <c r="F10" s="29">
        <v>65</v>
      </c>
      <c r="G10" s="39">
        <f t="shared" si="0"/>
        <v>5050.5</v>
      </c>
      <c r="H10" s="31">
        <v>42830</v>
      </c>
      <c r="I10" s="62" t="s">
        <v>1172</v>
      </c>
      <c r="L10" s="195"/>
      <c r="M10" s="195"/>
      <c r="N10" s="195"/>
    </row>
    <row r="11" spans="1:14" x14ac:dyDescent="0.25">
      <c r="A11" s="273" t="s">
        <v>1213</v>
      </c>
      <c r="B11" s="268" t="s">
        <v>206</v>
      </c>
      <c r="C11" s="274">
        <v>42829</v>
      </c>
      <c r="D11" s="270">
        <v>4244</v>
      </c>
      <c r="E11" s="261">
        <v>671.1</v>
      </c>
      <c r="F11" s="29">
        <v>66</v>
      </c>
      <c r="G11" s="39">
        <f t="shared" si="0"/>
        <v>44292.6</v>
      </c>
      <c r="H11" s="31">
        <v>42831</v>
      </c>
      <c r="I11" s="62" t="s">
        <v>1172</v>
      </c>
      <c r="J11" s="721"/>
      <c r="L11" s="195"/>
      <c r="M11" s="195"/>
      <c r="N11" s="195"/>
    </row>
    <row r="12" spans="1:14" x14ac:dyDescent="0.25">
      <c r="A12" s="275" t="s">
        <v>1220</v>
      </c>
      <c r="B12" s="8" t="s">
        <v>1322</v>
      </c>
      <c r="C12" s="274">
        <v>42829</v>
      </c>
      <c r="D12" s="270">
        <v>4245</v>
      </c>
      <c r="E12" s="261">
        <v>11574</v>
      </c>
      <c r="F12" s="29">
        <v>1</v>
      </c>
      <c r="G12" s="39">
        <f t="shared" si="0"/>
        <v>11574</v>
      </c>
      <c r="H12" s="31">
        <v>42833</v>
      </c>
      <c r="I12" s="62" t="s">
        <v>1172</v>
      </c>
      <c r="J12" s="720" t="s">
        <v>1323</v>
      </c>
      <c r="L12" s="195"/>
      <c r="M12" s="195"/>
      <c r="N12" s="195"/>
    </row>
    <row r="13" spans="1:14" x14ac:dyDescent="0.25">
      <c r="A13" s="275" t="s">
        <v>1216</v>
      </c>
      <c r="B13" s="8" t="s">
        <v>1316</v>
      </c>
      <c r="C13" s="274">
        <v>42830</v>
      </c>
      <c r="D13" s="270">
        <v>4246</v>
      </c>
      <c r="E13" s="261">
        <v>269.2</v>
      </c>
      <c r="F13" s="29">
        <v>48</v>
      </c>
      <c r="G13" s="39">
        <f>F13*E13+105.31*27+100*55</f>
        <v>21264.969999999998</v>
      </c>
      <c r="H13" s="31">
        <v>42832</v>
      </c>
      <c r="I13" s="62" t="s">
        <v>1172</v>
      </c>
      <c r="L13" s="195"/>
      <c r="M13" s="195"/>
      <c r="N13" s="195"/>
    </row>
    <row r="14" spans="1:14" x14ac:dyDescent="0.25">
      <c r="A14" s="275" t="s">
        <v>1315</v>
      </c>
      <c r="B14" s="8" t="s">
        <v>1314</v>
      </c>
      <c r="C14" s="274">
        <v>42830</v>
      </c>
      <c r="D14" s="270">
        <v>4247</v>
      </c>
      <c r="E14" s="261">
        <v>53.1</v>
      </c>
      <c r="F14" s="29">
        <v>80</v>
      </c>
      <c r="G14" s="39">
        <f t="shared" si="0"/>
        <v>4248</v>
      </c>
      <c r="H14" s="31">
        <v>42830</v>
      </c>
      <c r="I14" s="62" t="s">
        <v>1172</v>
      </c>
      <c r="L14" s="195"/>
      <c r="M14" s="195"/>
      <c r="N14" s="195"/>
    </row>
    <row r="15" spans="1:14" x14ac:dyDescent="0.25">
      <c r="A15" s="275" t="s">
        <v>1324</v>
      </c>
      <c r="B15" s="8" t="s">
        <v>1222</v>
      </c>
      <c r="C15" s="274">
        <v>42830</v>
      </c>
      <c r="D15" s="270">
        <v>4248</v>
      </c>
      <c r="E15" s="261">
        <v>560</v>
      </c>
      <c r="F15" s="29">
        <v>15</v>
      </c>
      <c r="G15" s="39">
        <f t="shared" si="0"/>
        <v>8400</v>
      </c>
      <c r="H15" s="31">
        <v>42833</v>
      </c>
      <c r="I15" s="62" t="s">
        <v>1172</v>
      </c>
      <c r="L15" s="195"/>
      <c r="M15" s="195"/>
      <c r="N15" s="195"/>
    </row>
    <row r="16" spans="1:14" x14ac:dyDescent="0.25">
      <c r="A16" s="275" t="s">
        <v>1171</v>
      </c>
      <c r="B16" s="8" t="s">
        <v>206</v>
      </c>
      <c r="C16" s="274">
        <v>42830</v>
      </c>
      <c r="D16" s="270">
        <v>4249</v>
      </c>
      <c r="E16" s="261">
        <v>1759.54</v>
      </c>
      <c r="F16" s="29">
        <v>66.5</v>
      </c>
      <c r="G16" s="39">
        <f t="shared" si="0"/>
        <v>117009.41</v>
      </c>
      <c r="H16" s="31">
        <v>42833</v>
      </c>
      <c r="I16" s="62" t="s">
        <v>1172</v>
      </c>
      <c r="L16" s="195"/>
      <c r="M16" s="195"/>
      <c r="N16" s="195"/>
    </row>
    <row r="17" spans="1:14" x14ac:dyDescent="0.25">
      <c r="A17" s="275" t="s">
        <v>1179</v>
      </c>
      <c r="B17" s="8" t="s">
        <v>206</v>
      </c>
      <c r="C17" s="274">
        <v>42830</v>
      </c>
      <c r="D17" s="270">
        <v>4250</v>
      </c>
      <c r="E17" s="261">
        <v>655.6</v>
      </c>
      <c r="F17" s="29">
        <v>66</v>
      </c>
      <c r="G17" s="39" t="s">
        <v>15</v>
      </c>
      <c r="H17" s="31">
        <v>42842</v>
      </c>
      <c r="I17" s="62" t="s">
        <v>1172</v>
      </c>
      <c r="L17" s="195"/>
      <c r="M17" s="195"/>
      <c r="N17" s="195"/>
    </row>
    <row r="18" spans="1:14" x14ac:dyDescent="0.25">
      <c r="A18" s="275" t="s">
        <v>1221</v>
      </c>
      <c r="B18" s="8" t="s">
        <v>248</v>
      </c>
      <c r="C18" s="274">
        <v>42830</v>
      </c>
      <c r="D18" s="270">
        <v>4251</v>
      </c>
      <c r="E18" s="261">
        <v>300</v>
      </c>
      <c r="F18" s="29">
        <v>33</v>
      </c>
      <c r="G18" s="39">
        <f t="shared" si="0"/>
        <v>9900</v>
      </c>
      <c r="H18" s="31">
        <v>42831</v>
      </c>
      <c r="I18" s="62" t="s">
        <v>1172</v>
      </c>
      <c r="L18" s="195"/>
      <c r="M18" s="195"/>
      <c r="N18" s="195"/>
    </row>
    <row r="19" spans="1:14" x14ac:dyDescent="0.25">
      <c r="A19" s="273" t="s">
        <v>1184</v>
      </c>
      <c r="B19" s="268" t="s">
        <v>206</v>
      </c>
      <c r="C19" s="274">
        <v>42831</v>
      </c>
      <c r="D19" s="270">
        <v>4252</v>
      </c>
      <c r="E19" s="261">
        <v>1348</v>
      </c>
      <c r="F19" s="29">
        <v>66</v>
      </c>
      <c r="G19" s="39">
        <f t="shared" si="0"/>
        <v>88968</v>
      </c>
      <c r="H19" s="31">
        <v>42834</v>
      </c>
      <c r="I19" s="62" t="s">
        <v>1172</v>
      </c>
      <c r="L19" s="195"/>
      <c r="M19" s="195"/>
      <c r="N19" s="195"/>
    </row>
    <row r="20" spans="1:14" x14ac:dyDescent="0.25">
      <c r="A20" s="277" t="s">
        <v>1208</v>
      </c>
      <c r="B20" s="268" t="s">
        <v>206</v>
      </c>
      <c r="C20" s="278">
        <v>42832</v>
      </c>
      <c r="D20" s="270">
        <v>4253</v>
      </c>
      <c r="E20" s="261">
        <v>1104.3</v>
      </c>
      <c r="F20" s="29">
        <v>66</v>
      </c>
      <c r="G20" s="39">
        <f t="shared" si="0"/>
        <v>72883.8</v>
      </c>
      <c r="H20" s="31">
        <v>42833</v>
      </c>
      <c r="I20" s="62" t="s">
        <v>1172</v>
      </c>
      <c r="L20" s="195"/>
      <c r="M20" s="195"/>
      <c r="N20" s="195"/>
    </row>
    <row r="21" spans="1:14" x14ac:dyDescent="0.25">
      <c r="A21" s="273" t="s">
        <v>1171</v>
      </c>
      <c r="B21" s="268" t="s">
        <v>206</v>
      </c>
      <c r="C21" s="274">
        <v>42832</v>
      </c>
      <c r="D21" s="270">
        <v>4254</v>
      </c>
      <c r="E21" s="261">
        <v>1946.4</v>
      </c>
      <c r="F21" s="29">
        <v>66.5</v>
      </c>
      <c r="G21" s="39">
        <f t="shared" si="0"/>
        <v>129435.6</v>
      </c>
      <c r="H21" s="31">
        <v>42836</v>
      </c>
      <c r="I21" s="62" t="s">
        <v>1172</v>
      </c>
      <c r="J21" s="716">
        <f>14500+114935.6</f>
        <v>129435.6</v>
      </c>
      <c r="L21" s="195"/>
      <c r="M21" s="195"/>
      <c r="N21" s="195"/>
    </row>
    <row r="22" spans="1:14" x14ac:dyDescent="0.25">
      <c r="A22" s="273" t="s">
        <v>176</v>
      </c>
      <c r="B22" s="279"/>
      <c r="C22" s="274"/>
      <c r="D22" s="270">
        <v>4255</v>
      </c>
      <c r="G22" s="39">
        <f t="shared" si="0"/>
        <v>0</v>
      </c>
      <c r="H22" s="31"/>
      <c r="L22" s="195"/>
      <c r="M22" s="195"/>
      <c r="N22" s="195"/>
    </row>
    <row r="23" spans="1:14" x14ac:dyDescent="0.25">
      <c r="A23" s="273" t="s">
        <v>1173</v>
      </c>
      <c r="B23" s="279" t="s">
        <v>1316</v>
      </c>
      <c r="C23" s="274">
        <v>42832</v>
      </c>
      <c r="D23" s="270">
        <v>4256</v>
      </c>
      <c r="E23" s="261">
        <v>91</v>
      </c>
      <c r="F23" s="29">
        <v>54</v>
      </c>
      <c r="G23" s="39">
        <f>F23*E23+348.4*48+82*27</f>
        <v>23851.199999999997</v>
      </c>
      <c r="H23" s="31">
        <v>42851</v>
      </c>
      <c r="I23" s="62" t="s">
        <v>1172</v>
      </c>
      <c r="L23" s="195"/>
      <c r="M23" s="195"/>
      <c r="N23" s="195"/>
    </row>
    <row r="24" spans="1:14" x14ac:dyDescent="0.25">
      <c r="A24" s="273" t="s">
        <v>1206</v>
      </c>
      <c r="B24" s="280" t="s">
        <v>1325</v>
      </c>
      <c r="C24" s="274">
        <v>42833</v>
      </c>
      <c r="D24" s="270">
        <v>4257</v>
      </c>
      <c r="E24" s="261">
        <v>102.8</v>
      </c>
      <c r="F24" s="29">
        <v>72</v>
      </c>
      <c r="G24" s="39">
        <f t="shared" si="0"/>
        <v>7401.5999999999995</v>
      </c>
      <c r="H24" s="31">
        <v>42833</v>
      </c>
      <c r="I24" s="62" t="s">
        <v>1172</v>
      </c>
      <c r="L24" s="195"/>
      <c r="M24" s="195"/>
      <c r="N24" s="195"/>
    </row>
    <row r="25" spans="1:14" x14ac:dyDescent="0.25">
      <c r="A25" s="273" t="s">
        <v>1208</v>
      </c>
      <c r="B25" s="280" t="s">
        <v>1291</v>
      </c>
      <c r="C25" s="274">
        <v>42833</v>
      </c>
      <c r="D25" s="270">
        <v>4258</v>
      </c>
      <c r="E25" s="261">
        <v>127.2</v>
      </c>
      <c r="F25" s="209">
        <v>70</v>
      </c>
      <c r="G25" s="39">
        <f t="shared" si="0"/>
        <v>8904</v>
      </c>
      <c r="H25" s="31">
        <v>42833</v>
      </c>
      <c r="I25" s="62" t="s">
        <v>1172</v>
      </c>
      <c r="K25" s="281"/>
      <c r="L25" s="195"/>
      <c r="M25" s="195"/>
      <c r="N25" s="195"/>
    </row>
    <row r="26" spans="1:14" x14ac:dyDescent="0.25">
      <c r="A26" s="282" t="s">
        <v>1171</v>
      </c>
      <c r="B26" s="283" t="s">
        <v>206</v>
      </c>
      <c r="C26" s="284">
        <v>42833</v>
      </c>
      <c r="D26" s="270">
        <v>4259</v>
      </c>
      <c r="E26" s="261">
        <v>759.1</v>
      </c>
      <c r="F26" s="209">
        <v>66.5</v>
      </c>
      <c r="G26" s="39">
        <f t="shared" si="0"/>
        <v>50480.15</v>
      </c>
      <c r="H26" s="31">
        <v>42835</v>
      </c>
      <c r="I26" s="62" t="s">
        <v>1172</v>
      </c>
      <c r="K26" s="281"/>
      <c r="L26" s="195"/>
      <c r="M26" s="195"/>
      <c r="N26" s="195"/>
    </row>
    <row r="27" spans="1:14" x14ac:dyDescent="0.25">
      <c r="A27" s="282" t="s">
        <v>1173</v>
      </c>
      <c r="B27" s="283" t="s">
        <v>1316</v>
      </c>
      <c r="C27" s="284">
        <v>42834</v>
      </c>
      <c r="D27" s="270">
        <v>4260</v>
      </c>
      <c r="E27" s="261">
        <v>133.19999999999999</v>
      </c>
      <c r="F27" s="209">
        <v>48</v>
      </c>
      <c r="G27" s="39">
        <f t="shared" si="0"/>
        <v>6393.5999999999995</v>
      </c>
      <c r="H27" s="31">
        <v>43205</v>
      </c>
      <c r="I27" s="62" t="s">
        <v>1172</v>
      </c>
      <c r="K27" s="281"/>
      <c r="L27" s="195"/>
      <c r="M27" s="195"/>
      <c r="N27" s="195"/>
    </row>
    <row r="28" spans="1:14" x14ac:dyDescent="0.25">
      <c r="A28" s="282" t="s">
        <v>1180</v>
      </c>
      <c r="B28" s="283" t="s">
        <v>1326</v>
      </c>
      <c r="C28" s="284">
        <v>42834</v>
      </c>
      <c r="D28" s="270">
        <v>4261</v>
      </c>
      <c r="E28" s="261">
        <v>381.2</v>
      </c>
      <c r="F28" s="209">
        <v>35</v>
      </c>
      <c r="G28" s="39">
        <f t="shared" si="0"/>
        <v>13342</v>
      </c>
      <c r="H28" s="31">
        <v>42834</v>
      </c>
      <c r="I28" s="62" t="s">
        <v>1172</v>
      </c>
      <c r="K28" s="281"/>
      <c r="L28" s="195"/>
      <c r="M28" s="195"/>
      <c r="N28" s="195"/>
    </row>
    <row r="29" spans="1:14" x14ac:dyDescent="0.25">
      <c r="A29" s="282" t="s">
        <v>1171</v>
      </c>
      <c r="B29" s="279" t="s">
        <v>206</v>
      </c>
      <c r="C29" s="284">
        <v>42835</v>
      </c>
      <c r="D29" s="270">
        <v>4262</v>
      </c>
      <c r="E29" s="261">
        <v>356.7</v>
      </c>
      <c r="F29" s="209">
        <v>66.5</v>
      </c>
      <c r="G29" s="39">
        <f>F29*E29+190.8*64</f>
        <v>35931.75</v>
      </c>
      <c r="H29" s="31">
        <v>42838</v>
      </c>
      <c r="I29" s="62" t="s">
        <v>1172</v>
      </c>
      <c r="K29" s="281"/>
      <c r="L29" s="195"/>
      <c r="M29" s="195"/>
      <c r="N29" s="195"/>
    </row>
    <row r="30" spans="1:14" x14ac:dyDescent="0.25">
      <c r="A30" s="282" t="s">
        <v>1213</v>
      </c>
      <c r="B30" s="279" t="s">
        <v>206</v>
      </c>
      <c r="C30" s="284">
        <v>42835</v>
      </c>
      <c r="D30" s="270">
        <v>4263</v>
      </c>
      <c r="E30" s="261">
        <v>659.1</v>
      </c>
      <c r="F30" s="209">
        <v>66</v>
      </c>
      <c r="G30" s="39">
        <f t="shared" si="0"/>
        <v>43500.6</v>
      </c>
      <c r="H30" s="31">
        <v>42835</v>
      </c>
      <c r="I30" s="62" t="s">
        <v>1172</v>
      </c>
      <c r="K30" s="281"/>
      <c r="L30" s="195"/>
      <c r="M30" s="195"/>
      <c r="N30" s="195"/>
    </row>
    <row r="31" spans="1:14" x14ac:dyDescent="0.25">
      <c r="A31" s="282" t="s">
        <v>1184</v>
      </c>
      <c r="B31" s="279" t="s">
        <v>1354</v>
      </c>
      <c r="C31" s="284">
        <v>42835</v>
      </c>
      <c r="D31" s="270">
        <v>4264</v>
      </c>
      <c r="E31" s="261">
        <v>1403.3</v>
      </c>
      <c r="F31" s="209">
        <v>66</v>
      </c>
      <c r="G31" s="39">
        <f>F31*E31+265.2*96</f>
        <v>118077</v>
      </c>
      <c r="H31" s="31">
        <v>42841</v>
      </c>
      <c r="I31" s="62" t="s">
        <v>1172</v>
      </c>
      <c r="K31" s="281"/>
      <c r="L31" s="195"/>
      <c r="M31" s="195"/>
      <c r="N31" s="195"/>
    </row>
    <row r="32" spans="1:14" x14ac:dyDescent="0.25">
      <c r="A32" s="282" t="s">
        <v>1173</v>
      </c>
      <c r="B32" s="279" t="s">
        <v>1316</v>
      </c>
      <c r="C32" s="284">
        <v>42835</v>
      </c>
      <c r="D32" s="270">
        <v>4265</v>
      </c>
      <c r="E32" s="261">
        <v>223</v>
      </c>
      <c r="F32" s="209">
        <v>27</v>
      </c>
      <c r="G32" s="39">
        <f>F32*E32+205.8*48+121.8*55</f>
        <v>22598.400000000001</v>
      </c>
      <c r="H32" s="31">
        <v>42840</v>
      </c>
      <c r="I32" s="62" t="s">
        <v>1172</v>
      </c>
      <c r="K32" s="281"/>
      <c r="L32" s="195"/>
      <c r="M32" s="195"/>
      <c r="N32" s="195"/>
    </row>
    <row r="33" spans="1:14" x14ac:dyDescent="0.25">
      <c r="A33" s="275" t="s">
        <v>1298</v>
      </c>
      <c r="B33" s="279" t="s">
        <v>1252</v>
      </c>
      <c r="C33" s="274">
        <v>42835</v>
      </c>
      <c r="D33" s="270">
        <v>4266</v>
      </c>
      <c r="E33" s="261">
        <v>24.3</v>
      </c>
      <c r="F33" s="209">
        <v>49</v>
      </c>
      <c r="G33" s="39">
        <f t="shared" si="0"/>
        <v>1190.7</v>
      </c>
      <c r="H33" s="31">
        <v>42836</v>
      </c>
      <c r="I33" s="62" t="s">
        <v>1172</v>
      </c>
      <c r="L33" s="195"/>
      <c r="M33" s="195"/>
      <c r="N33" s="195"/>
    </row>
    <row r="34" spans="1:14" x14ac:dyDescent="0.25">
      <c r="A34" s="275" t="s">
        <v>1171</v>
      </c>
      <c r="B34" s="279" t="s">
        <v>1353</v>
      </c>
      <c r="C34" s="274">
        <v>42836</v>
      </c>
      <c r="D34" s="270">
        <v>4267</v>
      </c>
      <c r="E34" s="261">
        <v>882.7</v>
      </c>
      <c r="F34" s="209">
        <v>66.5</v>
      </c>
      <c r="G34" s="39">
        <f>F34*E34+108.3*69</f>
        <v>66172.25</v>
      </c>
      <c r="H34" s="31">
        <v>42837</v>
      </c>
      <c r="I34" s="62" t="s">
        <v>1172</v>
      </c>
      <c r="L34" s="195"/>
      <c r="M34" s="195"/>
      <c r="N34" s="195"/>
    </row>
    <row r="35" spans="1:14" x14ac:dyDescent="0.25">
      <c r="A35" s="275" t="s">
        <v>1171</v>
      </c>
      <c r="B35" s="279" t="s">
        <v>206</v>
      </c>
      <c r="C35" s="274">
        <v>42837</v>
      </c>
      <c r="D35" s="270">
        <v>4268</v>
      </c>
      <c r="E35" s="261">
        <v>899.7</v>
      </c>
      <c r="F35" s="209">
        <v>66.5</v>
      </c>
      <c r="G35" s="39">
        <f t="shared" si="0"/>
        <v>59830.05</v>
      </c>
      <c r="H35" s="31">
        <v>42837</v>
      </c>
      <c r="I35" s="62" t="s">
        <v>1172</v>
      </c>
      <c r="L35" s="195"/>
      <c r="M35" s="195"/>
      <c r="N35" s="195"/>
    </row>
    <row r="36" spans="1:14" s="8" customFormat="1" x14ac:dyDescent="0.25">
      <c r="A36" s="275" t="s">
        <v>1208</v>
      </c>
      <c r="B36" s="279" t="s">
        <v>206</v>
      </c>
      <c r="C36" s="274">
        <v>42838</v>
      </c>
      <c r="D36" s="270">
        <v>4269</v>
      </c>
      <c r="E36" s="261">
        <v>983</v>
      </c>
      <c r="F36" s="209">
        <v>67</v>
      </c>
      <c r="G36" s="39">
        <f t="shared" si="0"/>
        <v>65861</v>
      </c>
      <c r="H36" s="31">
        <v>42840</v>
      </c>
      <c r="I36" s="519" t="s">
        <v>1172</v>
      </c>
      <c r="J36" s="720"/>
    </row>
    <row r="37" spans="1:14" s="8" customFormat="1" x14ac:dyDescent="0.25">
      <c r="A37" s="275" t="s">
        <v>1171</v>
      </c>
      <c r="B37" s="279" t="s">
        <v>206</v>
      </c>
      <c r="C37" s="274">
        <v>42838</v>
      </c>
      <c r="D37" s="270">
        <v>4270</v>
      </c>
      <c r="E37" s="261">
        <v>2881.4</v>
      </c>
      <c r="F37" s="29">
        <v>66.5</v>
      </c>
      <c r="G37" s="39">
        <f t="shared" si="0"/>
        <v>191613.1</v>
      </c>
      <c r="H37" s="31">
        <v>42838</v>
      </c>
      <c r="I37" s="519" t="s">
        <v>1172</v>
      </c>
      <c r="J37" s="716">
        <f>101150+90463</f>
        <v>191613</v>
      </c>
    </row>
    <row r="38" spans="1:14" s="8" customFormat="1" x14ac:dyDescent="0.25">
      <c r="A38" s="275" t="s">
        <v>1216</v>
      </c>
      <c r="B38" s="279" t="s">
        <v>1316</v>
      </c>
      <c r="C38" s="274">
        <v>42839</v>
      </c>
      <c r="D38" s="270">
        <v>4271</v>
      </c>
      <c r="E38" s="261">
        <v>325.8</v>
      </c>
      <c r="F38" s="29">
        <v>48</v>
      </c>
      <c r="G38" s="39">
        <f>F38*E38+180*27+100*55</f>
        <v>25998.400000000001</v>
      </c>
      <c r="H38" s="31">
        <v>42840</v>
      </c>
      <c r="I38" s="519" t="s">
        <v>1172</v>
      </c>
      <c r="J38" s="720"/>
    </row>
    <row r="39" spans="1:14" s="8" customFormat="1" x14ac:dyDescent="0.25">
      <c r="A39" s="275" t="s">
        <v>1171</v>
      </c>
      <c r="B39" s="279" t="s">
        <v>206</v>
      </c>
      <c r="C39" s="274">
        <v>42839</v>
      </c>
      <c r="D39" s="270">
        <v>4272</v>
      </c>
      <c r="E39" s="261">
        <v>1385.2</v>
      </c>
      <c r="F39" s="29">
        <v>66.5</v>
      </c>
      <c r="G39" s="39">
        <f t="shared" si="0"/>
        <v>92115.8</v>
      </c>
      <c r="H39" s="31">
        <v>42842</v>
      </c>
      <c r="I39" s="519" t="s">
        <v>1172</v>
      </c>
      <c r="J39" s="720"/>
    </row>
    <row r="40" spans="1:14" s="8" customFormat="1" x14ac:dyDescent="0.25">
      <c r="A40" s="275" t="s">
        <v>223</v>
      </c>
      <c r="B40" s="177"/>
      <c r="C40" s="274"/>
      <c r="D40" s="270">
        <v>4273</v>
      </c>
      <c r="E40" s="261"/>
      <c r="F40" s="29"/>
      <c r="G40" s="39">
        <f t="shared" si="0"/>
        <v>0</v>
      </c>
      <c r="H40" s="31"/>
      <c r="I40" s="62"/>
      <c r="J40" s="720"/>
    </row>
    <row r="41" spans="1:14" x14ac:dyDescent="0.25">
      <c r="A41" s="275" t="s">
        <v>1192</v>
      </c>
      <c r="B41" s="177" t="s">
        <v>421</v>
      </c>
      <c r="C41" s="274">
        <v>42841</v>
      </c>
      <c r="D41" s="270">
        <v>4274</v>
      </c>
      <c r="E41" s="261">
        <v>198.4</v>
      </c>
      <c r="F41" s="29">
        <v>34</v>
      </c>
      <c r="G41" s="39">
        <f t="shared" si="0"/>
        <v>6745.6</v>
      </c>
      <c r="H41" s="31">
        <v>42844</v>
      </c>
      <c r="I41" s="62" t="s">
        <v>1172</v>
      </c>
      <c r="L41" s="195"/>
      <c r="M41" s="195"/>
      <c r="N41" s="195"/>
    </row>
    <row r="42" spans="1:14" x14ac:dyDescent="0.25">
      <c r="A42" s="275" t="s">
        <v>1220</v>
      </c>
      <c r="B42" s="8" t="s">
        <v>1358</v>
      </c>
      <c r="C42" s="274">
        <v>42841</v>
      </c>
      <c r="D42" s="270">
        <v>4275</v>
      </c>
      <c r="E42" s="261">
        <v>21.12</v>
      </c>
      <c r="F42" s="29">
        <v>60</v>
      </c>
      <c r="G42" s="39">
        <f t="shared" si="0"/>
        <v>1267.2</v>
      </c>
      <c r="H42" s="31">
        <v>42842</v>
      </c>
      <c r="I42" s="62" t="s">
        <v>1172</v>
      </c>
      <c r="J42" s="720" t="s">
        <v>1359</v>
      </c>
      <c r="L42" s="195"/>
      <c r="M42" s="195"/>
      <c r="N42" s="195"/>
    </row>
    <row r="43" spans="1:14" x14ac:dyDescent="0.25">
      <c r="A43" s="290" t="s">
        <v>1184</v>
      </c>
      <c r="B43" s="188" t="s">
        <v>206</v>
      </c>
      <c r="C43" s="269">
        <v>42842</v>
      </c>
      <c r="D43" s="270">
        <v>4276</v>
      </c>
      <c r="E43" s="261">
        <v>1463.3</v>
      </c>
      <c r="F43" s="29">
        <v>66</v>
      </c>
      <c r="G43" s="39">
        <f t="shared" si="0"/>
        <v>96577.8</v>
      </c>
      <c r="H43" s="31">
        <v>42845</v>
      </c>
      <c r="I43" s="62" t="s">
        <v>1172</v>
      </c>
      <c r="L43" s="195"/>
      <c r="M43" s="195"/>
      <c r="N43" s="195"/>
    </row>
    <row r="44" spans="1:14" x14ac:dyDescent="0.25">
      <c r="A44" s="290" t="s">
        <v>1355</v>
      </c>
      <c r="B44" s="188" t="s">
        <v>1356</v>
      </c>
      <c r="C44" s="269">
        <v>42840</v>
      </c>
      <c r="D44" s="270">
        <v>4277</v>
      </c>
      <c r="E44" s="261">
        <v>36.9</v>
      </c>
      <c r="F44" s="29">
        <v>48</v>
      </c>
      <c r="G44" s="39">
        <f t="shared" si="0"/>
        <v>1771.1999999999998</v>
      </c>
      <c r="H44" s="31">
        <v>42842</v>
      </c>
      <c r="I44" s="62" t="s">
        <v>1172</v>
      </c>
      <c r="L44" s="195"/>
      <c r="M44" s="195"/>
      <c r="N44" s="195"/>
    </row>
    <row r="45" spans="1:14" x14ac:dyDescent="0.25">
      <c r="A45" s="290" t="s">
        <v>1171</v>
      </c>
      <c r="B45" s="188" t="s">
        <v>206</v>
      </c>
      <c r="C45" s="269">
        <v>42842</v>
      </c>
      <c r="D45" s="270">
        <v>4278</v>
      </c>
      <c r="E45" s="261">
        <v>808</v>
      </c>
      <c r="F45" s="29">
        <v>66.5</v>
      </c>
      <c r="G45" s="39">
        <f t="shared" si="0"/>
        <v>53732</v>
      </c>
      <c r="H45" s="31">
        <v>42842</v>
      </c>
      <c r="I45" s="62" t="s">
        <v>1172</v>
      </c>
      <c r="L45" s="195"/>
      <c r="M45" s="195"/>
      <c r="N45" s="195"/>
    </row>
    <row r="46" spans="1:14" x14ac:dyDescent="0.25">
      <c r="A46" s="290" t="s">
        <v>1357</v>
      </c>
      <c r="B46" s="188" t="s">
        <v>1314</v>
      </c>
      <c r="C46" s="269">
        <v>42842</v>
      </c>
      <c r="D46" s="270">
        <v>4279</v>
      </c>
      <c r="E46" s="261">
        <v>65</v>
      </c>
      <c r="F46" s="29">
        <v>80</v>
      </c>
      <c r="G46" s="39">
        <f t="shared" si="0"/>
        <v>5200</v>
      </c>
      <c r="H46" s="31">
        <v>42842</v>
      </c>
      <c r="I46" s="62" t="s">
        <v>1172</v>
      </c>
      <c r="L46" s="195"/>
      <c r="M46" s="195"/>
      <c r="N46" s="195"/>
    </row>
    <row r="47" spans="1:14" x14ac:dyDescent="0.25">
      <c r="A47" s="290" t="s">
        <v>1362</v>
      </c>
      <c r="B47" s="188" t="s">
        <v>1363</v>
      </c>
      <c r="C47" s="269">
        <v>42843</v>
      </c>
      <c r="D47" s="270">
        <v>4280</v>
      </c>
      <c r="E47" s="261">
        <v>5.2</v>
      </c>
      <c r="F47" s="29">
        <v>86</v>
      </c>
      <c r="G47" s="39">
        <f t="shared" si="0"/>
        <v>447.2</v>
      </c>
      <c r="H47" s="31">
        <v>42843</v>
      </c>
      <c r="I47" s="62" t="s">
        <v>1172</v>
      </c>
      <c r="L47" s="195"/>
      <c r="M47" s="195"/>
      <c r="N47" s="195"/>
    </row>
    <row r="48" spans="1:14" x14ac:dyDescent="0.25">
      <c r="A48" s="290" t="s">
        <v>1361</v>
      </c>
      <c r="B48" s="188" t="s">
        <v>1360</v>
      </c>
      <c r="C48" s="269">
        <v>42843</v>
      </c>
      <c r="D48" s="270">
        <v>4281</v>
      </c>
      <c r="E48" s="261">
        <v>9.4</v>
      </c>
      <c r="F48" s="29">
        <v>27</v>
      </c>
      <c r="G48" s="39">
        <f t="shared" si="0"/>
        <v>253.8</v>
      </c>
      <c r="H48" s="31">
        <v>42843</v>
      </c>
      <c r="I48" s="62" t="s">
        <v>1172</v>
      </c>
      <c r="L48" s="195"/>
      <c r="M48" s="195"/>
      <c r="N48" s="195"/>
    </row>
    <row r="49" spans="1:14" x14ac:dyDescent="0.25">
      <c r="A49" s="290" t="s">
        <v>1171</v>
      </c>
      <c r="B49" s="188" t="s">
        <v>206</v>
      </c>
      <c r="C49" s="269">
        <v>42843</v>
      </c>
      <c r="D49" s="270">
        <v>4282</v>
      </c>
      <c r="E49" s="261">
        <v>955.2</v>
      </c>
      <c r="F49" s="29">
        <v>66.5</v>
      </c>
      <c r="G49" s="39">
        <f t="shared" si="0"/>
        <v>63520.800000000003</v>
      </c>
      <c r="H49" s="31">
        <v>42846</v>
      </c>
      <c r="I49" s="62" t="s">
        <v>1172</v>
      </c>
      <c r="L49" s="195"/>
      <c r="M49" s="195"/>
      <c r="N49" s="195"/>
    </row>
    <row r="50" spans="1:14" x14ac:dyDescent="0.25">
      <c r="A50" s="290" t="s">
        <v>1365</v>
      </c>
      <c r="B50" s="188" t="s">
        <v>1366</v>
      </c>
      <c r="C50" s="269">
        <v>42843</v>
      </c>
      <c r="D50" s="270">
        <v>4283</v>
      </c>
      <c r="E50" s="261">
        <v>19.899999999999999</v>
      </c>
      <c r="F50" s="29">
        <v>58</v>
      </c>
      <c r="G50" s="39">
        <f t="shared" si="0"/>
        <v>1154.1999999999998</v>
      </c>
      <c r="H50" s="31">
        <v>42845</v>
      </c>
      <c r="I50" s="62" t="s">
        <v>1172</v>
      </c>
      <c r="L50" s="195"/>
      <c r="M50" s="195"/>
      <c r="N50" s="195"/>
    </row>
    <row r="51" spans="1:14" x14ac:dyDescent="0.25">
      <c r="A51" s="290" t="s">
        <v>1213</v>
      </c>
      <c r="B51" s="188" t="s">
        <v>206</v>
      </c>
      <c r="C51" s="269">
        <v>42844</v>
      </c>
      <c r="D51" s="270">
        <v>4284</v>
      </c>
      <c r="E51" s="261">
        <v>717</v>
      </c>
      <c r="F51" s="29">
        <v>67</v>
      </c>
      <c r="G51" s="39">
        <f t="shared" si="0"/>
        <v>48039</v>
      </c>
      <c r="H51" s="31">
        <v>42845</v>
      </c>
      <c r="I51" s="62" t="s">
        <v>1172</v>
      </c>
      <c r="L51" s="195"/>
      <c r="M51" s="195"/>
      <c r="N51" s="195"/>
    </row>
    <row r="52" spans="1:14" x14ac:dyDescent="0.25">
      <c r="A52" s="290" t="s">
        <v>1216</v>
      </c>
      <c r="B52" s="188" t="s">
        <v>1316</v>
      </c>
      <c r="C52" s="269">
        <v>42844</v>
      </c>
      <c r="D52" s="270">
        <v>4285</v>
      </c>
      <c r="E52" s="261">
        <v>342</v>
      </c>
      <c r="F52" s="29">
        <v>48</v>
      </c>
      <c r="G52" s="39">
        <f>F52*E52+108*27+100.9*56</f>
        <v>24982.400000000001</v>
      </c>
      <c r="H52" s="31">
        <v>42844</v>
      </c>
      <c r="I52" s="62" t="s">
        <v>1172</v>
      </c>
      <c r="L52" s="195"/>
      <c r="M52" s="195"/>
      <c r="N52" s="195"/>
    </row>
    <row r="53" spans="1:14" x14ac:dyDescent="0.25">
      <c r="A53" s="290" t="s">
        <v>1171</v>
      </c>
      <c r="B53" s="188" t="s">
        <v>206</v>
      </c>
      <c r="C53" s="269">
        <v>42844</v>
      </c>
      <c r="D53" s="270">
        <v>4286</v>
      </c>
      <c r="E53" s="261">
        <v>1282.2</v>
      </c>
      <c r="F53" s="29">
        <v>66.5</v>
      </c>
      <c r="G53" s="39">
        <f t="shared" si="0"/>
        <v>85266.3</v>
      </c>
      <c r="H53" s="31">
        <v>42846</v>
      </c>
      <c r="I53" s="62" t="s">
        <v>1172</v>
      </c>
      <c r="L53" s="195"/>
      <c r="M53" s="195"/>
      <c r="N53" s="195"/>
    </row>
    <row r="54" spans="1:14" x14ac:dyDescent="0.25">
      <c r="A54" s="290" t="s">
        <v>1364</v>
      </c>
      <c r="B54" s="188" t="s">
        <v>1222</v>
      </c>
      <c r="C54" s="269">
        <v>42844</v>
      </c>
      <c r="D54" s="270">
        <v>4287</v>
      </c>
      <c r="E54" s="261">
        <v>393.4</v>
      </c>
      <c r="F54" s="29">
        <v>15</v>
      </c>
      <c r="G54" s="39">
        <f t="shared" si="0"/>
        <v>5901</v>
      </c>
      <c r="H54" s="31">
        <v>42844</v>
      </c>
      <c r="I54" s="62" t="s">
        <v>1172</v>
      </c>
      <c r="L54" s="195"/>
      <c r="M54" s="195"/>
      <c r="N54" s="195"/>
    </row>
    <row r="55" spans="1:14" x14ac:dyDescent="0.25">
      <c r="A55" s="290" t="s">
        <v>1180</v>
      </c>
      <c r="B55" s="188" t="s">
        <v>1205</v>
      </c>
      <c r="C55" s="269">
        <v>42844</v>
      </c>
      <c r="D55" s="270">
        <v>4288</v>
      </c>
      <c r="E55" s="261">
        <v>16.399999999999999</v>
      </c>
      <c r="F55" s="29">
        <v>44</v>
      </c>
      <c r="G55" s="39">
        <f t="shared" si="0"/>
        <v>721.59999999999991</v>
      </c>
      <c r="H55" s="31">
        <v>42845</v>
      </c>
      <c r="I55" s="62" t="s">
        <v>1172</v>
      </c>
      <c r="J55" s="721"/>
      <c r="L55" s="195"/>
      <c r="M55" s="195"/>
      <c r="N55" s="195"/>
    </row>
    <row r="56" spans="1:14" x14ac:dyDescent="0.25">
      <c r="A56" s="290" t="s">
        <v>1184</v>
      </c>
      <c r="B56" s="188" t="s">
        <v>206</v>
      </c>
      <c r="C56" s="269">
        <v>42845</v>
      </c>
      <c r="D56" s="270">
        <v>4289</v>
      </c>
      <c r="E56" s="261">
        <v>1529.3</v>
      </c>
      <c r="F56" s="29">
        <v>66</v>
      </c>
      <c r="G56" s="39">
        <f t="shared" si="0"/>
        <v>100933.8</v>
      </c>
      <c r="H56" s="31">
        <v>42854</v>
      </c>
      <c r="I56" s="62" t="s">
        <v>1172</v>
      </c>
      <c r="L56" s="195"/>
      <c r="M56" s="195"/>
      <c r="N56" s="195"/>
    </row>
    <row r="57" spans="1:14" x14ac:dyDescent="0.25">
      <c r="A57" s="293" t="s">
        <v>1213</v>
      </c>
      <c r="B57" s="188" t="s">
        <v>206</v>
      </c>
      <c r="C57" s="294">
        <v>42845</v>
      </c>
      <c r="D57" s="270">
        <v>4290</v>
      </c>
      <c r="E57" s="261">
        <v>692.8</v>
      </c>
      <c r="F57" s="29">
        <v>66</v>
      </c>
      <c r="G57" s="39">
        <f t="shared" si="0"/>
        <v>45724.799999999996</v>
      </c>
      <c r="H57" s="31">
        <v>42846</v>
      </c>
      <c r="I57" s="62" t="s">
        <v>1172</v>
      </c>
      <c r="J57" s="721"/>
      <c r="L57" s="195"/>
      <c r="M57" s="195"/>
      <c r="N57" s="195"/>
    </row>
    <row r="58" spans="1:14" x14ac:dyDescent="0.25">
      <c r="A58" s="293" t="s">
        <v>1221</v>
      </c>
      <c r="B58" s="188" t="s">
        <v>248</v>
      </c>
      <c r="C58" s="294">
        <v>42845</v>
      </c>
      <c r="D58" s="270">
        <v>4291</v>
      </c>
      <c r="E58" s="261">
        <v>100</v>
      </c>
      <c r="F58" s="29">
        <v>33</v>
      </c>
      <c r="G58" s="39">
        <f t="shared" si="0"/>
        <v>3300</v>
      </c>
      <c r="H58" s="31">
        <v>42845</v>
      </c>
      <c r="I58" s="62" t="s">
        <v>1172</v>
      </c>
      <c r="J58" s="721"/>
      <c r="L58" s="195"/>
      <c r="M58" s="195"/>
      <c r="N58" s="195"/>
    </row>
    <row r="59" spans="1:14" x14ac:dyDescent="0.25">
      <c r="A59" s="293" t="s">
        <v>1246</v>
      </c>
      <c r="B59" s="188" t="s">
        <v>450</v>
      </c>
      <c r="C59" s="294">
        <v>42845</v>
      </c>
      <c r="D59" s="270">
        <v>4292</v>
      </c>
      <c r="E59" s="261">
        <v>875</v>
      </c>
      <c r="F59" s="29">
        <v>33</v>
      </c>
      <c r="G59" s="39">
        <f>F59*E59+881.8*33.5</f>
        <v>58415.3</v>
      </c>
      <c r="H59" s="31">
        <v>42845</v>
      </c>
      <c r="I59" s="62" t="s">
        <v>1172</v>
      </c>
      <c r="J59" s="721"/>
      <c r="L59" s="195"/>
      <c r="M59" s="195"/>
      <c r="N59" s="195"/>
    </row>
    <row r="60" spans="1:14" x14ac:dyDescent="0.25">
      <c r="A60" s="290" t="s">
        <v>1171</v>
      </c>
      <c r="B60" s="189" t="s">
        <v>206</v>
      </c>
      <c r="C60" s="269">
        <v>42845</v>
      </c>
      <c r="D60" s="270">
        <v>4293</v>
      </c>
      <c r="E60" s="261">
        <v>626.79999999999995</v>
      </c>
      <c r="F60" s="29">
        <v>67.5</v>
      </c>
      <c r="G60" s="39">
        <f t="shared" si="0"/>
        <v>42309</v>
      </c>
      <c r="H60" s="31">
        <v>42846</v>
      </c>
      <c r="I60" s="62" t="s">
        <v>1172</v>
      </c>
      <c r="L60" s="195"/>
      <c r="M60" s="195"/>
      <c r="N60" s="195"/>
    </row>
    <row r="61" spans="1:14" x14ac:dyDescent="0.25">
      <c r="A61" s="290" t="s">
        <v>1197</v>
      </c>
      <c r="B61" s="189" t="s">
        <v>1255</v>
      </c>
      <c r="C61" s="269">
        <v>42845</v>
      </c>
      <c r="D61" s="270">
        <v>4294</v>
      </c>
      <c r="E61" s="261">
        <v>215.3</v>
      </c>
      <c r="F61" s="29">
        <v>40</v>
      </c>
      <c r="G61" s="39">
        <f t="shared" si="0"/>
        <v>8612</v>
      </c>
      <c r="H61" s="31">
        <v>42852</v>
      </c>
      <c r="I61" s="62" t="s">
        <v>1172</v>
      </c>
      <c r="L61" s="195"/>
      <c r="M61" s="195"/>
      <c r="N61" s="195"/>
    </row>
    <row r="62" spans="1:14" x14ac:dyDescent="0.25">
      <c r="A62" s="290" t="s">
        <v>1376</v>
      </c>
      <c r="B62" s="189" t="s">
        <v>1255</v>
      </c>
      <c r="C62" s="269">
        <v>42842</v>
      </c>
      <c r="D62" s="270">
        <v>4295</v>
      </c>
      <c r="E62" s="261">
        <v>82.6</v>
      </c>
      <c r="F62" s="29">
        <v>51</v>
      </c>
      <c r="G62" s="39">
        <f t="shared" si="0"/>
        <v>4212.5999999999995</v>
      </c>
      <c r="H62" s="31">
        <v>42851</v>
      </c>
      <c r="I62" s="62" t="s">
        <v>1172</v>
      </c>
      <c r="L62" s="195"/>
      <c r="M62" s="195"/>
      <c r="N62" s="195"/>
    </row>
    <row r="63" spans="1:14" x14ac:dyDescent="0.25">
      <c r="A63" s="290" t="s">
        <v>1213</v>
      </c>
      <c r="B63" s="188" t="s">
        <v>206</v>
      </c>
      <c r="C63" s="269">
        <v>42846</v>
      </c>
      <c r="D63" s="270">
        <v>4296</v>
      </c>
      <c r="E63" s="261">
        <v>700.3</v>
      </c>
      <c r="F63" s="29">
        <v>67</v>
      </c>
      <c r="G63" s="39">
        <f t="shared" si="0"/>
        <v>46920.1</v>
      </c>
      <c r="H63" s="31">
        <v>42847</v>
      </c>
      <c r="I63" s="62" t="s">
        <v>1172</v>
      </c>
      <c r="J63" s="721"/>
      <c r="L63" s="195"/>
      <c r="M63" s="195"/>
      <c r="N63" s="195"/>
    </row>
    <row r="64" spans="1:14" x14ac:dyDescent="0.25">
      <c r="A64" s="290" t="s">
        <v>1208</v>
      </c>
      <c r="B64" s="188" t="s">
        <v>206</v>
      </c>
      <c r="C64" s="269">
        <v>42846</v>
      </c>
      <c r="D64" s="270">
        <v>4297</v>
      </c>
      <c r="E64" s="261">
        <v>904.4</v>
      </c>
      <c r="F64" s="29">
        <v>67</v>
      </c>
      <c r="G64" s="39">
        <f t="shared" si="0"/>
        <v>60594.799999999996</v>
      </c>
      <c r="H64" s="31">
        <v>42847</v>
      </c>
      <c r="I64" s="62" t="s">
        <v>1172</v>
      </c>
      <c r="J64" s="721"/>
      <c r="L64" s="195"/>
      <c r="M64" s="195"/>
      <c r="N64" s="195"/>
    </row>
    <row r="65" spans="1:14" x14ac:dyDescent="0.25">
      <c r="A65" s="290" t="s">
        <v>1171</v>
      </c>
      <c r="B65" s="188" t="s">
        <v>206</v>
      </c>
      <c r="C65" s="269">
        <v>42846</v>
      </c>
      <c r="D65" s="270">
        <v>4298</v>
      </c>
      <c r="E65" s="261">
        <v>1641.8</v>
      </c>
      <c r="F65" s="29">
        <v>67.5</v>
      </c>
      <c r="G65" s="39">
        <f t="shared" si="0"/>
        <v>110821.5</v>
      </c>
      <c r="H65" s="31">
        <v>42846</v>
      </c>
      <c r="I65" s="62" t="s">
        <v>1172</v>
      </c>
      <c r="J65" s="721"/>
      <c r="L65" s="195"/>
      <c r="M65" s="195"/>
      <c r="N65" s="195"/>
    </row>
    <row r="66" spans="1:14" x14ac:dyDescent="0.25">
      <c r="A66" s="290" t="s">
        <v>1220</v>
      </c>
      <c r="B66" s="188" t="s">
        <v>1377</v>
      </c>
      <c r="C66" s="269">
        <v>42845</v>
      </c>
      <c r="D66" s="270">
        <v>4299</v>
      </c>
      <c r="E66" s="261">
        <v>72.5</v>
      </c>
      <c r="F66" s="29">
        <v>48</v>
      </c>
      <c r="G66" s="39">
        <f t="shared" si="0"/>
        <v>3480</v>
      </c>
      <c r="H66" s="700">
        <v>42858</v>
      </c>
      <c r="I66" s="739" t="s">
        <v>1172</v>
      </c>
      <c r="J66" s="721" t="s">
        <v>1393</v>
      </c>
      <c r="L66" s="195"/>
      <c r="M66" s="195"/>
      <c r="N66" s="195"/>
    </row>
    <row r="67" spans="1:14" ht="15" x14ac:dyDescent="0.25">
      <c r="A67" s="290" t="s">
        <v>1220</v>
      </c>
      <c r="B67" s="188" t="s">
        <v>1368</v>
      </c>
      <c r="C67" s="269">
        <v>42846</v>
      </c>
      <c r="D67" s="270">
        <v>4300</v>
      </c>
      <c r="E67" s="261">
        <v>120.9</v>
      </c>
      <c r="F67" s="29">
        <v>30</v>
      </c>
      <c r="G67" s="39">
        <f t="shared" si="0"/>
        <v>3627</v>
      </c>
      <c r="H67" s="700">
        <v>42858</v>
      </c>
      <c r="I67" s="739" t="s">
        <v>1172</v>
      </c>
      <c r="J67" s="715" t="s">
        <v>1397</v>
      </c>
      <c r="L67" s="195"/>
      <c r="M67" s="195"/>
      <c r="N67" s="195"/>
    </row>
    <row r="68" spans="1:14" x14ac:dyDescent="0.25">
      <c r="A68" s="290" t="s">
        <v>1213</v>
      </c>
      <c r="B68" s="188" t="s">
        <v>206</v>
      </c>
      <c r="C68" s="269">
        <v>42846</v>
      </c>
      <c r="D68" s="270">
        <v>4301</v>
      </c>
      <c r="E68" s="261">
        <v>610.20000000000005</v>
      </c>
      <c r="F68" s="29">
        <v>67</v>
      </c>
      <c r="G68" s="39">
        <f t="shared" si="0"/>
        <v>40883.4</v>
      </c>
      <c r="H68" s="31">
        <v>42849</v>
      </c>
      <c r="I68" s="62" t="s">
        <v>1172</v>
      </c>
      <c r="J68" s="721"/>
      <c r="L68" s="195"/>
      <c r="M68" s="195"/>
      <c r="N68" s="195"/>
    </row>
    <row r="69" spans="1:14" ht="17.25" customHeight="1" x14ac:dyDescent="0.25">
      <c r="A69" s="290" t="s">
        <v>1379</v>
      </c>
      <c r="B69" s="295" t="s">
        <v>1207</v>
      </c>
      <c r="C69" s="269">
        <v>42847</v>
      </c>
      <c r="D69" s="270">
        <v>4302</v>
      </c>
      <c r="E69" s="296">
        <v>205.2</v>
      </c>
      <c r="F69" s="297">
        <v>72</v>
      </c>
      <c r="G69" s="39">
        <f t="shared" si="0"/>
        <v>14774.4</v>
      </c>
      <c r="H69" s="298">
        <v>42853</v>
      </c>
      <c r="I69" s="298" t="s">
        <v>1172</v>
      </c>
      <c r="J69" s="722"/>
      <c r="K69" s="208"/>
      <c r="L69" s="301"/>
      <c r="M69" s="301"/>
      <c r="N69" s="301"/>
    </row>
    <row r="70" spans="1:14" ht="17.25" customHeight="1" x14ac:dyDescent="0.25">
      <c r="A70" s="290" t="s">
        <v>1220</v>
      </c>
      <c r="B70" s="295" t="s">
        <v>1368</v>
      </c>
      <c r="C70" s="269">
        <v>42848</v>
      </c>
      <c r="D70" s="270">
        <v>4303</v>
      </c>
      <c r="E70" s="296">
        <v>134.19999999999999</v>
      </c>
      <c r="F70" s="297">
        <v>30</v>
      </c>
      <c r="G70" s="39">
        <f t="shared" si="0"/>
        <v>4025.9999999999995</v>
      </c>
      <c r="H70" s="744">
        <v>42858</v>
      </c>
      <c r="I70" s="744" t="s">
        <v>1172</v>
      </c>
      <c r="J70" s="745" t="s">
        <v>1400</v>
      </c>
      <c r="K70" s="208"/>
      <c r="L70" s="301"/>
      <c r="M70" s="301"/>
      <c r="N70" s="301"/>
    </row>
    <row r="71" spans="1:14" ht="17.25" customHeight="1" x14ac:dyDescent="0.25">
      <c r="A71" s="290" t="s">
        <v>1220</v>
      </c>
      <c r="B71" s="295" t="s">
        <v>450</v>
      </c>
      <c r="C71" s="269">
        <v>42848</v>
      </c>
      <c r="D71" s="270">
        <v>4304</v>
      </c>
      <c r="E71" s="296">
        <v>2859.89</v>
      </c>
      <c r="F71" s="297">
        <v>35</v>
      </c>
      <c r="G71" s="39">
        <f t="shared" si="0"/>
        <v>100096.15</v>
      </c>
      <c r="H71" s="744">
        <v>42879</v>
      </c>
      <c r="I71" s="744" t="s">
        <v>1172</v>
      </c>
      <c r="J71" s="745" t="s">
        <v>1440</v>
      </c>
      <c r="K71" s="208"/>
      <c r="L71" s="301"/>
      <c r="M71" s="301"/>
      <c r="N71" s="301"/>
    </row>
    <row r="72" spans="1:14" ht="17.25" customHeight="1" x14ac:dyDescent="0.25">
      <c r="A72" s="290" t="s">
        <v>1171</v>
      </c>
      <c r="B72" s="295" t="s">
        <v>206</v>
      </c>
      <c r="C72" s="269">
        <v>42847</v>
      </c>
      <c r="D72" s="270">
        <v>4305</v>
      </c>
      <c r="E72" s="296">
        <v>727.5</v>
      </c>
      <c r="F72" s="297">
        <v>67.5</v>
      </c>
      <c r="G72" s="39">
        <f>F72*E72+277.6*64</f>
        <v>66872.649999999994</v>
      </c>
      <c r="H72" s="298">
        <v>42848</v>
      </c>
      <c r="I72" s="298" t="s">
        <v>1172</v>
      </c>
      <c r="J72" s="722"/>
      <c r="K72" s="208"/>
      <c r="L72" s="301"/>
      <c r="M72" s="301"/>
      <c r="N72" s="301"/>
    </row>
    <row r="73" spans="1:14" x14ac:dyDescent="0.25">
      <c r="A73" s="268" t="s">
        <v>451</v>
      </c>
      <c r="B73" s="272" t="s">
        <v>450</v>
      </c>
      <c r="C73" s="269">
        <v>42847</v>
      </c>
      <c r="D73" s="270">
        <v>4306</v>
      </c>
      <c r="E73" s="261">
        <v>6934.19</v>
      </c>
      <c r="F73" s="29">
        <v>32</v>
      </c>
      <c r="G73" s="39">
        <f t="shared" ref="G73" si="1">F73*E73</f>
        <v>221894.08</v>
      </c>
      <c r="H73" s="459" t="s">
        <v>452</v>
      </c>
      <c r="I73" s="520">
        <v>42863</v>
      </c>
      <c r="K73" s="302"/>
      <c r="L73" s="302"/>
      <c r="M73" s="302"/>
      <c r="N73" s="302"/>
    </row>
    <row r="74" spans="1:14" x14ac:dyDescent="0.25">
      <c r="A74" s="273" t="s">
        <v>1216</v>
      </c>
      <c r="B74" s="268" t="s">
        <v>1316</v>
      </c>
      <c r="C74" s="274">
        <v>42847</v>
      </c>
      <c r="D74" s="270">
        <v>4307</v>
      </c>
      <c r="E74" s="261">
        <v>358.9</v>
      </c>
      <c r="F74" s="29">
        <v>48</v>
      </c>
      <c r="G74" s="39">
        <f>F74*E74+138.8*27+103.5*54</f>
        <v>26563.799999999996</v>
      </c>
      <c r="H74" s="31">
        <v>42851</v>
      </c>
      <c r="I74" s="62" t="s">
        <v>1172</v>
      </c>
      <c r="L74" s="195"/>
      <c r="M74" s="195"/>
      <c r="N74" s="195"/>
    </row>
    <row r="75" spans="1:14" x14ac:dyDescent="0.25">
      <c r="A75" s="290" t="s">
        <v>1340</v>
      </c>
      <c r="B75" s="303" t="s">
        <v>1368</v>
      </c>
      <c r="C75" s="269">
        <v>42847</v>
      </c>
      <c r="D75" s="270">
        <v>4308</v>
      </c>
      <c r="E75" s="261">
        <v>39.4</v>
      </c>
      <c r="F75" s="29">
        <v>34</v>
      </c>
      <c r="G75" s="39">
        <f t="shared" si="0"/>
        <v>1339.6</v>
      </c>
      <c r="H75" s="31">
        <v>42848</v>
      </c>
      <c r="I75" s="62" t="s">
        <v>1172</v>
      </c>
      <c r="L75" s="195"/>
      <c r="M75" s="195"/>
      <c r="N75" s="195"/>
    </row>
    <row r="76" spans="1:14" x14ac:dyDescent="0.25">
      <c r="A76" s="290" t="s">
        <v>1197</v>
      </c>
      <c r="B76" s="188" t="s">
        <v>1377</v>
      </c>
      <c r="C76" s="269">
        <v>42848</v>
      </c>
      <c r="D76" s="270">
        <v>4309</v>
      </c>
      <c r="E76" s="261">
        <v>172.8</v>
      </c>
      <c r="F76" s="29">
        <v>49</v>
      </c>
      <c r="G76" s="39">
        <f t="shared" si="0"/>
        <v>8467.2000000000007</v>
      </c>
      <c r="H76" s="31">
        <v>42853</v>
      </c>
      <c r="I76" s="62" t="s">
        <v>1172</v>
      </c>
      <c r="L76" s="195"/>
      <c r="M76" s="195"/>
      <c r="N76" s="195"/>
    </row>
    <row r="77" spans="1:14" x14ac:dyDescent="0.25">
      <c r="A77" s="290" t="s">
        <v>1180</v>
      </c>
      <c r="B77" s="188" t="s">
        <v>1214</v>
      </c>
      <c r="C77" s="269">
        <v>42848</v>
      </c>
      <c r="D77" s="270">
        <v>4310</v>
      </c>
      <c r="E77" s="261">
        <v>269.39999999999998</v>
      </c>
      <c r="F77" s="29">
        <v>35</v>
      </c>
      <c r="G77" s="39">
        <f t="shared" si="0"/>
        <v>9429</v>
      </c>
      <c r="H77" s="31">
        <v>42848</v>
      </c>
      <c r="I77" s="62" t="s">
        <v>1172</v>
      </c>
      <c r="L77" s="195"/>
      <c r="M77" s="195"/>
      <c r="N77" s="195"/>
    </row>
    <row r="78" spans="1:14" x14ac:dyDescent="0.25">
      <c r="A78" s="290" t="s">
        <v>1375</v>
      </c>
      <c r="B78" s="188" t="s">
        <v>1374</v>
      </c>
      <c r="C78" s="269">
        <v>42847</v>
      </c>
      <c r="D78" s="270">
        <v>4311</v>
      </c>
      <c r="E78" s="261">
        <v>333.9</v>
      </c>
      <c r="F78" s="29">
        <v>33</v>
      </c>
      <c r="G78" s="39">
        <f t="shared" si="0"/>
        <v>11018.699999999999</v>
      </c>
      <c r="H78" s="31">
        <v>42851</v>
      </c>
      <c r="I78" s="62" t="s">
        <v>1172</v>
      </c>
      <c r="J78" s="721"/>
      <c r="L78" s="195"/>
      <c r="M78" s="195"/>
      <c r="N78" s="195"/>
    </row>
    <row r="79" spans="1:14" x14ac:dyDescent="0.25">
      <c r="A79" s="290" t="s">
        <v>1220</v>
      </c>
      <c r="B79" s="188" t="s">
        <v>1395</v>
      </c>
      <c r="C79" s="269">
        <v>42848</v>
      </c>
      <c r="D79" s="270">
        <v>4312</v>
      </c>
      <c r="E79" s="261">
        <v>99.9</v>
      </c>
      <c r="F79" s="29">
        <v>38</v>
      </c>
      <c r="G79" s="39">
        <f t="shared" si="0"/>
        <v>3796.2000000000003</v>
      </c>
      <c r="H79" s="700">
        <v>42858</v>
      </c>
      <c r="I79" s="739" t="s">
        <v>1172</v>
      </c>
      <c r="J79" s="721" t="s">
        <v>1399</v>
      </c>
      <c r="L79" s="195"/>
      <c r="M79" s="195"/>
      <c r="N79" s="195"/>
    </row>
    <row r="80" spans="1:14" x14ac:dyDescent="0.25">
      <c r="A80" s="290" t="s">
        <v>1213</v>
      </c>
      <c r="B80" s="188" t="s">
        <v>206</v>
      </c>
      <c r="C80" s="269">
        <v>42849</v>
      </c>
      <c r="D80" s="270">
        <v>4313</v>
      </c>
      <c r="E80" s="261">
        <v>873.9</v>
      </c>
      <c r="F80" s="29">
        <v>67</v>
      </c>
      <c r="G80" s="39">
        <f t="shared" si="0"/>
        <v>58551.299999999996</v>
      </c>
      <c r="H80" s="31">
        <v>42850</v>
      </c>
      <c r="I80" s="62" t="s">
        <v>1172</v>
      </c>
      <c r="J80" s="721"/>
      <c r="L80" s="195"/>
      <c r="M80" s="195"/>
      <c r="N80" s="195"/>
    </row>
    <row r="81" spans="1:14" x14ac:dyDescent="0.25">
      <c r="A81" s="290" t="s">
        <v>1302</v>
      </c>
      <c r="B81" s="188" t="s">
        <v>1369</v>
      </c>
      <c r="C81" s="269">
        <v>42849</v>
      </c>
      <c r="D81" s="270">
        <v>4314</v>
      </c>
      <c r="E81" s="261">
        <v>2</v>
      </c>
      <c r="F81" s="29">
        <v>74</v>
      </c>
      <c r="G81" s="39">
        <f t="shared" si="0"/>
        <v>148</v>
      </c>
      <c r="H81" s="31">
        <v>42849</v>
      </c>
      <c r="I81" s="62" t="s">
        <v>1172</v>
      </c>
      <c r="J81" s="721"/>
      <c r="L81" s="195"/>
      <c r="M81" s="195"/>
      <c r="N81" s="195"/>
    </row>
    <row r="82" spans="1:14" x14ac:dyDescent="0.25">
      <c r="A82" s="290" t="s">
        <v>1208</v>
      </c>
      <c r="B82" s="188" t="s">
        <v>206</v>
      </c>
      <c r="C82" s="269">
        <v>42849</v>
      </c>
      <c r="D82" s="270">
        <v>4315</v>
      </c>
      <c r="E82" s="261">
        <v>699.6</v>
      </c>
      <c r="F82" s="29">
        <v>67</v>
      </c>
      <c r="G82" s="39">
        <f t="shared" si="0"/>
        <v>46873.200000000004</v>
      </c>
      <c r="H82" s="31">
        <v>42854</v>
      </c>
      <c r="I82" s="62" t="s">
        <v>1172</v>
      </c>
      <c r="J82" s="721"/>
      <c r="L82" s="195"/>
      <c r="M82" s="195"/>
      <c r="N82" s="195"/>
    </row>
    <row r="83" spans="1:14" x14ac:dyDescent="0.25">
      <c r="A83" s="288" t="s">
        <v>176</v>
      </c>
      <c r="B83" s="188"/>
      <c r="C83" s="289"/>
      <c r="D83" s="270">
        <v>4316</v>
      </c>
      <c r="G83" s="39">
        <f t="shared" si="0"/>
        <v>0</v>
      </c>
      <c r="H83" s="31"/>
      <c r="J83" s="721"/>
      <c r="L83" s="195"/>
      <c r="M83" s="195"/>
      <c r="N83" s="195"/>
    </row>
    <row r="84" spans="1:14" x14ac:dyDescent="0.25">
      <c r="A84" s="290" t="s">
        <v>1171</v>
      </c>
      <c r="B84" s="189" t="s">
        <v>206</v>
      </c>
      <c r="C84" s="269">
        <v>42849</v>
      </c>
      <c r="D84" s="270">
        <v>4317</v>
      </c>
      <c r="E84" s="261">
        <v>869.5</v>
      </c>
      <c r="F84" s="29">
        <v>68.5</v>
      </c>
      <c r="G84" s="39">
        <f>F84*E84+264.4*66.5</f>
        <v>77143.350000000006</v>
      </c>
      <c r="H84" s="31">
        <v>42849</v>
      </c>
      <c r="I84" s="62" t="s">
        <v>1172</v>
      </c>
      <c r="J84" s="721"/>
      <c r="L84" s="195"/>
      <c r="M84" s="195"/>
      <c r="N84" s="195"/>
    </row>
    <row r="85" spans="1:14" x14ac:dyDescent="0.25">
      <c r="A85" s="290" t="s">
        <v>1282</v>
      </c>
      <c r="B85" s="189" t="s">
        <v>1252</v>
      </c>
      <c r="C85" s="269">
        <v>42849</v>
      </c>
      <c r="D85" s="270">
        <v>4318</v>
      </c>
      <c r="E85" s="261">
        <v>20.7</v>
      </c>
      <c r="F85" s="29">
        <v>49</v>
      </c>
      <c r="G85" s="39">
        <f t="shared" si="0"/>
        <v>1014.3</v>
      </c>
      <c r="H85" s="700">
        <v>42870</v>
      </c>
      <c r="I85" s="739" t="s">
        <v>1172</v>
      </c>
      <c r="J85" s="721" t="s">
        <v>1421</v>
      </c>
      <c r="L85" s="195"/>
      <c r="M85" s="195"/>
      <c r="N85" s="195"/>
    </row>
    <row r="86" spans="1:14" x14ac:dyDescent="0.25">
      <c r="A86" s="290" t="s">
        <v>1182</v>
      </c>
      <c r="B86" s="188" t="s">
        <v>1281</v>
      </c>
      <c r="C86" s="269">
        <v>42849</v>
      </c>
      <c r="D86" s="270">
        <v>4319</v>
      </c>
      <c r="E86" s="261">
        <v>23976.799999999999</v>
      </c>
      <c r="F86" s="29">
        <v>1</v>
      </c>
      <c r="G86" s="39">
        <f t="shared" si="0"/>
        <v>23976.799999999999</v>
      </c>
      <c r="H86" s="31">
        <v>42851</v>
      </c>
      <c r="I86" s="62" t="s">
        <v>1172</v>
      </c>
      <c r="L86" s="195"/>
      <c r="M86" s="195"/>
      <c r="N86" s="195"/>
    </row>
    <row r="87" spans="1:14" x14ac:dyDescent="0.25">
      <c r="A87" s="290" t="s">
        <v>1220</v>
      </c>
      <c r="B87" s="188" t="s">
        <v>1396</v>
      </c>
      <c r="C87" s="269">
        <v>42849</v>
      </c>
      <c r="D87" s="270">
        <v>4320</v>
      </c>
      <c r="E87" s="261">
        <v>109.75</v>
      </c>
      <c r="F87" s="29">
        <v>60</v>
      </c>
      <c r="G87" s="39">
        <f>F87*E87+187.1*52+40.45*48+100*38</f>
        <v>22055.8</v>
      </c>
      <c r="H87" s="700">
        <v>42858</v>
      </c>
      <c r="I87" s="739" t="s">
        <v>1172</v>
      </c>
      <c r="J87" s="720" t="s">
        <v>1398</v>
      </c>
      <c r="L87" s="195"/>
      <c r="M87" s="195"/>
      <c r="N87" s="195"/>
    </row>
    <row r="88" spans="1:14" x14ac:dyDescent="0.25">
      <c r="A88" s="290" t="s">
        <v>1373</v>
      </c>
      <c r="B88" s="188" t="s">
        <v>1205</v>
      </c>
      <c r="C88" s="269">
        <v>42849</v>
      </c>
      <c r="D88" s="270">
        <v>4321</v>
      </c>
      <c r="E88" s="261">
        <v>8</v>
      </c>
      <c r="F88" s="29">
        <v>43</v>
      </c>
      <c r="G88" s="39">
        <f t="shared" si="0"/>
        <v>344</v>
      </c>
      <c r="H88" s="31">
        <v>42851</v>
      </c>
      <c r="I88" s="62" t="s">
        <v>1172</v>
      </c>
      <c r="L88" s="195"/>
      <c r="M88" s="195"/>
      <c r="N88" s="195"/>
    </row>
    <row r="89" spans="1:14" x14ac:dyDescent="0.25">
      <c r="A89" s="290" t="s">
        <v>1372</v>
      </c>
      <c r="B89" s="188" t="s">
        <v>1187</v>
      </c>
      <c r="C89" s="269">
        <v>42849</v>
      </c>
      <c r="D89" s="270">
        <v>4322</v>
      </c>
      <c r="E89" s="261">
        <v>2.9</v>
      </c>
      <c r="F89" s="29">
        <v>39</v>
      </c>
      <c r="G89" s="39">
        <f t="shared" si="0"/>
        <v>113.1</v>
      </c>
      <c r="H89" s="31">
        <v>42851</v>
      </c>
      <c r="I89" s="62" t="s">
        <v>1172</v>
      </c>
      <c r="L89" s="195"/>
      <c r="M89" s="195"/>
      <c r="N89" s="195"/>
    </row>
    <row r="90" spans="1:14" x14ac:dyDescent="0.25">
      <c r="A90" s="290" t="s">
        <v>1221</v>
      </c>
      <c r="B90" s="188" t="s">
        <v>248</v>
      </c>
      <c r="C90" s="269">
        <v>42850</v>
      </c>
      <c r="D90" s="270">
        <v>4323</v>
      </c>
      <c r="E90" s="261">
        <v>300</v>
      </c>
      <c r="F90" s="29">
        <v>33</v>
      </c>
      <c r="G90" s="39">
        <f t="shared" si="0"/>
        <v>9900</v>
      </c>
      <c r="H90" s="31">
        <v>42850</v>
      </c>
      <c r="I90" s="62" t="s">
        <v>1172</v>
      </c>
      <c r="L90" s="195"/>
      <c r="M90" s="195"/>
      <c r="N90" s="195"/>
    </row>
    <row r="91" spans="1:14" x14ac:dyDescent="0.25">
      <c r="A91" s="290" t="s">
        <v>1213</v>
      </c>
      <c r="B91" s="188" t="s">
        <v>206</v>
      </c>
      <c r="C91" s="269">
        <v>42850</v>
      </c>
      <c r="D91" s="270">
        <v>4324</v>
      </c>
      <c r="E91" s="261">
        <v>454.8</v>
      </c>
      <c r="F91" s="29">
        <v>67</v>
      </c>
      <c r="G91" s="39">
        <f t="shared" si="0"/>
        <v>30471.600000000002</v>
      </c>
      <c r="H91" s="31">
        <v>42851</v>
      </c>
      <c r="I91" s="62" t="s">
        <v>1172</v>
      </c>
      <c r="L91" s="195"/>
      <c r="M91" s="195"/>
      <c r="N91" s="195"/>
    </row>
    <row r="92" spans="1:14" x14ac:dyDescent="0.25">
      <c r="A92" s="290" t="s">
        <v>1171</v>
      </c>
      <c r="B92" s="188" t="s">
        <v>206</v>
      </c>
      <c r="C92" s="269">
        <v>42850</v>
      </c>
      <c r="D92" s="270">
        <v>4325</v>
      </c>
      <c r="E92" s="261">
        <v>970</v>
      </c>
      <c r="F92" s="29">
        <v>68.5</v>
      </c>
      <c r="G92" s="39">
        <f t="shared" si="0"/>
        <v>66445</v>
      </c>
      <c r="H92" s="31">
        <v>42850</v>
      </c>
      <c r="I92" s="62" t="s">
        <v>1172</v>
      </c>
      <c r="L92" s="195"/>
      <c r="M92" s="195"/>
      <c r="N92" s="195"/>
    </row>
    <row r="93" spans="1:14" x14ac:dyDescent="0.25">
      <c r="A93" s="290" t="s">
        <v>1197</v>
      </c>
      <c r="B93" s="188" t="s">
        <v>1193</v>
      </c>
      <c r="C93" s="269">
        <v>42850</v>
      </c>
      <c r="D93" s="270">
        <v>4326</v>
      </c>
      <c r="E93" s="261">
        <v>138.5</v>
      </c>
      <c r="F93" s="29">
        <v>50</v>
      </c>
      <c r="G93" s="39">
        <f t="shared" si="0"/>
        <v>6925</v>
      </c>
      <c r="H93" s="31">
        <v>42853</v>
      </c>
      <c r="I93" s="62" t="s">
        <v>1172</v>
      </c>
      <c r="L93" s="195"/>
      <c r="M93" s="195"/>
      <c r="N93" s="195"/>
    </row>
    <row r="94" spans="1:14" x14ac:dyDescent="0.25">
      <c r="A94" s="304" t="s">
        <v>1370</v>
      </c>
      <c r="B94" s="188" t="s">
        <v>1371</v>
      </c>
      <c r="C94" s="305">
        <v>42851</v>
      </c>
      <c r="D94" s="270">
        <v>4327</v>
      </c>
      <c r="E94" s="261">
        <v>117.5</v>
      </c>
      <c r="F94" s="29">
        <v>17</v>
      </c>
      <c r="G94" s="39">
        <f t="shared" ref="G94:G192" si="2">F94*E94</f>
        <v>1997.5</v>
      </c>
      <c r="H94" s="31">
        <v>42851</v>
      </c>
      <c r="I94" s="62" t="s">
        <v>1172</v>
      </c>
      <c r="L94" s="195"/>
      <c r="M94" s="195"/>
      <c r="N94" s="195"/>
    </row>
    <row r="95" spans="1:14" x14ac:dyDescent="0.25">
      <c r="A95" s="290" t="s">
        <v>1171</v>
      </c>
      <c r="B95" s="188" t="s">
        <v>206</v>
      </c>
      <c r="C95" s="269">
        <v>42851</v>
      </c>
      <c r="D95" s="270">
        <v>4328</v>
      </c>
      <c r="E95" s="261">
        <v>1473.7</v>
      </c>
      <c r="F95" s="29">
        <v>68.5</v>
      </c>
      <c r="G95" s="39">
        <f t="shared" si="2"/>
        <v>100948.45</v>
      </c>
      <c r="H95" s="31">
        <v>42853</v>
      </c>
      <c r="I95" s="62" t="s">
        <v>1172</v>
      </c>
      <c r="L95" s="195"/>
      <c r="M95" s="195"/>
      <c r="N95" s="195"/>
    </row>
    <row r="96" spans="1:14" x14ac:dyDescent="0.25">
      <c r="A96" s="290" t="s">
        <v>1197</v>
      </c>
      <c r="B96" s="188" t="s">
        <v>1193</v>
      </c>
      <c r="C96" s="269">
        <v>42851</v>
      </c>
      <c r="D96" s="270">
        <v>4329</v>
      </c>
      <c r="E96" s="261">
        <v>321.60000000000002</v>
      </c>
      <c r="F96" s="29">
        <v>17</v>
      </c>
      <c r="G96" s="39">
        <f>F96*E96+70.1*50</f>
        <v>8972.2000000000007</v>
      </c>
      <c r="H96" s="31">
        <v>42853</v>
      </c>
      <c r="I96" s="62" t="s">
        <v>1172</v>
      </c>
      <c r="L96" s="195"/>
      <c r="M96" s="195"/>
      <c r="N96" s="195"/>
    </row>
    <row r="97" spans="1:14" x14ac:dyDescent="0.25">
      <c r="A97" s="290" t="s">
        <v>1376</v>
      </c>
      <c r="B97" s="188" t="s">
        <v>1286</v>
      </c>
      <c r="C97" s="269">
        <v>42851</v>
      </c>
      <c r="D97" s="270">
        <v>4330</v>
      </c>
      <c r="E97" s="261">
        <v>14.4</v>
      </c>
      <c r="F97" s="29">
        <v>24</v>
      </c>
      <c r="G97" s="39">
        <f t="shared" si="2"/>
        <v>345.6</v>
      </c>
      <c r="H97" s="31">
        <v>42851</v>
      </c>
      <c r="I97" s="62" t="s">
        <v>1172</v>
      </c>
      <c r="L97" s="195"/>
      <c r="M97" s="195"/>
      <c r="N97" s="195"/>
    </row>
    <row r="98" spans="1:14" x14ac:dyDescent="0.25">
      <c r="A98" s="290" t="s">
        <v>1197</v>
      </c>
      <c r="B98" s="188" t="s">
        <v>1389</v>
      </c>
      <c r="C98" s="269">
        <v>42851</v>
      </c>
      <c r="D98" s="270">
        <v>4331</v>
      </c>
      <c r="E98" s="261">
        <v>234.3</v>
      </c>
      <c r="F98" s="29">
        <v>42</v>
      </c>
      <c r="G98" s="39">
        <f>F98*E98+220.4*40</f>
        <v>18656.599999999999</v>
      </c>
      <c r="H98" s="700">
        <v>42858</v>
      </c>
      <c r="I98" s="739" t="s">
        <v>1172</v>
      </c>
      <c r="L98" s="195"/>
      <c r="M98" s="195"/>
      <c r="N98" s="195"/>
    </row>
    <row r="99" spans="1:14" x14ac:dyDescent="0.25">
      <c r="A99" s="290" t="s">
        <v>1213</v>
      </c>
      <c r="B99" s="188" t="s">
        <v>206</v>
      </c>
      <c r="C99" s="269">
        <v>42852</v>
      </c>
      <c r="D99" s="270">
        <v>4332</v>
      </c>
      <c r="E99" s="261">
        <v>747.5</v>
      </c>
      <c r="F99" s="29">
        <v>67</v>
      </c>
      <c r="G99" s="39">
        <f t="shared" si="2"/>
        <v>50082.5</v>
      </c>
      <c r="H99" s="31">
        <v>42852</v>
      </c>
      <c r="I99" s="62" t="s">
        <v>1172</v>
      </c>
      <c r="L99" s="195"/>
      <c r="M99" s="195"/>
      <c r="N99" s="195"/>
    </row>
    <row r="100" spans="1:14" x14ac:dyDescent="0.25">
      <c r="A100" s="290" t="s">
        <v>1282</v>
      </c>
      <c r="B100" s="188" t="s">
        <v>1252</v>
      </c>
      <c r="C100" s="269">
        <v>42852</v>
      </c>
      <c r="D100" s="270">
        <v>4333</v>
      </c>
      <c r="E100" s="261">
        <v>90.8</v>
      </c>
      <c r="F100" s="29">
        <v>49</v>
      </c>
      <c r="G100" s="39">
        <f t="shared" si="2"/>
        <v>4449.2</v>
      </c>
      <c r="H100" s="700">
        <v>42870</v>
      </c>
      <c r="I100" s="739" t="s">
        <v>1172</v>
      </c>
      <c r="J100" s="720" t="s">
        <v>1422</v>
      </c>
      <c r="L100" s="195"/>
      <c r="M100" s="195"/>
      <c r="N100" s="195"/>
    </row>
    <row r="101" spans="1:14" x14ac:dyDescent="0.25">
      <c r="A101" s="290" t="s">
        <v>1213</v>
      </c>
      <c r="B101" s="188" t="s">
        <v>206</v>
      </c>
      <c r="C101" s="269">
        <v>42853</v>
      </c>
      <c r="D101" s="270">
        <v>4334</v>
      </c>
      <c r="E101" s="261">
        <v>1031.4000000000001</v>
      </c>
      <c r="F101" s="29">
        <v>67</v>
      </c>
      <c r="G101" s="39">
        <f t="shared" si="2"/>
        <v>69103.8</v>
      </c>
      <c r="H101" s="31">
        <v>42854</v>
      </c>
      <c r="I101" s="62" t="s">
        <v>1172</v>
      </c>
      <c r="L101" s="195"/>
      <c r="M101" s="195"/>
      <c r="N101" s="195"/>
    </row>
    <row r="102" spans="1:14" x14ac:dyDescent="0.25">
      <c r="A102" s="304" t="s">
        <v>1197</v>
      </c>
      <c r="B102" s="188" t="s">
        <v>1390</v>
      </c>
      <c r="C102" s="305">
        <v>42853</v>
      </c>
      <c r="D102" s="270">
        <v>4335</v>
      </c>
      <c r="E102" s="261">
        <v>79.38</v>
      </c>
      <c r="F102" s="29">
        <v>50</v>
      </c>
      <c r="G102" s="39">
        <f t="shared" si="2"/>
        <v>3969</v>
      </c>
      <c r="H102" s="700">
        <v>42858</v>
      </c>
      <c r="I102" s="739" t="s">
        <v>1172</v>
      </c>
      <c r="L102" s="195"/>
      <c r="M102" s="195"/>
      <c r="N102" s="195"/>
    </row>
    <row r="103" spans="1:14" x14ac:dyDescent="0.25">
      <c r="A103" s="304" t="s">
        <v>1220</v>
      </c>
      <c r="B103" s="188" t="s">
        <v>1281</v>
      </c>
      <c r="C103" s="305">
        <v>42853</v>
      </c>
      <c r="D103" s="270">
        <v>4336</v>
      </c>
      <c r="E103" s="261">
        <v>8854</v>
      </c>
      <c r="F103" s="29">
        <v>1</v>
      </c>
      <c r="G103" s="39">
        <f t="shared" si="2"/>
        <v>8854</v>
      </c>
      <c r="H103" s="700">
        <v>42865</v>
      </c>
      <c r="I103" s="739" t="s">
        <v>1172</v>
      </c>
      <c r="L103" s="195"/>
      <c r="M103" s="195"/>
      <c r="N103" s="195"/>
    </row>
    <row r="104" spans="1:14" x14ac:dyDescent="0.25">
      <c r="A104" s="290" t="s">
        <v>1197</v>
      </c>
      <c r="B104" s="188" t="s">
        <v>1368</v>
      </c>
      <c r="C104" s="269">
        <v>42853</v>
      </c>
      <c r="D104" s="270">
        <v>4337</v>
      </c>
      <c r="E104" s="261">
        <v>57.1</v>
      </c>
      <c r="F104" s="29">
        <v>30</v>
      </c>
      <c r="G104" s="39">
        <f t="shared" si="2"/>
        <v>1713</v>
      </c>
      <c r="H104" s="700">
        <v>42858</v>
      </c>
      <c r="I104" s="739" t="s">
        <v>1172</v>
      </c>
      <c r="L104" s="195"/>
      <c r="M104" s="195"/>
      <c r="N104" s="195"/>
    </row>
    <row r="105" spans="1:14" x14ac:dyDescent="0.25">
      <c r="A105" s="290" t="s">
        <v>1208</v>
      </c>
      <c r="B105" s="188" t="s">
        <v>206</v>
      </c>
      <c r="C105" s="269">
        <v>42853</v>
      </c>
      <c r="D105" s="270">
        <v>4338</v>
      </c>
      <c r="E105" s="261">
        <v>896</v>
      </c>
      <c r="F105" s="29">
        <v>67</v>
      </c>
      <c r="G105" s="39">
        <f t="shared" si="2"/>
        <v>60032</v>
      </c>
      <c r="H105" s="31">
        <v>42853</v>
      </c>
      <c r="I105" s="62" t="s">
        <v>1172</v>
      </c>
      <c r="L105" s="195"/>
      <c r="M105" s="195"/>
      <c r="N105" s="195"/>
    </row>
    <row r="106" spans="1:14" x14ac:dyDescent="0.25">
      <c r="A106" s="290" t="s">
        <v>1182</v>
      </c>
      <c r="B106" s="188" t="s">
        <v>1281</v>
      </c>
      <c r="C106" s="269">
        <v>42853</v>
      </c>
      <c r="D106" s="270">
        <v>4339</v>
      </c>
      <c r="E106" s="261">
        <v>41726</v>
      </c>
      <c r="F106" s="29">
        <v>1</v>
      </c>
      <c r="G106" s="39">
        <f t="shared" si="2"/>
        <v>41726</v>
      </c>
      <c r="H106" s="700">
        <v>42863</v>
      </c>
      <c r="I106" s="739" t="s">
        <v>1172</v>
      </c>
      <c r="L106" s="195"/>
      <c r="M106" s="195"/>
      <c r="N106" s="195"/>
    </row>
    <row r="107" spans="1:14" x14ac:dyDescent="0.25">
      <c r="A107" s="273" t="s">
        <v>451</v>
      </c>
      <c r="B107" s="268" t="s">
        <v>450</v>
      </c>
      <c r="C107" s="274">
        <v>42854</v>
      </c>
      <c r="D107" s="270">
        <v>4340</v>
      </c>
      <c r="E107" s="261">
        <v>5111</v>
      </c>
      <c r="F107" s="29">
        <v>34</v>
      </c>
      <c r="G107" s="39">
        <f t="shared" si="2"/>
        <v>173774</v>
      </c>
      <c r="H107" s="459" t="s">
        <v>452</v>
      </c>
      <c r="I107" s="520">
        <v>42891</v>
      </c>
      <c r="J107" s="720" t="s">
        <v>547</v>
      </c>
      <c r="L107" s="195"/>
      <c r="M107" s="195"/>
      <c r="N107" s="195"/>
    </row>
    <row r="108" spans="1:14" x14ac:dyDescent="0.25">
      <c r="A108" s="290" t="s">
        <v>1381</v>
      </c>
      <c r="B108" s="189" t="s">
        <v>1374</v>
      </c>
      <c r="C108" s="269">
        <v>42854</v>
      </c>
      <c r="D108" s="270">
        <v>4341</v>
      </c>
      <c r="E108" s="261">
        <v>79.400000000000006</v>
      </c>
      <c r="F108" s="29">
        <v>34.5</v>
      </c>
      <c r="G108" s="39">
        <f t="shared" si="2"/>
        <v>2739.3</v>
      </c>
      <c r="H108" s="31">
        <v>42854</v>
      </c>
      <c r="I108" s="62" t="s">
        <v>1172</v>
      </c>
      <c r="L108" s="195"/>
      <c r="M108" s="195"/>
      <c r="N108" s="195"/>
    </row>
    <row r="109" spans="1:14" x14ac:dyDescent="0.25">
      <c r="A109" s="290" t="s">
        <v>1378</v>
      </c>
      <c r="B109" s="189" t="s">
        <v>1258</v>
      </c>
      <c r="C109" s="269">
        <v>42853</v>
      </c>
      <c r="D109" s="270">
        <v>4342</v>
      </c>
      <c r="E109" s="261">
        <v>659.8</v>
      </c>
      <c r="F109" s="29">
        <v>15</v>
      </c>
      <c r="G109" s="39">
        <f t="shared" si="2"/>
        <v>9897</v>
      </c>
      <c r="H109" s="31">
        <v>42853</v>
      </c>
      <c r="I109" s="62" t="s">
        <v>1172</v>
      </c>
      <c r="L109" s="195"/>
      <c r="M109" s="195"/>
      <c r="N109" s="195"/>
    </row>
    <row r="110" spans="1:14" x14ac:dyDescent="0.25">
      <c r="A110" s="290" t="s">
        <v>1171</v>
      </c>
      <c r="B110" s="188" t="s">
        <v>206</v>
      </c>
      <c r="C110" s="269">
        <v>42853</v>
      </c>
      <c r="D110" s="270">
        <v>4343</v>
      </c>
      <c r="E110" s="261">
        <v>1049.5</v>
      </c>
      <c r="F110" s="29">
        <v>68.5</v>
      </c>
      <c r="G110" s="39">
        <f t="shared" si="2"/>
        <v>71890.75</v>
      </c>
      <c r="H110" s="700">
        <v>42856</v>
      </c>
      <c r="I110" s="739" t="s">
        <v>1172</v>
      </c>
      <c r="L110" s="195"/>
      <c r="M110" s="195"/>
      <c r="N110" s="195"/>
    </row>
    <row r="111" spans="1:14" x14ac:dyDescent="0.25">
      <c r="A111" s="290" t="s">
        <v>1383</v>
      </c>
      <c r="B111" s="188" t="s">
        <v>1255</v>
      </c>
      <c r="C111" s="269">
        <v>42853</v>
      </c>
      <c r="D111" s="270">
        <v>4344</v>
      </c>
      <c r="E111" s="261">
        <v>20.8</v>
      </c>
      <c r="F111" s="29">
        <v>115</v>
      </c>
      <c r="G111" s="39">
        <f t="shared" si="2"/>
        <v>2392</v>
      </c>
      <c r="H111" s="31">
        <v>42854</v>
      </c>
      <c r="I111" s="62" t="s">
        <v>1172</v>
      </c>
      <c r="L111" s="195"/>
      <c r="M111" s="195"/>
      <c r="N111" s="195"/>
    </row>
    <row r="112" spans="1:14" x14ac:dyDescent="0.25">
      <c r="A112" s="290" t="s">
        <v>1382</v>
      </c>
      <c r="B112" s="188" t="s">
        <v>450</v>
      </c>
      <c r="C112" s="269">
        <v>42853</v>
      </c>
      <c r="D112" s="270">
        <v>4345</v>
      </c>
      <c r="E112" s="261">
        <v>1858.81</v>
      </c>
      <c r="F112" s="29">
        <v>33.5</v>
      </c>
      <c r="G112" s="39">
        <f t="shared" si="2"/>
        <v>62270.134999999995</v>
      </c>
      <c r="H112" s="31">
        <v>42854</v>
      </c>
      <c r="I112" s="62" t="s">
        <v>1172</v>
      </c>
      <c r="L112" s="195"/>
      <c r="M112" s="195"/>
      <c r="N112" s="195"/>
    </row>
    <row r="113" spans="1:14" x14ac:dyDescent="0.25">
      <c r="A113" s="290" t="s">
        <v>176</v>
      </c>
      <c r="B113" s="188" t="s">
        <v>924</v>
      </c>
      <c r="C113" s="269"/>
      <c r="D113" s="270">
        <v>4346</v>
      </c>
      <c r="G113" s="39">
        <f t="shared" si="2"/>
        <v>0</v>
      </c>
      <c r="H113" s="31"/>
      <c r="L113" s="195"/>
      <c r="M113" s="195"/>
      <c r="N113" s="195"/>
    </row>
    <row r="114" spans="1:14" x14ac:dyDescent="0.25">
      <c r="A114" s="290" t="s">
        <v>1246</v>
      </c>
      <c r="B114" s="188" t="s">
        <v>1187</v>
      </c>
      <c r="C114" s="269">
        <v>42853</v>
      </c>
      <c r="D114" s="270">
        <v>4347</v>
      </c>
      <c r="E114" s="261">
        <v>34.6</v>
      </c>
      <c r="F114" s="29">
        <v>39</v>
      </c>
      <c r="G114" s="39">
        <f t="shared" si="2"/>
        <v>1349.4</v>
      </c>
      <c r="H114" s="700">
        <v>42870</v>
      </c>
      <c r="I114" s="739" t="s">
        <v>1172</v>
      </c>
      <c r="J114" s="720" t="s">
        <v>1420</v>
      </c>
      <c r="L114" s="195"/>
      <c r="M114" s="195"/>
      <c r="N114" s="195"/>
    </row>
    <row r="115" spans="1:14" x14ac:dyDescent="0.25">
      <c r="A115" s="290" t="s">
        <v>1197</v>
      </c>
      <c r="B115" s="188" t="s">
        <v>1390</v>
      </c>
      <c r="C115" s="269">
        <v>42854</v>
      </c>
      <c r="D115" s="270">
        <v>4348</v>
      </c>
      <c r="E115" s="261">
        <v>84.9</v>
      </c>
      <c r="F115" s="29">
        <v>50</v>
      </c>
      <c r="G115" s="39">
        <f t="shared" si="2"/>
        <v>4245</v>
      </c>
      <c r="H115" s="700">
        <v>42858</v>
      </c>
      <c r="I115" s="739" t="s">
        <v>1172</v>
      </c>
      <c r="L115" s="195"/>
      <c r="M115" s="195"/>
      <c r="N115" s="195"/>
    </row>
    <row r="116" spans="1:14" x14ac:dyDescent="0.25">
      <c r="A116" s="290" t="s">
        <v>1206</v>
      </c>
      <c r="B116" s="188" t="s">
        <v>1369</v>
      </c>
      <c r="C116" s="269">
        <v>42853</v>
      </c>
      <c r="D116" s="270">
        <v>4349</v>
      </c>
      <c r="E116" s="261">
        <v>203.8</v>
      </c>
      <c r="F116" s="29">
        <v>72</v>
      </c>
      <c r="G116" s="39">
        <f t="shared" si="2"/>
        <v>14673.6</v>
      </c>
      <c r="H116" s="31">
        <v>42854</v>
      </c>
      <c r="I116" s="62" t="s">
        <v>1172</v>
      </c>
      <c r="L116" s="195"/>
      <c r="M116" s="195"/>
      <c r="N116" s="195"/>
    </row>
    <row r="117" spans="1:14" x14ac:dyDescent="0.25">
      <c r="A117" s="290" t="s">
        <v>1216</v>
      </c>
      <c r="B117" s="188" t="s">
        <v>1316</v>
      </c>
      <c r="C117" s="269">
        <v>42853</v>
      </c>
      <c r="D117" s="270">
        <v>4350</v>
      </c>
      <c r="E117" s="261">
        <v>95.6</v>
      </c>
      <c r="F117" s="29">
        <v>48</v>
      </c>
      <c r="G117" s="39">
        <f>F117*E117+141.35*27</f>
        <v>8405.25</v>
      </c>
      <c r="H117" s="700">
        <v>42859</v>
      </c>
      <c r="I117" s="739" t="s">
        <v>1172</v>
      </c>
      <c r="L117" s="195"/>
      <c r="M117" s="195"/>
      <c r="N117" s="195"/>
    </row>
    <row r="118" spans="1:14" x14ac:dyDescent="0.25">
      <c r="A118" s="290" t="s">
        <v>361</v>
      </c>
      <c r="B118" s="188" t="s">
        <v>1380</v>
      </c>
      <c r="C118" s="269">
        <v>42853</v>
      </c>
      <c r="D118" s="270">
        <v>4351</v>
      </c>
      <c r="E118" s="261">
        <v>2677.1</v>
      </c>
      <c r="F118" s="29">
        <v>35</v>
      </c>
      <c r="G118" s="39">
        <f t="shared" si="2"/>
        <v>93698.5</v>
      </c>
      <c r="H118" s="31">
        <v>42854</v>
      </c>
      <c r="I118" s="62" t="s">
        <v>1172</v>
      </c>
      <c r="L118" s="195"/>
      <c r="M118" s="195"/>
      <c r="N118" s="195"/>
    </row>
    <row r="119" spans="1:14" x14ac:dyDescent="0.25">
      <c r="A119" s="290" t="s">
        <v>1216</v>
      </c>
      <c r="B119" s="188" t="s">
        <v>1258</v>
      </c>
      <c r="C119" s="269">
        <v>42854</v>
      </c>
      <c r="D119" s="270">
        <v>4352</v>
      </c>
      <c r="E119" s="261">
        <v>1000</v>
      </c>
      <c r="F119" s="29">
        <v>17</v>
      </c>
      <c r="G119" s="39">
        <f t="shared" si="2"/>
        <v>17000</v>
      </c>
      <c r="H119" s="700">
        <v>42859</v>
      </c>
      <c r="I119" s="739" t="s">
        <v>1172</v>
      </c>
      <c r="L119" s="195"/>
      <c r="M119" s="195"/>
      <c r="N119" s="195"/>
    </row>
    <row r="120" spans="1:14" x14ac:dyDescent="0.25">
      <c r="A120" s="290" t="s">
        <v>1385</v>
      </c>
      <c r="B120" s="188" t="s">
        <v>924</v>
      </c>
      <c r="C120" s="269">
        <v>42854</v>
      </c>
      <c r="D120" s="270">
        <v>4353</v>
      </c>
      <c r="E120" s="261">
        <v>16</v>
      </c>
      <c r="F120" s="29">
        <v>47</v>
      </c>
      <c r="G120" s="39">
        <f t="shared" si="2"/>
        <v>752</v>
      </c>
      <c r="H120" s="700">
        <v>42856</v>
      </c>
      <c r="I120" s="739" t="s">
        <v>1172</v>
      </c>
      <c r="L120" s="195"/>
      <c r="M120" s="195"/>
      <c r="N120" s="195"/>
    </row>
    <row r="121" spans="1:14" x14ac:dyDescent="0.25">
      <c r="A121" s="290" t="s">
        <v>1197</v>
      </c>
      <c r="B121" s="188" t="s">
        <v>1390</v>
      </c>
      <c r="C121" s="269">
        <v>42855</v>
      </c>
      <c r="D121" s="270">
        <v>4354</v>
      </c>
      <c r="E121" s="261">
        <v>69.38</v>
      </c>
      <c r="F121" s="29">
        <v>50</v>
      </c>
      <c r="G121" s="39">
        <f t="shared" si="2"/>
        <v>3469</v>
      </c>
      <c r="H121" s="700">
        <v>42858</v>
      </c>
      <c r="I121" s="739" t="s">
        <v>1172</v>
      </c>
      <c r="L121" s="195"/>
      <c r="M121" s="195"/>
      <c r="N121" s="195"/>
    </row>
    <row r="122" spans="1:14" x14ac:dyDescent="0.25">
      <c r="A122" s="290" t="s">
        <v>1211</v>
      </c>
      <c r="B122" s="188" t="s">
        <v>1291</v>
      </c>
      <c r="C122" s="269">
        <v>42855</v>
      </c>
      <c r="D122" s="270">
        <v>4355</v>
      </c>
      <c r="E122" s="261">
        <v>120.62</v>
      </c>
      <c r="F122" s="29">
        <v>71</v>
      </c>
      <c r="G122" s="39">
        <f t="shared" si="2"/>
        <v>8564.02</v>
      </c>
      <c r="H122" s="31">
        <v>42855</v>
      </c>
      <c r="I122" s="62" t="s">
        <v>1172</v>
      </c>
      <c r="L122" s="195"/>
      <c r="M122" s="195"/>
      <c r="N122" s="195"/>
    </row>
    <row r="123" spans="1:14" x14ac:dyDescent="0.25">
      <c r="A123" s="290" t="s">
        <v>1216</v>
      </c>
      <c r="B123" s="188" t="s">
        <v>1316</v>
      </c>
      <c r="C123" s="269">
        <v>42855</v>
      </c>
      <c r="D123" s="270">
        <v>4356</v>
      </c>
      <c r="E123" s="261">
        <v>353</v>
      </c>
      <c r="F123" s="29">
        <v>48</v>
      </c>
      <c r="G123" s="39">
        <f>F123*E123+19.7*27</f>
        <v>17475.900000000001</v>
      </c>
      <c r="H123" s="700">
        <v>42859</v>
      </c>
      <c r="I123" s="739" t="s">
        <v>1172</v>
      </c>
      <c r="L123" s="195"/>
      <c r="M123" s="195"/>
      <c r="N123" s="195"/>
    </row>
    <row r="124" spans="1:14" x14ac:dyDescent="0.25">
      <c r="A124" s="290"/>
      <c r="B124" s="188"/>
      <c r="C124" s="269"/>
      <c r="D124" s="270"/>
      <c r="G124" s="39">
        <f t="shared" si="2"/>
        <v>0</v>
      </c>
      <c r="H124" s="31"/>
      <c r="L124" s="195"/>
      <c r="M124" s="195"/>
      <c r="N124" s="195"/>
    </row>
    <row r="125" spans="1:14" x14ac:dyDescent="0.25">
      <c r="A125" s="290"/>
      <c r="B125" s="188"/>
      <c r="C125" s="269"/>
      <c r="D125" s="270"/>
      <c r="G125" s="39">
        <f t="shared" si="2"/>
        <v>0</v>
      </c>
      <c r="H125" s="31"/>
      <c r="L125" s="195"/>
      <c r="M125" s="195"/>
      <c r="N125" s="195"/>
    </row>
    <row r="126" spans="1:14" x14ac:dyDescent="0.25">
      <c r="A126" s="290"/>
      <c r="B126" s="188"/>
      <c r="C126" s="269"/>
      <c r="D126" s="270"/>
      <c r="G126" s="39">
        <f t="shared" si="2"/>
        <v>0</v>
      </c>
      <c r="H126" s="31"/>
      <c r="L126" s="195"/>
      <c r="M126" s="195"/>
      <c r="N126" s="195"/>
    </row>
    <row r="127" spans="1:14" x14ac:dyDescent="0.25">
      <c r="A127" s="288"/>
      <c r="B127" s="188"/>
      <c r="C127" s="289"/>
      <c r="D127" s="270"/>
      <c r="G127" s="39">
        <f t="shared" si="2"/>
        <v>0</v>
      </c>
      <c r="H127" s="31"/>
      <c r="L127" s="195"/>
      <c r="M127" s="195"/>
      <c r="N127" s="195"/>
    </row>
    <row r="128" spans="1:14" x14ac:dyDescent="0.25">
      <c r="A128" s="290"/>
      <c r="B128" s="188"/>
      <c r="C128" s="269"/>
      <c r="D128" s="270"/>
      <c r="G128" s="39">
        <f t="shared" si="2"/>
        <v>0</v>
      </c>
      <c r="H128" s="31"/>
      <c r="L128" s="195"/>
      <c r="M128" s="195"/>
      <c r="N128" s="195"/>
    </row>
    <row r="129" spans="1:14" x14ac:dyDescent="0.25">
      <c r="A129" s="290"/>
      <c r="B129" s="188"/>
      <c r="C129" s="269"/>
      <c r="D129" s="270"/>
      <c r="G129" s="39">
        <f t="shared" si="2"/>
        <v>0</v>
      </c>
      <c r="H129" s="31"/>
      <c r="L129" s="195"/>
      <c r="M129" s="195"/>
      <c r="N129" s="195"/>
    </row>
    <row r="130" spans="1:14" x14ac:dyDescent="0.25">
      <c r="A130" s="290"/>
      <c r="B130" s="188"/>
      <c r="C130" s="269"/>
      <c r="D130" s="270"/>
      <c r="G130" s="39">
        <f t="shared" si="2"/>
        <v>0</v>
      </c>
      <c r="H130" s="31"/>
      <c r="L130" s="195"/>
      <c r="M130" s="195"/>
      <c r="N130" s="195"/>
    </row>
    <row r="131" spans="1:14" x14ac:dyDescent="0.25">
      <c r="A131" s="288"/>
      <c r="B131" s="188"/>
      <c r="C131" s="289"/>
      <c r="D131" s="270"/>
      <c r="G131" s="39">
        <f t="shared" si="2"/>
        <v>0</v>
      </c>
      <c r="H131" s="31"/>
      <c r="L131" s="195"/>
      <c r="M131" s="195"/>
      <c r="N131" s="195"/>
    </row>
    <row r="132" spans="1:14" x14ac:dyDescent="0.25">
      <c r="A132" s="290"/>
      <c r="B132" s="188"/>
      <c r="C132" s="269"/>
      <c r="D132" s="270"/>
      <c r="G132" s="39">
        <f t="shared" si="2"/>
        <v>0</v>
      </c>
      <c r="H132" s="31"/>
      <c r="L132" s="195"/>
      <c r="M132" s="195"/>
      <c r="N132" s="195"/>
    </row>
    <row r="133" spans="1:14" x14ac:dyDescent="0.25">
      <c r="A133" s="290"/>
      <c r="B133" s="188"/>
      <c r="C133" s="269"/>
      <c r="D133" s="270"/>
      <c r="G133" s="39">
        <f t="shared" si="2"/>
        <v>0</v>
      </c>
      <c r="H133" s="31"/>
      <c r="L133" s="195"/>
      <c r="M133" s="195"/>
      <c r="N133" s="195"/>
    </row>
    <row r="134" spans="1:14" x14ac:dyDescent="0.25">
      <c r="A134" s="290"/>
      <c r="B134" s="188"/>
      <c r="C134" s="269"/>
      <c r="D134" s="270"/>
      <c r="G134" s="39">
        <f t="shared" si="2"/>
        <v>0</v>
      </c>
      <c r="H134" s="31"/>
      <c r="L134" s="195"/>
      <c r="M134" s="195"/>
      <c r="N134" s="195"/>
    </row>
    <row r="135" spans="1:14" x14ac:dyDescent="0.25">
      <c r="A135" s="290"/>
      <c r="B135" s="188"/>
      <c r="C135" s="269"/>
      <c r="D135" s="270"/>
      <c r="G135" s="39">
        <f t="shared" si="2"/>
        <v>0</v>
      </c>
      <c r="H135" s="31"/>
      <c r="L135" s="195"/>
      <c r="M135" s="195"/>
      <c r="N135" s="195"/>
    </row>
    <row r="136" spans="1:14" x14ac:dyDescent="0.25">
      <c r="A136" s="290"/>
      <c r="B136" s="188"/>
      <c r="C136" s="269"/>
      <c r="D136" s="270"/>
      <c r="G136" s="39">
        <f t="shared" si="2"/>
        <v>0</v>
      </c>
      <c r="H136" s="31"/>
      <c r="L136" s="195"/>
      <c r="M136" s="195"/>
      <c r="N136" s="195"/>
    </row>
    <row r="137" spans="1:14" x14ac:dyDescent="0.25">
      <c r="A137" s="290"/>
      <c r="B137" s="188"/>
      <c r="C137" s="269"/>
      <c r="D137" s="270"/>
      <c r="G137" s="39">
        <f t="shared" si="2"/>
        <v>0</v>
      </c>
      <c r="H137" s="31"/>
      <c r="L137" s="195"/>
      <c r="M137" s="195"/>
      <c r="N137" s="195"/>
    </row>
    <row r="138" spans="1:14" x14ac:dyDescent="0.25">
      <c r="A138" s="290"/>
      <c r="B138" s="188"/>
      <c r="C138" s="269"/>
      <c r="D138" s="270"/>
      <c r="G138" s="39">
        <f t="shared" si="2"/>
        <v>0</v>
      </c>
      <c r="H138" s="31"/>
      <c r="L138" s="195"/>
      <c r="M138" s="195"/>
      <c r="N138" s="195"/>
    </row>
    <row r="139" spans="1:14" x14ac:dyDescent="0.25">
      <c r="A139" s="290"/>
      <c r="B139" s="188"/>
      <c r="C139" s="269"/>
      <c r="D139" s="270"/>
      <c r="G139" s="39">
        <f t="shared" si="2"/>
        <v>0</v>
      </c>
      <c r="H139" s="31"/>
      <c r="J139" s="721"/>
      <c r="L139" s="195"/>
      <c r="M139" s="195"/>
      <c r="N139" s="195"/>
    </row>
    <row r="140" spans="1:14" x14ac:dyDescent="0.25">
      <c r="A140" s="288"/>
      <c r="B140" s="188"/>
      <c r="C140" s="289"/>
      <c r="D140" s="270"/>
      <c r="G140" s="39">
        <f t="shared" si="2"/>
        <v>0</v>
      </c>
      <c r="H140" s="31"/>
      <c r="L140" s="195"/>
      <c r="M140" s="195"/>
      <c r="N140" s="195"/>
    </row>
    <row r="141" spans="1:14" x14ac:dyDescent="0.25">
      <c r="A141" s="290"/>
      <c r="B141" s="188"/>
      <c r="C141" s="269"/>
      <c r="D141" s="270"/>
      <c r="G141" s="39">
        <f t="shared" si="2"/>
        <v>0</v>
      </c>
      <c r="H141" s="31"/>
      <c r="L141" s="195"/>
      <c r="M141" s="195"/>
      <c r="N141" s="195"/>
    </row>
    <row r="142" spans="1:14" x14ac:dyDescent="0.25">
      <c r="A142" s="290"/>
      <c r="B142" s="188"/>
      <c r="C142" s="269"/>
      <c r="D142" s="270"/>
      <c r="G142" s="39">
        <f t="shared" si="2"/>
        <v>0</v>
      </c>
      <c r="H142" s="31"/>
      <c r="L142" s="195"/>
      <c r="M142" s="195"/>
      <c r="N142" s="195"/>
    </row>
    <row r="143" spans="1:14" x14ac:dyDescent="0.25">
      <c r="A143" s="290"/>
      <c r="B143" s="188"/>
      <c r="C143" s="269"/>
      <c r="D143" s="270"/>
      <c r="G143" s="39">
        <f t="shared" si="2"/>
        <v>0</v>
      </c>
      <c r="H143" s="31"/>
      <c r="L143" s="195"/>
      <c r="M143" s="195"/>
      <c r="N143" s="195"/>
    </row>
    <row r="144" spans="1:14" x14ac:dyDescent="0.25">
      <c r="A144" s="288"/>
      <c r="B144" s="189"/>
      <c r="C144" s="289"/>
      <c r="D144" s="270"/>
      <c r="G144" s="39">
        <f t="shared" si="2"/>
        <v>0</v>
      </c>
      <c r="H144" s="31"/>
      <c r="J144" s="721"/>
      <c r="L144" s="195"/>
      <c r="M144" s="195"/>
      <c r="N144" s="195"/>
    </row>
    <row r="145" spans="1:14" x14ac:dyDescent="0.25">
      <c r="A145" s="291"/>
      <c r="B145" s="188"/>
      <c r="C145" s="292"/>
      <c r="D145" s="270"/>
      <c r="G145" s="39">
        <f t="shared" si="2"/>
        <v>0</v>
      </c>
      <c r="H145" s="31"/>
      <c r="L145" s="195"/>
      <c r="M145" s="195"/>
      <c r="N145" s="195"/>
    </row>
    <row r="146" spans="1:14" x14ac:dyDescent="0.25">
      <c r="A146" s="288"/>
      <c r="B146" s="188"/>
      <c r="C146" s="289"/>
      <c r="D146" s="270"/>
      <c r="G146" s="39">
        <f t="shared" si="2"/>
        <v>0</v>
      </c>
      <c r="H146" s="31"/>
      <c r="L146" s="195"/>
      <c r="M146" s="195"/>
      <c r="N146" s="195"/>
    </row>
    <row r="147" spans="1:14" x14ac:dyDescent="0.25">
      <c r="A147" s="288"/>
      <c r="B147" s="188"/>
      <c r="C147" s="289"/>
      <c r="D147" s="270"/>
      <c r="G147" s="39">
        <f t="shared" si="2"/>
        <v>0</v>
      </c>
      <c r="H147" s="31"/>
      <c r="J147" s="721"/>
      <c r="L147" s="195"/>
      <c r="M147" s="195"/>
      <c r="N147" s="195"/>
    </row>
    <row r="148" spans="1:14" x14ac:dyDescent="0.25">
      <c r="A148" s="288"/>
      <c r="B148" s="188"/>
      <c r="C148" s="289"/>
      <c r="D148" s="270"/>
      <c r="G148" s="39">
        <f t="shared" si="2"/>
        <v>0</v>
      </c>
      <c r="H148" s="31"/>
      <c r="J148" s="721"/>
      <c r="L148" s="195"/>
      <c r="M148" s="195"/>
      <c r="N148" s="195"/>
    </row>
    <row r="149" spans="1:14" x14ac:dyDescent="0.25">
      <c r="A149" s="290"/>
      <c r="B149" s="188"/>
      <c r="C149" s="269"/>
      <c r="D149" s="270"/>
      <c r="G149" s="39">
        <f t="shared" si="2"/>
        <v>0</v>
      </c>
      <c r="H149" s="31"/>
      <c r="J149" s="721"/>
      <c r="L149" s="195"/>
      <c r="M149" s="195"/>
      <c r="N149" s="195"/>
    </row>
    <row r="150" spans="1:14" x14ac:dyDescent="0.25">
      <c r="A150" s="288"/>
      <c r="B150" s="188"/>
      <c r="C150" s="289"/>
      <c r="D150" s="270"/>
      <c r="G150" s="39">
        <f t="shared" si="2"/>
        <v>0</v>
      </c>
      <c r="H150" s="31"/>
      <c r="L150" s="195"/>
      <c r="M150" s="195"/>
      <c r="N150" s="195"/>
    </row>
    <row r="151" spans="1:14" x14ac:dyDescent="0.25">
      <c r="A151" s="290"/>
      <c r="B151" s="188"/>
      <c r="C151" s="269"/>
      <c r="D151" s="270"/>
      <c r="G151" s="39">
        <f t="shared" si="2"/>
        <v>0</v>
      </c>
      <c r="H151" s="31"/>
      <c r="L151" s="195"/>
      <c r="M151" s="195"/>
      <c r="N151" s="195"/>
    </row>
    <row r="152" spans="1:14" x14ac:dyDescent="0.25">
      <c r="A152" s="288"/>
      <c r="B152" s="188"/>
      <c r="C152" s="289"/>
      <c r="D152" s="270"/>
      <c r="G152" s="39">
        <f t="shared" si="2"/>
        <v>0</v>
      </c>
      <c r="H152" s="31"/>
      <c r="L152" s="195"/>
      <c r="M152" s="195"/>
      <c r="N152" s="195"/>
    </row>
    <row r="153" spans="1:14" x14ac:dyDescent="0.25">
      <c r="A153" s="288"/>
      <c r="B153" s="188"/>
      <c r="C153" s="289"/>
      <c r="D153" s="270"/>
      <c r="G153" s="39">
        <f t="shared" si="2"/>
        <v>0</v>
      </c>
      <c r="H153" s="31"/>
      <c r="L153" s="195"/>
      <c r="M153" s="195"/>
      <c r="N153" s="195"/>
    </row>
    <row r="154" spans="1:14" x14ac:dyDescent="0.25">
      <c r="A154" s="290"/>
      <c r="B154" s="188"/>
      <c r="C154" s="269"/>
      <c r="D154" s="270"/>
      <c r="G154" s="39">
        <f t="shared" si="2"/>
        <v>0</v>
      </c>
      <c r="H154" s="31"/>
      <c r="L154" s="195"/>
      <c r="M154" s="195"/>
      <c r="N154" s="195"/>
    </row>
    <row r="155" spans="1:14" x14ac:dyDescent="0.25">
      <c r="A155" s="306"/>
      <c r="B155" s="188"/>
      <c r="C155" s="307"/>
      <c r="D155" s="270"/>
      <c r="G155" s="39">
        <f t="shared" si="2"/>
        <v>0</v>
      </c>
      <c r="H155" s="31"/>
      <c r="L155" s="195"/>
      <c r="M155" s="195"/>
      <c r="N155" s="195"/>
    </row>
    <row r="156" spans="1:14" x14ac:dyDescent="0.25">
      <c r="A156" s="306"/>
      <c r="B156" s="188"/>
      <c r="C156" s="307"/>
      <c r="D156" s="270"/>
      <c r="G156" s="39">
        <f t="shared" si="2"/>
        <v>0</v>
      </c>
      <c r="H156" s="31"/>
      <c r="L156" s="195"/>
      <c r="M156" s="195"/>
      <c r="N156" s="195"/>
    </row>
    <row r="157" spans="1:14" x14ac:dyDescent="0.25">
      <c r="A157" s="290"/>
      <c r="B157" s="188"/>
      <c r="C157" s="269"/>
      <c r="D157" s="270"/>
      <c r="G157" s="39">
        <f t="shared" si="2"/>
        <v>0</v>
      </c>
      <c r="H157" s="31"/>
      <c r="L157" s="195"/>
      <c r="M157" s="195"/>
      <c r="N157" s="195"/>
    </row>
    <row r="158" spans="1:14" x14ac:dyDescent="0.25">
      <c r="A158" s="290"/>
      <c r="B158" s="188"/>
      <c r="C158" s="269"/>
      <c r="D158" s="270"/>
      <c r="G158" s="39">
        <f t="shared" si="2"/>
        <v>0</v>
      </c>
      <c r="H158" s="31"/>
      <c r="L158" s="195"/>
      <c r="M158" s="195"/>
      <c r="N158" s="195"/>
    </row>
    <row r="159" spans="1:14" x14ac:dyDescent="0.25">
      <c r="A159" s="290"/>
      <c r="B159" s="188"/>
      <c r="C159" s="269"/>
      <c r="D159" s="270"/>
      <c r="G159" s="39">
        <f t="shared" si="2"/>
        <v>0</v>
      </c>
      <c r="H159" s="31"/>
      <c r="L159" s="195"/>
      <c r="M159" s="195"/>
      <c r="N159" s="195"/>
    </row>
    <row r="160" spans="1:14" x14ac:dyDescent="0.25">
      <c r="A160" s="290"/>
      <c r="B160" s="188"/>
      <c r="C160" s="269"/>
      <c r="D160" s="270"/>
      <c r="G160" s="39">
        <f t="shared" si="2"/>
        <v>0</v>
      </c>
      <c r="H160" s="31"/>
      <c r="L160" s="195"/>
      <c r="M160" s="195"/>
      <c r="N160" s="195"/>
    </row>
    <row r="161" spans="1:14" x14ac:dyDescent="0.25">
      <c r="A161" s="290"/>
      <c r="B161" s="188"/>
      <c r="C161" s="269"/>
      <c r="D161" s="270"/>
      <c r="G161" s="39">
        <f t="shared" si="2"/>
        <v>0</v>
      </c>
      <c r="H161" s="31"/>
      <c r="L161" s="195"/>
      <c r="M161" s="195"/>
      <c r="N161" s="195"/>
    </row>
    <row r="162" spans="1:14" x14ac:dyDescent="0.25">
      <c r="A162" s="290"/>
      <c r="B162" s="188"/>
      <c r="C162" s="269"/>
      <c r="D162" s="270"/>
      <c r="G162" s="39">
        <f t="shared" si="2"/>
        <v>0</v>
      </c>
      <c r="H162" s="31"/>
      <c r="L162" s="195"/>
      <c r="M162" s="195"/>
      <c r="N162" s="195"/>
    </row>
    <row r="163" spans="1:14" x14ac:dyDescent="0.25">
      <c r="A163" s="290"/>
      <c r="B163" s="188"/>
      <c r="C163" s="269"/>
      <c r="D163" s="270"/>
      <c r="G163" s="39">
        <f t="shared" si="2"/>
        <v>0</v>
      </c>
      <c r="H163" s="31"/>
      <c r="L163" s="195"/>
      <c r="M163" s="195"/>
      <c r="N163" s="195"/>
    </row>
    <row r="164" spans="1:14" x14ac:dyDescent="0.25">
      <c r="A164" s="290"/>
      <c r="B164" s="188"/>
      <c r="C164" s="269"/>
      <c r="D164" s="270"/>
      <c r="G164" s="39">
        <f t="shared" si="2"/>
        <v>0</v>
      </c>
      <c r="H164" s="31"/>
      <c r="L164" s="195"/>
      <c r="M164" s="195"/>
      <c r="N164" s="195"/>
    </row>
    <row r="165" spans="1:14" x14ac:dyDescent="0.25">
      <c r="A165" s="290"/>
      <c r="B165" s="188"/>
      <c r="C165" s="269"/>
      <c r="D165" s="270"/>
      <c r="G165" s="39">
        <f t="shared" si="2"/>
        <v>0</v>
      </c>
      <c r="H165" s="31"/>
      <c r="L165" s="195"/>
      <c r="M165" s="195"/>
      <c r="N165" s="195"/>
    </row>
    <row r="166" spans="1:14" x14ac:dyDescent="0.25">
      <c r="A166" s="290"/>
      <c r="B166" s="188"/>
      <c r="C166" s="269"/>
      <c r="D166" s="270"/>
      <c r="G166" s="39">
        <f t="shared" si="2"/>
        <v>0</v>
      </c>
      <c r="H166" s="31"/>
      <c r="L166" s="195"/>
      <c r="M166" s="195"/>
      <c r="N166" s="195"/>
    </row>
    <row r="167" spans="1:14" x14ac:dyDescent="0.25">
      <c r="A167" s="290"/>
      <c r="B167" s="188"/>
      <c r="C167" s="269"/>
      <c r="D167" s="270"/>
      <c r="G167" s="39">
        <f t="shared" si="2"/>
        <v>0</v>
      </c>
      <c r="H167" s="31"/>
      <c r="L167" s="195"/>
      <c r="M167" s="195"/>
      <c r="N167" s="195"/>
    </row>
    <row r="168" spans="1:14" x14ac:dyDescent="0.25">
      <c r="A168" s="290"/>
      <c r="B168" s="188"/>
      <c r="C168" s="269"/>
      <c r="D168" s="270"/>
      <c r="G168" s="39">
        <f t="shared" si="2"/>
        <v>0</v>
      </c>
      <c r="H168" s="31"/>
      <c r="L168" s="195"/>
      <c r="M168" s="195"/>
      <c r="N168" s="195"/>
    </row>
    <row r="169" spans="1:14" x14ac:dyDescent="0.25">
      <c r="A169" s="290"/>
      <c r="B169" s="188"/>
      <c r="C169" s="269"/>
      <c r="D169" s="270"/>
      <c r="G169" s="39">
        <f t="shared" si="2"/>
        <v>0</v>
      </c>
      <c r="H169" s="31"/>
      <c r="L169" s="195"/>
      <c r="M169" s="195"/>
      <c r="N169" s="195"/>
    </row>
    <row r="170" spans="1:14" x14ac:dyDescent="0.25">
      <c r="A170" s="290"/>
      <c r="B170" s="188"/>
      <c r="C170" s="269"/>
      <c r="D170" s="270"/>
      <c r="G170" s="39">
        <f t="shared" si="2"/>
        <v>0</v>
      </c>
      <c r="H170" s="31"/>
      <c r="L170" s="195"/>
      <c r="M170" s="195"/>
      <c r="N170" s="195"/>
    </row>
    <row r="171" spans="1:14" x14ac:dyDescent="0.25">
      <c r="A171" s="290"/>
      <c r="B171" s="188"/>
      <c r="C171" s="269"/>
      <c r="D171" s="270"/>
      <c r="G171" s="39">
        <f t="shared" si="2"/>
        <v>0</v>
      </c>
      <c r="H171" s="31"/>
      <c r="L171" s="195"/>
      <c r="M171" s="195"/>
      <c r="N171" s="195"/>
    </row>
    <row r="172" spans="1:14" x14ac:dyDescent="0.25">
      <c r="A172" s="290"/>
      <c r="B172" s="188"/>
      <c r="C172" s="269"/>
      <c r="D172" s="270"/>
      <c r="G172" s="39">
        <f t="shared" si="2"/>
        <v>0</v>
      </c>
      <c r="H172" s="31"/>
      <c r="J172" s="721"/>
      <c r="L172" s="195"/>
      <c r="M172" s="195"/>
      <c r="N172" s="195"/>
    </row>
    <row r="173" spans="1:14" x14ac:dyDescent="0.25">
      <c r="A173" s="290"/>
      <c r="B173" s="188"/>
      <c r="C173" s="269"/>
      <c r="D173" s="270"/>
      <c r="G173" s="39">
        <f t="shared" si="2"/>
        <v>0</v>
      </c>
      <c r="H173" s="31"/>
      <c r="J173" s="721"/>
      <c r="L173" s="195"/>
      <c r="M173" s="195"/>
      <c r="N173" s="195"/>
    </row>
    <row r="174" spans="1:14" x14ac:dyDescent="0.25">
      <c r="A174" s="290"/>
      <c r="B174" s="188"/>
      <c r="C174" s="269"/>
      <c r="D174" s="270"/>
      <c r="G174" s="39">
        <f t="shared" si="2"/>
        <v>0</v>
      </c>
      <c r="H174" s="31"/>
      <c r="J174" s="721"/>
      <c r="L174" s="195"/>
      <c r="M174" s="195"/>
      <c r="N174" s="195"/>
    </row>
    <row r="175" spans="1:14" x14ac:dyDescent="0.25">
      <c r="A175" s="290"/>
      <c r="B175" s="188"/>
      <c r="C175" s="269"/>
      <c r="D175" s="270"/>
      <c r="G175" s="39">
        <f t="shared" si="2"/>
        <v>0</v>
      </c>
      <c r="H175" s="31"/>
      <c r="J175" s="721"/>
      <c r="L175" s="195"/>
      <c r="M175" s="195"/>
      <c r="N175" s="195"/>
    </row>
    <row r="176" spans="1:14" x14ac:dyDescent="0.25">
      <c r="A176" s="290"/>
      <c r="B176" s="188"/>
      <c r="C176" s="269"/>
      <c r="D176" s="270"/>
      <c r="G176" s="39">
        <f t="shared" si="2"/>
        <v>0</v>
      </c>
      <c r="H176" s="31"/>
      <c r="L176" s="195"/>
      <c r="M176" s="195"/>
      <c r="N176" s="195"/>
    </row>
    <row r="177" spans="1:14" x14ac:dyDescent="0.25">
      <c r="A177" s="290"/>
      <c r="B177" s="188"/>
      <c r="C177" s="269"/>
      <c r="D177" s="270"/>
      <c r="G177" s="39">
        <f t="shared" si="2"/>
        <v>0</v>
      </c>
      <c r="H177" s="31"/>
      <c r="L177" s="195"/>
      <c r="M177" s="195"/>
      <c r="N177" s="195"/>
    </row>
    <row r="178" spans="1:14" x14ac:dyDescent="0.25">
      <c r="A178" s="290"/>
      <c r="B178" s="188"/>
      <c r="C178" s="269"/>
      <c r="D178" s="270"/>
      <c r="G178" s="39">
        <f t="shared" si="2"/>
        <v>0</v>
      </c>
      <c r="H178" s="31"/>
      <c r="L178" s="195"/>
      <c r="M178" s="195"/>
      <c r="N178" s="195"/>
    </row>
    <row r="179" spans="1:14" x14ac:dyDescent="0.25">
      <c r="A179" s="290"/>
      <c r="B179" s="188"/>
      <c r="C179" s="269"/>
      <c r="D179" s="270"/>
      <c r="G179" s="39">
        <f t="shared" si="2"/>
        <v>0</v>
      </c>
      <c r="H179" s="31"/>
      <c r="L179" s="195"/>
      <c r="M179" s="195"/>
      <c r="N179" s="195"/>
    </row>
    <row r="180" spans="1:14" x14ac:dyDescent="0.25">
      <c r="A180" s="290"/>
      <c r="B180" s="188"/>
      <c r="C180" s="269"/>
      <c r="D180" s="270"/>
      <c r="G180" s="39">
        <f t="shared" si="2"/>
        <v>0</v>
      </c>
      <c r="H180" s="31"/>
      <c r="L180" s="195"/>
      <c r="M180" s="195"/>
      <c r="N180" s="195"/>
    </row>
    <row r="181" spans="1:14" x14ac:dyDescent="0.25">
      <c r="A181" s="290"/>
      <c r="B181" s="188"/>
      <c r="C181" s="31"/>
      <c r="D181" s="270"/>
      <c r="G181" s="39">
        <f t="shared" si="2"/>
        <v>0</v>
      </c>
      <c r="H181" s="31"/>
      <c r="L181" s="195"/>
      <c r="M181" s="195"/>
      <c r="N181" s="195"/>
    </row>
    <row r="182" spans="1:14" x14ac:dyDescent="0.25">
      <c r="A182" s="288"/>
      <c r="B182" s="188"/>
      <c r="C182" s="31"/>
      <c r="D182" s="270"/>
      <c r="G182" s="39">
        <f t="shared" si="2"/>
        <v>0</v>
      </c>
      <c r="H182" s="31"/>
      <c r="L182" s="195"/>
      <c r="M182" s="195"/>
      <c r="N182" s="195"/>
    </row>
    <row r="183" spans="1:14" x14ac:dyDescent="0.25">
      <c r="A183" s="290"/>
      <c r="B183" s="188"/>
      <c r="C183" s="31"/>
      <c r="D183" s="270"/>
      <c r="G183" s="39">
        <f t="shared" si="2"/>
        <v>0</v>
      </c>
      <c r="H183" s="31"/>
      <c r="L183" s="195"/>
      <c r="M183" s="195"/>
      <c r="N183" s="195"/>
    </row>
    <row r="184" spans="1:14" x14ac:dyDescent="0.25">
      <c r="A184" s="290"/>
      <c r="B184" s="188"/>
      <c r="C184" s="31"/>
      <c r="D184" s="270"/>
      <c r="G184" s="39">
        <f t="shared" si="2"/>
        <v>0</v>
      </c>
      <c r="H184" s="31"/>
      <c r="L184" s="195"/>
      <c r="M184" s="195"/>
      <c r="N184" s="195"/>
    </row>
    <row r="185" spans="1:14" x14ac:dyDescent="0.25">
      <c r="A185" s="290"/>
      <c r="B185" s="188"/>
      <c r="C185" s="31"/>
      <c r="D185" s="270"/>
      <c r="G185" s="39">
        <f t="shared" si="2"/>
        <v>0</v>
      </c>
      <c r="H185" s="31"/>
      <c r="L185" s="195"/>
      <c r="M185" s="195"/>
      <c r="N185" s="195"/>
    </row>
    <row r="186" spans="1:14" x14ac:dyDescent="0.25">
      <c r="A186" s="290"/>
      <c r="B186" s="188"/>
      <c r="C186" s="31"/>
      <c r="D186" s="270"/>
      <c r="G186" s="39">
        <f t="shared" si="2"/>
        <v>0</v>
      </c>
      <c r="H186" s="31"/>
      <c r="L186" s="195"/>
      <c r="M186" s="195"/>
      <c r="N186" s="195"/>
    </row>
    <row r="187" spans="1:14" x14ac:dyDescent="0.25">
      <c r="A187" s="290"/>
      <c r="B187" s="188"/>
      <c r="C187" s="31"/>
      <c r="D187" s="270"/>
      <c r="G187" s="39">
        <f t="shared" si="2"/>
        <v>0</v>
      </c>
      <c r="H187" s="31"/>
      <c r="L187" s="195"/>
      <c r="M187" s="195"/>
      <c r="N187" s="195"/>
    </row>
    <row r="188" spans="1:14" x14ac:dyDescent="0.25">
      <c r="A188" s="290"/>
      <c r="B188" s="188"/>
      <c r="C188" s="31"/>
      <c r="D188" s="270"/>
      <c r="G188" s="39">
        <f t="shared" si="2"/>
        <v>0</v>
      </c>
      <c r="H188" s="31"/>
      <c r="L188" s="195"/>
      <c r="M188" s="195"/>
      <c r="N188" s="195"/>
    </row>
    <row r="189" spans="1:14" x14ac:dyDescent="0.25">
      <c r="A189" s="290"/>
      <c r="B189" s="188"/>
      <c r="C189" s="31"/>
      <c r="D189" s="270"/>
      <c r="G189" s="39">
        <f t="shared" si="2"/>
        <v>0</v>
      </c>
      <c r="H189" s="31"/>
      <c r="L189" s="195"/>
      <c r="M189" s="195"/>
      <c r="N189" s="195"/>
    </row>
    <row r="190" spans="1:14" x14ac:dyDescent="0.25">
      <c r="A190" s="290"/>
      <c r="B190" s="188"/>
      <c r="C190" s="31"/>
      <c r="D190" s="270"/>
      <c r="G190" s="39">
        <f t="shared" si="2"/>
        <v>0</v>
      </c>
      <c r="H190" s="31"/>
      <c r="L190" s="195"/>
      <c r="M190" s="195"/>
      <c r="N190" s="195"/>
    </row>
    <row r="191" spans="1:14" x14ac:dyDescent="0.25">
      <c r="A191" s="290"/>
      <c r="B191" s="188"/>
      <c r="C191" s="31"/>
      <c r="D191" s="270"/>
      <c r="G191" s="39">
        <f t="shared" si="2"/>
        <v>0</v>
      </c>
      <c r="H191" s="31"/>
      <c r="L191" s="195"/>
      <c r="M191" s="195"/>
      <c r="N191" s="195"/>
    </row>
    <row r="192" spans="1:14" x14ac:dyDescent="0.25">
      <c r="A192" s="288"/>
      <c r="B192" s="188"/>
      <c r="C192" s="31"/>
      <c r="D192" s="270"/>
      <c r="G192" s="39">
        <f t="shared" si="2"/>
        <v>0</v>
      </c>
      <c r="H192" s="31"/>
      <c r="L192" s="195"/>
      <c r="M192" s="195"/>
      <c r="N192" s="195"/>
    </row>
    <row r="193" spans="1:14" x14ac:dyDescent="0.25">
      <c r="A193" s="290"/>
      <c r="B193" s="188"/>
      <c r="C193" s="31"/>
      <c r="D193" s="270"/>
      <c r="G193" s="39">
        <f t="shared" ref="G193:G221" si="3">F193*E193</f>
        <v>0</v>
      </c>
      <c r="H193" s="31"/>
      <c r="L193" s="195"/>
      <c r="M193" s="195"/>
      <c r="N193" s="195"/>
    </row>
    <row r="194" spans="1:14" x14ac:dyDescent="0.25">
      <c r="A194" s="290"/>
      <c r="B194" s="188"/>
      <c r="C194" s="31"/>
      <c r="D194" s="270"/>
      <c r="G194" s="39">
        <f t="shared" si="3"/>
        <v>0</v>
      </c>
      <c r="H194" s="31"/>
      <c r="L194" s="195"/>
      <c r="M194" s="195"/>
      <c r="N194" s="195"/>
    </row>
    <row r="195" spans="1:14" x14ac:dyDescent="0.25">
      <c r="A195" s="290"/>
      <c r="B195" s="188"/>
      <c r="C195" s="31"/>
      <c r="D195" s="270"/>
      <c r="G195" s="39">
        <f t="shared" si="3"/>
        <v>0</v>
      </c>
      <c r="H195" s="31"/>
      <c r="L195" s="195"/>
      <c r="M195" s="195"/>
      <c r="N195" s="195"/>
    </row>
    <row r="196" spans="1:14" x14ac:dyDescent="0.25">
      <c r="A196" s="290"/>
      <c r="B196" s="188"/>
      <c r="C196" s="31"/>
      <c r="D196" s="270"/>
      <c r="G196" s="39">
        <f t="shared" si="3"/>
        <v>0</v>
      </c>
      <c r="H196" s="31"/>
      <c r="L196" s="195"/>
      <c r="M196" s="195"/>
      <c r="N196" s="195"/>
    </row>
    <row r="197" spans="1:14" x14ac:dyDescent="0.25">
      <c r="A197" s="288"/>
      <c r="B197" s="188"/>
      <c r="C197" s="31"/>
      <c r="D197" s="270"/>
      <c r="G197" s="39">
        <f t="shared" si="3"/>
        <v>0</v>
      </c>
      <c r="H197" s="31"/>
      <c r="L197" s="195"/>
      <c r="M197" s="195"/>
      <c r="N197" s="195"/>
    </row>
    <row r="198" spans="1:14" x14ac:dyDescent="0.25">
      <c r="A198" s="290"/>
      <c r="B198" s="188"/>
      <c r="C198" s="31"/>
      <c r="D198" s="270"/>
      <c r="G198" s="39">
        <f t="shared" si="3"/>
        <v>0</v>
      </c>
      <c r="H198" s="31"/>
      <c r="L198" s="195"/>
      <c r="M198" s="195"/>
      <c r="N198" s="195"/>
    </row>
    <row r="199" spans="1:14" x14ac:dyDescent="0.25">
      <c r="A199" s="290"/>
      <c r="B199" s="188"/>
      <c r="C199" s="31"/>
      <c r="D199" s="270"/>
      <c r="G199" s="39">
        <f t="shared" si="3"/>
        <v>0</v>
      </c>
      <c r="H199" s="31"/>
      <c r="L199" s="195"/>
      <c r="M199" s="195"/>
      <c r="N199" s="195"/>
    </row>
    <row r="200" spans="1:14" x14ac:dyDescent="0.25">
      <c r="A200" s="290"/>
      <c r="B200" s="188"/>
      <c r="C200" s="31"/>
      <c r="D200" s="270"/>
      <c r="G200" s="39">
        <f t="shared" si="3"/>
        <v>0</v>
      </c>
      <c r="H200" s="31"/>
      <c r="L200" s="195"/>
      <c r="M200" s="195"/>
      <c r="N200" s="195"/>
    </row>
    <row r="201" spans="1:14" x14ac:dyDescent="0.25">
      <c r="A201" s="290"/>
      <c r="B201" s="188"/>
      <c r="C201" s="31"/>
      <c r="D201" s="270"/>
      <c r="G201" s="39">
        <f t="shared" si="3"/>
        <v>0</v>
      </c>
      <c r="H201" s="31"/>
      <c r="L201" s="195"/>
      <c r="M201" s="195"/>
      <c r="N201" s="195"/>
    </row>
    <row r="202" spans="1:14" x14ac:dyDescent="0.25">
      <c r="A202" s="290"/>
      <c r="B202" s="188"/>
      <c r="C202" s="31"/>
      <c r="D202" s="270"/>
      <c r="G202" s="39">
        <f t="shared" si="3"/>
        <v>0</v>
      </c>
      <c r="H202" s="31"/>
      <c r="L202" s="195"/>
      <c r="M202" s="195"/>
      <c r="N202" s="195"/>
    </row>
    <row r="203" spans="1:14" x14ac:dyDescent="0.25">
      <c r="A203" s="290"/>
      <c r="B203" s="188"/>
      <c r="C203" s="31"/>
      <c r="D203" s="270"/>
      <c r="G203" s="39">
        <f t="shared" si="3"/>
        <v>0</v>
      </c>
      <c r="H203" s="31"/>
      <c r="L203" s="195"/>
      <c r="M203" s="195"/>
      <c r="N203" s="195"/>
    </row>
    <row r="204" spans="1:14" x14ac:dyDescent="0.25">
      <c r="A204" s="290"/>
      <c r="B204" s="188"/>
      <c r="C204" s="31"/>
      <c r="D204" s="270"/>
      <c r="G204" s="39">
        <f t="shared" si="3"/>
        <v>0</v>
      </c>
      <c r="H204" s="31"/>
      <c r="L204" s="195"/>
      <c r="M204" s="195"/>
      <c r="N204" s="195"/>
    </row>
    <row r="205" spans="1:14" x14ac:dyDescent="0.25">
      <c r="A205" s="290"/>
      <c r="B205" s="188"/>
      <c r="C205" s="31"/>
      <c r="D205" s="270"/>
      <c r="G205" s="39">
        <f t="shared" si="3"/>
        <v>0</v>
      </c>
      <c r="H205" s="31"/>
      <c r="L205" s="195"/>
      <c r="M205" s="195"/>
      <c r="N205" s="195"/>
    </row>
    <row r="206" spans="1:14" x14ac:dyDescent="0.25">
      <c r="A206" s="290"/>
      <c r="B206" s="188"/>
      <c r="C206" s="31"/>
      <c r="D206" s="270"/>
      <c r="G206" s="39">
        <f t="shared" si="3"/>
        <v>0</v>
      </c>
      <c r="H206" s="31"/>
      <c r="L206" s="195"/>
      <c r="M206" s="195"/>
      <c r="N206" s="195"/>
    </row>
    <row r="207" spans="1:14" x14ac:dyDescent="0.25">
      <c r="A207" s="290"/>
      <c r="B207" s="188"/>
      <c r="C207" s="31"/>
      <c r="D207" s="270"/>
      <c r="G207" s="39">
        <f t="shared" si="3"/>
        <v>0</v>
      </c>
      <c r="H207" s="31"/>
      <c r="L207" s="195"/>
      <c r="M207" s="195"/>
      <c r="N207" s="195"/>
    </row>
    <row r="208" spans="1:14" x14ac:dyDescent="0.25">
      <c r="A208" s="290"/>
      <c r="B208" s="188"/>
      <c r="C208" s="31"/>
      <c r="D208" s="270"/>
      <c r="G208" s="39">
        <f t="shared" si="3"/>
        <v>0</v>
      </c>
      <c r="H208" s="31"/>
      <c r="L208" s="195"/>
      <c r="M208" s="195"/>
      <c r="N208" s="195"/>
    </row>
    <row r="209" spans="1:14" x14ac:dyDescent="0.25">
      <c r="A209" s="290"/>
      <c r="B209" s="188"/>
      <c r="C209" s="31"/>
      <c r="D209" s="270"/>
      <c r="G209" s="39">
        <f t="shared" si="3"/>
        <v>0</v>
      </c>
      <c r="H209" s="31"/>
      <c r="L209" s="195"/>
      <c r="M209" s="195"/>
      <c r="N209" s="195"/>
    </row>
    <row r="210" spans="1:14" x14ac:dyDescent="0.25">
      <c r="A210" s="290"/>
      <c r="B210" s="188"/>
      <c r="C210" s="31"/>
      <c r="D210" s="270"/>
      <c r="G210" s="39">
        <f t="shared" si="3"/>
        <v>0</v>
      </c>
      <c r="H210" s="31"/>
      <c r="L210" s="195"/>
      <c r="M210" s="195"/>
      <c r="N210" s="195"/>
    </row>
    <row r="211" spans="1:14" x14ac:dyDescent="0.25">
      <c r="A211" s="290"/>
      <c r="B211" s="188"/>
      <c r="C211" s="31"/>
      <c r="D211" s="270"/>
      <c r="G211" s="39">
        <f t="shared" si="3"/>
        <v>0</v>
      </c>
      <c r="H211" s="31"/>
      <c r="L211" s="195"/>
      <c r="M211" s="195"/>
      <c r="N211" s="195"/>
    </row>
    <row r="212" spans="1:14" x14ac:dyDescent="0.25">
      <c r="A212" s="290"/>
      <c r="B212" s="188"/>
      <c r="C212" s="31"/>
      <c r="D212" s="270"/>
      <c r="G212" s="39">
        <f t="shared" si="3"/>
        <v>0</v>
      </c>
      <c r="H212" s="31"/>
      <c r="L212" s="195"/>
      <c r="M212" s="195"/>
      <c r="N212" s="195"/>
    </row>
    <row r="213" spans="1:14" x14ac:dyDescent="0.25">
      <c r="A213" s="290"/>
      <c r="B213" s="188"/>
      <c r="C213" s="31"/>
      <c r="D213" s="270"/>
      <c r="G213" s="39">
        <f t="shared" si="3"/>
        <v>0</v>
      </c>
      <c r="H213" s="31"/>
      <c r="L213" s="195"/>
      <c r="M213" s="195"/>
      <c r="N213" s="195"/>
    </row>
    <row r="214" spans="1:14" x14ac:dyDescent="0.25">
      <c r="A214" s="290"/>
      <c r="B214" s="188"/>
      <c r="C214" s="31"/>
      <c r="D214" s="270"/>
      <c r="G214" s="39">
        <f t="shared" si="3"/>
        <v>0</v>
      </c>
      <c r="H214" s="31"/>
      <c r="L214" s="195"/>
      <c r="M214" s="195"/>
      <c r="N214" s="195"/>
    </row>
    <row r="215" spans="1:14" x14ac:dyDescent="0.25">
      <c r="A215" s="290"/>
      <c r="B215" s="188"/>
      <c r="C215" s="31"/>
      <c r="D215" s="270"/>
      <c r="G215" s="39">
        <f t="shared" si="3"/>
        <v>0</v>
      </c>
      <c r="H215" s="31"/>
      <c r="L215" s="195"/>
      <c r="M215" s="195"/>
      <c r="N215" s="195"/>
    </row>
    <row r="216" spans="1:14" x14ac:dyDescent="0.25">
      <c r="A216" s="290"/>
      <c r="B216" s="188"/>
      <c r="C216" s="31"/>
      <c r="D216" s="270"/>
      <c r="G216" s="39">
        <f t="shared" si="3"/>
        <v>0</v>
      </c>
      <c r="H216" s="31"/>
      <c r="L216" s="195"/>
      <c r="M216" s="195"/>
      <c r="N216" s="195"/>
    </row>
    <row r="217" spans="1:14" x14ac:dyDescent="0.25">
      <c r="A217" s="290"/>
      <c r="B217" s="188"/>
      <c r="C217" s="31"/>
      <c r="D217" s="270"/>
      <c r="G217" s="39">
        <f t="shared" si="3"/>
        <v>0</v>
      </c>
      <c r="H217" s="31"/>
      <c r="L217" s="195"/>
      <c r="M217" s="195"/>
      <c r="N217" s="195"/>
    </row>
    <row r="218" spans="1:14" x14ac:dyDescent="0.25">
      <c r="A218" s="290"/>
      <c r="B218" s="188"/>
      <c r="C218" s="31"/>
      <c r="D218" s="270"/>
      <c r="G218" s="39">
        <f t="shared" si="3"/>
        <v>0</v>
      </c>
      <c r="H218" s="31"/>
      <c r="L218" s="195"/>
      <c r="M218" s="195"/>
      <c r="N218" s="195"/>
    </row>
    <row r="219" spans="1:14" x14ac:dyDescent="0.25">
      <c r="A219" s="288"/>
      <c r="B219" s="308"/>
      <c r="C219" s="309"/>
      <c r="D219" s="270"/>
      <c r="G219" s="39">
        <f t="shared" si="3"/>
        <v>0</v>
      </c>
      <c r="H219" s="31"/>
      <c r="L219" s="195"/>
      <c r="M219" s="195"/>
      <c r="N219" s="195"/>
    </row>
    <row r="220" spans="1:14" x14ac:dyDescent="0.25">
      <c r="A220" s="288"/>
      <c r="B220" s="308"/>
      <c r="C220" s="309"/>
      <c r="D220" s="270"/>
      <c r="G220" s="39">
        <f t="shared" si="3"/>
        <v>0</v>
      </c>
      <c r="H220" s="31"/>
      <c r="L220" s="195"/>
      <c r="M220" s="195"/>
      <c r="N220" s="195"/>
    </row>
    <row r="221" spans="1:14" ht="16.5" thickBot="1" x14ac:dyDescent="0.3">
      <c r="A221" s="288"/>
      <c r="B221" s="308"/>
      <c r="C221" s="309"/>
      <c r="D221" s="310"/>
      <c r="E221" s="311"/>
      <c r="G221" s="39">
        <f t="shared" si="3"/>
        <v>0</v>
      </c>
      <c r="H221" s="312"/>
      <c r="L221" s="195"/>
      <c r="M221" s="195"/>
      <c r="N221" s="195"/>
    </row>
    <row r="222" spans="1:14" ht="19.5" thickBot="1" x14ac:dyDescent="0.35">
      <c r="A222" s="313"/>
      <c r="B222" s="188"/>
      <c r="C222" s="31"/>
      <c r="D222" s="314"/>
      <c r="E222" s="891" t="s">
        <v>30</v>
      </c>
      <c r="F222" s="892"/>
      <c r="G222" s="214">
        <f>SUM(G25:G221)</f>
        <v>3403108.1350000002</v>
      </c>
      <c r="H222" s="315"/>
    </row>
    <row r="223" spans="1:14" x14ac:dyDescent="0.25">
      <c r="A223" s="313"/>
      <c r="B223" s="188"/>
      <c r="C223" s="31"/>
      <c r="D223" s="314"/>
      <c r="E223" s="311"/>
      <c r="F223" s="316"/>
      <c r="G223" s="39"/>
      <c r="H223" s="315"/>
    </row>
    <row r="224" spans="1:14" x14ac:dyDescent="0.25">
      <c r="A224" s="313"/>
      <c r="B224" s="188"/>
      <c r="C224" s="31"/>
      <c r="D224" s="314"/>
      <c r="E224" s="311"/>
      <c r="F224" s="316"/>
      <c r="G224" s="39"/>
      <c r="H224" s="315"/>
    </row>
    <row r="225" spans="1:11" x14ac:dyDescent="0.25">
      <c r="A225" s="313"/>
      <c r="B225" s="188"/>
      <c r="C225" s="31"/>
      <c r="D225" s="314"/>
      <c r="E225" s="311"/>
      <c r="F225" s="316"/>
      <c r="G225" s="39"/>
      <c r="H225" s="315"/>
    </row>
    <row r="226" spans="1:11" ht="18.75" x14ac:dyDescent="0.25">
      <c r="A226" s="313"/>
      <c r="B226" s="188"/>
      <c r="C226" s="31"/>
      <c r="D226" s="317"/>
      <c r="E226" s="318"/>
      <c r="F226" s="319"/>
      <c r="G226" s="320"/>
      <c r="H226" s="315"/>
    </row>
    <row r="227" spans="1:11" ht="18.75" x14ac:dyDescent="0.25">
      <c r="A227" s="313"/>
      <c r="B227" s="188"/>
      <c r="C227" s="31"/>
      <c r="D227" s="317"/>
      <c r="E227" s="318"/>
      <c r="F227" s="319"/>
      <c r="G227" s="320"/>
      <c r="H227" s="315"/>
    </row>
    <row r="228" spans="1:11" x14ac:dyDescent="0.25">
      <c r="A228" s="313"/>
      <c r="B228" s="188"/>
      <c r="C228" s="31"/>
      <c r="D228" s="317"/>
      <c r="E228" s="321"/>
      <c r="F228" s="322"/>
      <c r="G228" s="323"/>
      <c r="H228" s="315"/>
      <c r="K228"/>
    </row>
    <row r="229" spans="1:11" x14ac:dyDescent="0.25">
      <c r="A229" s="313"/>
      <c r="B229" s="188"/>
      <c r="C229" s="31"/>
      <c r="D229" s="317"/>
      <c r="E229" s="321"/>
      <c r="F229" s="322"/>
      <c r="G229" s="323"/>
      <c r="H229" s="315"/>
      <c r="K229"/>
    </row>
    <row r="230" spans="1:11" x14ac:dyDescent="0.25">
      <c r="A230" s="313"/>
      <c r="B230" s="188"/>
      <c r="C230" s="31"/>
      <c r="D230" s="317"/>
      <c r="E230" s="321"/>
      <c r="F230" s="322"/>
      <c r="G230" s="323"/>
      <c r="H230" s="315"/>
      <c r="K230"/>
    </row>
    <row r="231" spans="1:11" x14ac:dyDescent="0.25">
      <c r="A231" s="313"/>
      <c r="B231" s="188"/>
      <c r="C231" s="31"/>
      <c r="D231" s="317"/>
      <c r="E231" s="321"/>
      <c r="F231" s="322"/>
      <c r="G231" s="323"/>
      <c r="H231" s="315"/>
      <c r="K231"/>
    </row>
    <row r="232" spans="1:11" x14ac:dyDescent="0.25">
      <c r="A232" s="313"/>
      <c r="B232" s="188"/>
      <c r="C232" s="31"/>
      <c r="D232" s="317"/>
      <c r="E232" s="321"/>
      <c r="F232" s="322"/>
      <c r="G232" s="323"/>
      <c r="H232" s="315"/>
      <c r="K232"/>
    </row>
    <row r="233" spans="1:11" x14ac:dyDescent="0.25">
      <c r="A233" s="313"/>
      <c r="B233" s="188"/>
      <c r="C233" s="31"/>
      <c r="D233" s="317"/>
      <c r="E233" s="321"/>
      <c r="F233" s="322"/>
      <c r="G233" s="323"/>
      <c r="H233" s="315"/>
      <c r="K233"/>
    </row>
    <row r="234" spans="1:11" x14ac:dyDescent="0.25">
      <c r="A234" s="313"/>
      <c r="B234" s="188"/>
      <c r="C234" s="31"/>
      <c r="D234" s="317"/>
      <c r="E234" s="321"/>
      <c r="F234" s="322"/>
      <c r="G234" s="323"/>
      <c r="H234" s="315"/>
      <c r="K234"/>
    </row>
    <row r="235" spans="1:11" x14ac:dyDescent="0.25">
      <c r="A235" s="313"/>
      <c r="B235" s="324"/>
      <c r="C235" s="31"/>
      <c r="D235" s="260"/>
      <c r="E235" s="325"/>
      <c r="F235" s="326"/>
      <c r="G235" s="39"/>
      <c r="H235" s="315"/>
      <c r="K235"/>
    </row>
    <row r="236" spans="1:11" x14ac:dyDescent="0.25">
      <c r="A236" s="313"/>
      <c r="B236" s="324"/>
      <c r="C236" s="31"/>
      <c r="D236" s="260"/>
      <c r="E236" s="325"/>
      <c r="F236" s="326"/>
      <c r="G236" s="39"/>
      <c r="H236" s="315"/>
      <c r="K236"/>
    </row>
    <row r="237" spans="1:11" x14ac:dyDescent="0.25">
      <c r="A237" s="313"/>
      <c r="B237" s="324"/>
      <c r="C237" s="31"/>
      <c r="D237" s="260"/>
      <c r="E237" s="325"/>
      <c r="F237" s="326"/>
      <c r="G237" s="39"/>
      <c r="H237" s="315"/>
      <c r="K237"/>
    </row>
    <row r="238" spans="1:11" x14ac:dyDescent="0.25">
      <c r="A238" s="313"/>
      <c r="B238" s="324"/>
      <c r="C238" s="31"/>
      <c r="D238" s="260"/>
      <c r="E238" s="325"/>
      <c r="F238" s="326"/>
      <c r="G238" s="39"/>
      <c r="H238" s="315"/>
      <c r="K238"/>
    </row>
    <row r="239" spans="1:11" x14ac:dyDescent="0.25">
      <c r="A239" s="313"/>
      <c r="B239" s="324"/>
      <c r="C239" s="31"/>
      <c r="D239" s="260"/>
      <c r="E239" s="325"/>
      <c r="F239" s="326"/>
      <c r="G239" s="39"/>
      <c r="H239" s="315"/>
      <c r="K239"/>
    </row>
    <row r="240" spans="1:11" x14ac:dyDescent="0.25">
      <c r="A240" s="313"/>
      <c r="B240" s="324"/>
      <c r="C240" s="31"/>
      <c r="D240" s="260"/>
      <c r="E240" s="325"/>
      <c r="F240" s="326"/>
      <c r="G240" s="39"/>
      <c r="H240" s="315"/>
      <c r="K240"/>
    </row>
    <row r="241" spans="1:11" x14ac:dyDescent="0.25">
      <c r="A241" s="313"/>
      <c r="B241" s="324"/>
      <c r="C241" s="31"/>
      <c r="D241" s="260"/>
      <c r="E241" s="325"/>
      <c r="F241" s="326"/>
      <c r="G241" s="39"/>
      <c r="H241" s="315"/>
      <c r="K241"/>
    </row>
    <row r="242" spans="1:11" x14ac:dyDescent="0.25">
      <c r="A242" s="313"/>
      <c r="B242" s="324"/>
      <c r="C242" s="31"/>
      <c r="D242" s="260"/>
      <c r="E242" s="325"/>
      <c r="F242" s="326"/>
      <c r="G242" s="39"/>
      <c r="H242" s="315"/>
      <c r="K242"/>
    </row>
    <row r="243" spans="1:11" x14ac:dyDescent="0.25">
      <c r="A243" s="313"/>
      <c r="B243" s="324"/>
      <c r="C243" s="31"/>
      <c r="D243" s="260"/>
      <c r="E243" s="325"/>
      <c r="F243" s="326"/>
      <c r="G243" s="39"/>
      <c r="H243" s="315"/>
      <c r="K243"/>
    </row>
    <row r="244" spans="1:11" x14ac:dyDescent="0.25">
      <c r="A244" s="313"/>
      <c r="B244" s="324"/>
      <c r="C244" s="31"/>
      <c r="D244" s="260"/>
      <c r="E244" s="325"/>
      <c r="F244" s="326"/>
      <c r="G244" s="39"/>
      <c r="H244" s="315"/>
      <c r="K244"/>
    </row>
    <row r="245" spans="1:11" x14ac:dyDescent="0.25">
      <c r="A245" s="313"/>
      <c r="B245" s="324"/>
      <c r="C245" s="31"/>
      <c r="D245" s="260"/>
      <c r="E245" s="327"/>
      <c r="F245" s="328"/>
      <c r="G245" s="39"/>
      <c r="H245" s="315"/>
      <c r="K245"/>
    </row>
    <row r="246" spans="1:11" x14ac:dyDescent="0.25">
      <c r="A246" s="183"/>
      <c r="B246" s="324"/>
      <c r="C246" s="329"/>
      <c r="D246" s="260"/>
      <c r="E246" s="327"/>
      <c r="F246" s="328"/>
      <c r="G246" s="39"/>
      <c r="H246" s="315"/>
      <c r="K246"/>
    </row>
    <row r="247" spans="1:11" x14ac:dyDescent="0.25">
      <c r="B247" s="324"/>
      <c r="C247" s="329"/>
      <c r="D247" s="260"/>
      <c r="E247" s="327"/>
      <c r="F247" s="328"/>
      <c r="G247" s="39"/>
      <c r="H247" s="315"/>
      <c r="K247"/>
    </row>
    <row r="248" spans="1:11" x14ac:dyDescent="0.25">
      <c r="B248" s="324"/>
      <c r="C248" s="329"/>
      <c r="D248" s="260"/>
      <c r="E248" s="327"/>
      <c r="F248" s="328"/>
      <c r="G248" s="39"/>
      <c r="H248" s="315"/>
      <c r="K248"/>
    </row>
    <row r="249" spans="1:11" x14ac:dyDescent="0.25">
      <c r="B249" s="324"/>
      <c r="C249" s="329"/>
      <c r="D249" s="260"/>
      <c r="E249" s="327"/>
      <c r="F249" s="328"/>
      <c r="G249" s="39"/>
      <c r="H249" s="315"/>
      <c r="K249"/>
    </row>
    <row r="250" spans="1:11" x14ac:dyDescent="0.25">
      <c r="B250" s="324"/>
      <c r="C250" s="329"/>
      <c r="D250" s="260"/>
      <c r="E250" s="327"/>
      <c r="F250" s="328"/>
      <c r="G250" s="39"/>
      <c r="H250" s="315"/>
      <c r="K250"/>
    </row>
    <row r="251" spans="1:11" x14ac:dyDescent="0.25">
      <c r="A251" s="290"/>
      <c r="B251" s="324"/>
      <c r="C251" s="329"/>
      <c r="D251" s="260"/>
      <c r="E251" s="327"/>
      <c r="F251" s="328"/>
      <c r="G251" s="27"/>
      <c r="H251" s="315"/>
      <c r="K251"/>
    </row>
    <row r="252" spans="1:11" x14ac:dyDescent="0.25">
      <c r="B252" s="324"/>
      <c r="C252" s="329"/>
      <c r="D252" s="260"/>
      <c r="E252" s="327"/>
      <c r="F252" s="328"/>
      <c r="G252" s="330"/>
      <c r="H252" s="315"/>
      <c r="K252"/>
    </row>
    <row r="253" spans="1:11" x14ac:dyDescent="0.25">
      <c r="B253" s="188"/>
      <c r="C253" s="329"/>
      <c r="D253" s="331"/>
      <c r="E253" s="311"/>
      <c r="F253" s="316"/>
      <c r="G253" s="330"/>
      <c r="H253" s="315"/>
      <c r="K253"/>
    </row>
    <row r="254" spans="1:11" x14ac:dyDescent="0.25">
      <c r="B254" s="188"/>
      <c r="C254" s="329"/>
      <c r="D254" s="331"/>
      <c r="E254" s="311"/>
      <c r="F254" s="316"/>
      <c r="G254" s="330"/>
      <c r="H254" s="315"/>
      <c r="K254"/>
    </row>
    <row r="255" spans="1:11" x14ac:dyDescent="0.25">
      <c r="B255" s="188"/>
      <c r="C255" s="329"/>
      <c r="D255" s="331"/>
      <c r="E255" s="311"/>
      <c r="F255" s="316"/>
      <c r="G255" s="330"/>
      <c r="H255" s="315"/>
      <c r="K255"/>
    </row>
    <row r="256" spans="1:11" x14ac:dyDescent="0.25">
      <c r="B256" s="188"/>
      <c r="C256" s="329"/>
      <c r="D256" s="331"/>
      <c r="E256" s="311"/>
      <c r="F256" s="316"/>
      <c r="G256" s="330"/>
      <c r="H256" s="315"/>
      <c r="K256"/>
    </row>
    <row r="257" spans="2:11" x14ac:dyDescent="0.25">
      <c r="B257" s="188"/>
      <c r="C257" s="329"/>
      <c r="D257" s="331"/>
      <c r="E257" s="311"/>
      <c r="F257" s="316"/>
      <c r="G257" s="330"/>
      <c r="H257" s="315"/>
      <c r="K257"/>
    </row>
    <row r="258" spans="2:11" x14ac:dyDescent="0.25">
      <c r="B258" s="188"/>
      <c r="C258" s="329"/>
      <c r="D258" s="331"/>
      <c r="E258" s="311"/>
      <c r="F258" s="316"/>
      <c r="G258" s="330"/>
      <c r="H258" s="315"/>
      <c r="K258"/>
    </row>
    <row r="259" spans="2:11" x14ac:dyDescent="0.25">
      <c r="B259" s="188"/>
      <c r="C259" s="329"/>
      <c r="D259" s="331"/>
      <c r="E259" s="311"/>
      <c r="F259" s="316"/>
      <c r="G259" s="330"/>
      <c r="H259" s="315"/>
      <c r="K259"/>
    </row>
  </sheetData>
  <mergeCells count="2">
    <mergeCell ref="A1:G1"/>
    <mergeCell ref="E222:F22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CC"/>
  </sheetPr>
  <dimension ref="A1:HA107"/>
  <sheetViews>
    <sheetView topLeftCell="J1" workbookViewId="0">
      <pane xSplit="4" ySplit="1" topLeftCell="V2" activePane="bottomRight" state="frozen"/>
      <selection activeCell="J1" sqref="J1"/>
      <selection pane="topRight" activeCell="N1" sqref="N1"/>
      <selection pane="bottomLeft" activeCell="J2" sqref="J2"/>
      <selection pane="bottomRight" activeCell="V42" sqref="V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0" hidden="1" customWidth="1"/>
    <col min="7" max="8" width="0" hidden="1" customWidth="1"/>
    <col min="9" max="9" width="11" hidden="1" customWidth="1"/>
    <col min="10" max="10" width="40.5703125" customWidth="1"/>
    <col min="11" max="11" width="17.7109375" style="4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21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256" bestFit="1" customWidth="1"/>
    <col min="204" max="204" width="13" style="234" bestFit="1" customWidth="1"/>
    <col min="205" max="205" width="15.5703125" style="206" bestFit="1" customWidth="1"/>
    <col min="206" max="206" width="13.7109375" style="206" customWidth="1"/>
    <col min="207" max="207" width="11.42578125" style="196"/>
    <col min="208" max="208" width="11.42578125" style="219"/>
    <col min="209" max="209" width="11.42578125" style="406"/>
  </cols>
  <sheetData>
    <row r="1" spans="1:208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5" t="s">
        <v>372</v>
      </c>
      <c r="K1" s="885"/>
      <c r="L1" s="885"/>
      <c r="M1" s="885"/>
      <c r="N1" s="885"/>
      <c r="O1" s="885"/>
      <c r="P1" s="885"/>
      <c r="Q1" s="885"/>
      <c r="R1" s="6"/>
      <c r="S1" s="6"/>
      <c r="T1" s="6"/>
      <c r="U1" s="7">
        <v>1</v>
      </c>
      <c r="W1" s="349" t="s">
        <v>1</v>
      </c>
      <c r="X1" s="886"/>
      <c r="Y1" s="886"/>
      <c r="Z1" s="886"/>
      <c r="AA1" s="886"/>
      <c r="AB1" s="886"/>
      <c r="AC1" s="886"/>
      <c r="AD1" s="9" t="e">
        <f>#REF!+1</f>
        <v>#REF!</v>
      </c>
      <c r="AF1" s="869" t="e">
        <f>#REF!</f>
        <v>#REF!</v>
      </c>
      <c r="AG1" s="869"/>
      <c r="AH1" s="869"/>
      <c r="AI1" s="869"/>
      <c r="AJ1" s="869"/>
      <c r="AK1" s="869"/>
      <c r="AL1" s="869"/>
      <c r="AM1" s="9" t="e">
        <f>AD1+1</f>
        <v>#REF!</v>
      </c>
      <c r="AO1" s="869" t="e">
        <f>AF1</f>
        <v>#REF!</v>
      </c>
      <c r="AP1" s="869"/>
      <c r="AQ1" s="869"/>
      <c r="AR1" s="869"/>
      <c r="AS1" s="869"/>
      <c r="AT1" s="869"/>
      <c r="AU1" s="869"/>
      <c r="AV1" s="9" t="e">
        <f>AM1+1</f>
        <v>#REF!</v>
      </c>
      <c r="AX1" s="869" t="e">
        <f>AO1</f>
        <v>#REF!</v>
      </c>
      <c r="AY1" s="869"/>
      <c r="AZ1" s="869"/>
      <c r="BA1" s="869"/>
      <c r="BB1" s="869"/>
      <c r="BC1" s="869"/>
      <c r="BD1" s="869"/>
      <c r="BE1" s="9" t="e">
        <f>AV1+1</f>
        <v>#REF!</v>
      </c>
      <c r="BG1" s="869" t="e">
        <f>AX1</f>
        <v>#REF!</v>
      </c>
      <c r="BH1" s="869"/>
      <c r="BI1" s="869"/>
      <c r="BJ1" s="869"/>
      <c r="BK1" s="869"/>
      <c r="BL1" s="869"/>
      <c r="BM1" s="869"/>
      <c r="BN1" s="9" t="e">
        <f>BE1+1</f>
        <v>#REF!</v>
      </c>
      <c r="BP1" s="869" t="e">
        <f>BG1</f>
        <v>#REF!</v>
      </c>
      <c r="BQ1" s="869"/>
      <c r="BR1" s="869"/>
      <c r="BS1" s="869"/>
      <c r="BT1" s="869"/>
      <c r="BU1" s="869"/>
      <c r="BV1" s="869"/>
      <c r="BW1" s="9" t="e">
        <f>BN1+1</f>
        <v>#REF!</v>
      </c>
      <c r="BY1" s="869" t="e">
        <f>BP1</f>
        <v>#REF!</v>
      </c>
      <c r="BZ1" s="869"/>
      <c r="CA1" s="869"/>
      <c r="CB1" s="869"/>
      <c r="CC1" s="869"/>
      <c r="CD1" s="869"/>
      <c r="CE1" s="869"/>
      <c r="CF1" s="9" t="e">
        <f>BW1+1</f>
        <v>#REF!</v>
      </c>
      <c r="CH1" s="869" t="e">
        <f>BY1</f>
        <v>#REF!</v>
      </c>
      <c r="CI1" s="869"/>
      <c r="CJ1" s="869"/>
      <c r="CK1" s="869"/>
      <c r="CL1" s="869"/>
      <c r="CM1" s="869"/>
      <c r="CN1" s="869"/>
      <c r="CO1" s="9" t="e">
        <f>CF1+1</f>
        <v>#REF!</v>
      </c>
      <c r="CQ1" s="869" t="e">
        <f>CH1</f>
        <v>#REF!</v>
      </c>
      <c r="CR1" s="869"/>
      <c r="CS1" s="869"/>
      <c r="CT1" s="869"/>
      <c r="CU1" s="869"/>
      <c r="CV1" s="869"/>
      <c r="CW1" s="869"/>
      <c r="CX1" s="9" t="e">
        <f>CO1+1</f>
        <v>#REF!</v>
      </c>
      <c r="CZ1" s="869" t="e">
        <f>CQ1</f>
        <v>#REF!</v>
      </c>
      <c r="DA1" s="869"/>
      <c r="DB1" s="869"/>
      <c r="DC1" s="869"/>
      <c r="DD1" s="869"/>
      <c r="DE1" s="869"/>
      <c r="DF1" s="869"/>
      <c r="DG1" s="9" t="e">
        <f>CX1+1</f>
        <v>#REF!</v>
      </c>
      <c r="DI1" s="869" t="e">
        <f>CZ1</f>
        <v>#REF!</v>
      </c>
      <c r="DJ1" s="869"/>
      <c r="DK1" s="869"/>
      <c r="DL1" s="869"/>
      <c r="DM1" s="869"/>
      <c r="DN1" s="869"/>
      <c r="DO1" s="869"/>
      <c r="DP1" s="9" t="e">
        <f>DG1+1</f>
        <v>#REF!</v>
      </c>
      <c r="DR1" s="869" t="e">
        <f>DI1</f>
        <v>#REF!</v>
      </c>
      <c r="DS1" s="869"/>
      <c r="DT1" s="869"/>
      <c r="DU1" s="869"/>
      <c r="DV1" s="869"/>
      <c r="DW1" s="869"/>
      <c r="DX1" s="869"/>
      <c r="DY1" s="9" t="e">
        <f>DP1+1</f>
        <v>#REF!</v>
      </c>
      <c r="EA1" s="869" t="e">
        <f>DR1</f>
        <v>#REF!</v>
      </c>
      <c r="EB1" s="869"/>
      <c r="EC1" s="869"/>
      <c r="ED1" s="869"/>
      <c r="EE1" s="869"/>
      <c r="EF1" s="869"/>
      <c r="EG1" s="869"/>
      <c r="EH1" s="9" t="e">
        <f>DY1+1</f>
        <v>#REF!</v>
      </c>
      <c r="EJ1" s="869" t="e">
        <f>EA1</f>
        <v>#REF!</v>
      </c>
      <c r="EK1" s="869"/>
      <c r="EL1" s="869"/>
      <c r="EM1" s="869"/>
      <c r="EN1" s="869"/>
      <c r="EO1" s="869"/>
      <c r="EP1" s="869"/>
      <c r="EQ1" s="9" t="e">
        <f>EH1+1</f>
        <v>#REF!</v>
      </c>
      <c r="ES1" s="869" t="e">
        <f>EJ1</f>
        <v>#REF!</v>
      </c>
      <c r="ET1" s="869"/>
      <c r="EU1" s="869"/>
      <c r="EV1" s="869"/>
      <c r="EW1" s="869"/>
      <c r="EX1" s="869"/>
      <c r="EY1" s="869"/>
      <c r="EZ1" s="9" t="e">
        <f>EQ1+1</f>
        <v>#REF!</v>
      </c>
      <c r="FB1" s="869" t="e">
        <f>ES1</f>
        <v>#REF!</v>
      </c>
      <c r="FC1" s="869"/>
      <c r="FD1" s="869"/>
      <c r="FE1" s="869"/>
      <c r="FF1" s="869"/>
      <c r="FG1" s="869"/>
      <c r="FH1" s="869"/>
      <c r="FI1" s="9" t="e">
        <f>EZ1+1</f>
        <v>#REF!</v>
      </c>
      <c r="FK1" s="869" t="e">
        <f>FB1</f>
        <v>#REF!</v>
      </c>
      <c r="FL1" s="869"/>
      <c r="FM1" s="869"/>
      <c r="FN1" s="869"/>
      <c r="FO1" s="869"/>
      <c r="FP1" s="869"/>
      <c r="FQ1" s="869"/>
      <c r="FR1" s="9" t="e">
        <f>FI1+1</f>
        <v>#REF!</v>
      </c>
      <c r="FT1" s="869" t="e">
        <f>FK1</f>
        <v>#REF!</v>
      </c>
      <c r="FU1" s="869"/>
      <c r="FV1" s="869"/>
      <c r="FW1" s="869"/>
      <c r="FX1" s="869"/>
      <c r="FY1" s="869"/>
      <c r="FZ1" s="869"/>
      <c r="GA1" s="9" t="e">
        <f>FR1+1</f>
        <v>#REF!</v>
      </c>
      <c r="GC1" s="869" t="e">
        <f>FT1</f>
        <v>#REF!</v>
      </c>
      <c r="GD1" s="869"/>
      <c r="GE1" s="869"/>
      <c r="GF1" s="869"/>
      <c r="GG1" s="869"/>
      <c r="GH1" s="869"/>
      <c r="GI1" s="869"/>
      <c r="GJ1" s="9" t="e">
        <f>GA1+1</f>
        <v>#REF!</v>
      </c>
      <c r="GL1" s="869" t="e">
        <f>GC1</f>
        <v>#REF!</v>
      </c>
      <c r="GM1" s="869"/>
      <c r="GN1" s="869"/>
      <c r="GO1" s="869"/>
      <c r="GP1" s="869"/>
      <c r="GQ1" s="869"/>
      <c r="GR1" s="86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386" t="s">
        <v>5</v>
      </c>
      <c r="GZ1" s="15" t="s">
        <v>6</v>
      </c>
    </row>
    <row r="2" spans="1:208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  <c r="GM2" s="345"/>
      <c r="GN2" s="345"/>
      <c r="GO2" s="345"/>
      <c r="GP2" s="345"/>
      <c r="GQ2" s="345"/>
      <c r="GR2" s="345"/>
      <c r="GS2" s="345"/>
      <c r="GT2" s="346"/>
      <c r="GU2" s="347"/>
      <c r="GV2" s="348"/>
      <c r="GW2" s="31"/>
      <c r="GX2" s="31"/>
      <c r="GY2" s="387"/>
      <c r="GZ2" s="33"/>
    </row>
    <row r="3" spans="1:208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48" t="s">
        <v>16</v>
      </c>
      <c r="L3" s="334" t="s">
        <v>17</v>
      </c>
      <c r="M3" s="335" t="s">
        <v>18</v>
      </c>
      <c r="N3" s="43" t="s">
        <v>19</v>
      </c>
      <c r="O3" s="42" t="s">
        <v>20</v>
      </c>
      <c r="P3" s="332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344"/>
      <c r="X3" s="38" t="s">
        <v>16</v>
      </c>
      <c r="Y3" s="38"/>
      <c r="Z3" s="38" t="s">
        <v>18</v>
      </c>
      <c r="AA3" s="38" t="s">
        <v>11</v>
      </c>
      <c r="AB3" s="38" t="s">
        <v>26</v>
      </c>
      <c r="AC3" s="58" t="s">
        <v>27</v>
      </c>
      <c r="AD3" s="343" t="s">
        <v>14</v>
      </c>
      <c r="AF3" s="38" t="s">
        <v>8</v>
      </c>
      <c r="AG3" s="38" t="s">
        <v>16</v>
      </c>
      <c r="AH3" s="38"/>
      <c r="AI3" s="38" t="s">
        <v>18</v>
      </c>
      <c r="AJ3" s="38" t="s">
        <v>11</v>
      </c>
      <c r="AK3" s="38" t="s">
        <v>26</v>
      </c>
      <c r="AL3" s="58" t="s">
        <v>27</v>
      </c>
      <c r="AM3" s="343" t="s">
        <v>14</v>
      </c>
      <c r="AO3" s="38" t="s">
        <v>8</v>
      </c>
      <c r="AP3" s="38" t="s">
        <v>16</v>
      </c>
      <c r="AQ3" s="38"/>
      <c r="AR3" s="38" t="s">
        <v>18</v>
      </c>
      <c r="AS3" s="38" t="s">
        <v>11</v>
      </c>
      <c r="AT3" s="38" t="s">
        <v>26</v>
      </c>
      <c r="AU3" s="58" t="s">
        <v>27</v>
      </c>
      <c r="AV3" s="343" t="s">
        <v>14</v>
      </c>
      <c r="AX3" s="38" t="s">
        <v>8</v>
      </c>
      <c r="AY3" s="38" t="s">
        <v>16</v>
      </c>
      <c r="AZ3" s="38"/>
      <c r="BA3" s="38" t="s">
        <v>18</v>
      </c>
      <c r="BB3" s="38" t="s">
        <v>11</v>
      </c>
      <c r="BC3" s="38" t="s">
        <v>26</v>
      </c>
      <c r="BD3" s="58" t="s">
        <v>27</v>
      </c>
      <c r="BE3" s="343" t="s">
        <v>14</v>
      </c>
      <c r="BG3" s="38" t="s">
        <v>8</v>
      </c>
      <c r="BH3" s="38" t="s">
        <v>16</v>
      </c>
      <c r="BI3" s="38"/>
      <c r="BJ3" s="38" t="s">
        <v>18</v>
      </c>
      <c r="BK3" s="38" t="s">
        <v>11</v>
      </c>
      <c r="BL3" s="38" t="s">
        <v>26</v>
      </c>
      <c r="BM3" s="59" t="s">
        <v>27</v>
      </c>
      <c r="BN3" s="343" t="s">
        <v>14</v>
      </c>
      <c r="BP3" s="38" t="s">
        <v>8</v>
      </c>
      <c r="BQ3" s="38" t="s">
        <v>16</v>
      </c>
      <c r="BR3" s="38"/>
      <c r="BS3" s="38" t="s">
        <v>18</v>
      </c>
      <c r="BT3" s="38" t="s">
        <v>11</v>
      </c>
      <c r="BU3" s="38" t="s">
        <v>26</v>
      </c>
      <c r="BV3" s="59" t="s">
        <v>27</v>
      </c>
      <c r="BW3" s="343" t="s">
        <v>14</v>
      </c>
      <c r="BY3" s="38" t="s">
        <v>8</v>
      </c>
      <c r="BZ3" s="38" t="s">
        <v>16</v>
      </c>
      <c r="CA3" s="38"/>
      <c r="CB3" s="38" t="s">
        <v>18</v>
      </c>
      <c r="CC3" s="38" t="s">
        <v>11</v>
      </c>
      <c r="CD3" s="38" t="s">
        <v>26</v>
      </c>
      <c r="CE3" s="59" t="s">
        <v>27</v>
      </c>
      <c r="CF3" s="343" t="s">
        <v>14</v>
      </c>
      <c r="CH3" s="38" t="s">
        <v>8</v>
      </c>
      <c r="CI3" s="38" t="s">
        <v>16</v>
      </c>
      <c r="CJ3" s="38"/>
      <c r="CK3" s="38" t="s">
        <v>18</v>
      </c>
      <c r="CL3" s="38" t="s">
        <v>11</v>
      </c>
      <c r="CM3" s="38" t="s">
        <v>26</v>
      </c>
      <c r="CN3" s="58" t="s">
        <v>27</v>
      </c>
      <c r="CO3" s="343" t="s">
        <v>14</v>
      </c>
      <c r="CQ3" s="38" t="s">
        <v>8</v>
      </c>
      <c r="CR3" s="38" t="s">
        <v>16</v>
      </c>
      <c r="CS3" s="38"/>
      <c r="CT3" s="38" t="s">
        <v>18</v>
      </c>
      <c r="CU3" s="38" t="s">
        <v>11</v>
      </c>
      <c r="CV3" s="38" t="s">
        <v>26</v>
      </c>
      <c r="CW3" s="59" t="s">
        <v>27</v>
      </c>
      <c r="CX3" s="343" t="s">
        <v>14</v>
      </c>
      <c r="CZ3" s="38" t="s">
        <v>8</v>
      </c>
      <c r="DA3" s="38" t="s">
        <v>16</v>
      </c>
      <c r="DB3" s="38"/>
      <c r="DC3" s="38" t="s">
        <v>18</v>
      </c>
      <c r="DD3" s="38" t="s">
        <v>11</v>
      </c>
      <c r="DE3" s="38" t="s">
        <v>26</v>
      </c>
      <c r="DF3" s="59" t="s">
        <v>27</v>
      </c>
      <c r="DG3" s="343" t="s">
        <v>14</v>
      </c>
      <c r="DI3" s="38" t="s">
        <v>8</v>
      </c>
      <c r="DJ3" s="38" t="s">
        <v>16</v>
      </c>
      <c r="DK3" s="38"/>
      <c r="DL3" s="38" t="s">
        <v>18</v>
      </c>
      <c r="DM3" s="38" t="s">
        <v>11</v>
      </c>
      <c r="DN3" s="38" t="s">
        <v>26</v>
      </c>
      <c r="DO3" s="59" t="s">
        <v>27</v>
      </c>
      <c r="DP3" s="343" t="s">
        <v>14</v>
      </c>
      <c r="DR3" s="38" t="s">
        <v>8</v>
      </c>
      <c r="DS3" s="38" t="s">
        <v>16</v>
      </c>
      <c r="DT3" s="38"/>
      <c r="DU3" s="38" t="s">
        <v>18</v>
      </c>
      <c r="DV3" s="38" t="s">
        <v>11</v>
      </c>
      <c r="DW3" s="38" t="s">
        <v>26</v>
      </c>
      <c r="DX3" s="59" t="s">
        <v>27</v>
      </c>
      <c r="DY3" s="343" t="s">
        <v>14</v>
      </c>
      <c r="EA3" s="38" t="s">
        <v>8</v>
      </c>
      <c r="EB3" s="38" t="s">
        <v>16</v>
      </c>
      <c r="EC3" s="38"/>
      <c r="ED3" s="38" t="s">
        <v>18</v>
      </c>
      <c r="EE3" s="38" t="s">
        <v>11</v>
      </c>
      <c r="EF3" s="38" t="s">
        <v>26</v>
      </c>
      <c r="EG3" s="59" t="s">
        <v>27</v>
      </c>
      <c r="EH3" s="343" t="s">
        <v>14</v>
      </c>
      <c r="EJ3" s="38" t="s">
        <v>8</v>
      </c>
      <c r="EK3" s="38" t="s">
        <v>16</v>
      </c>
      <c r="EL3" s="38"/>
      <c r="EM3" s="38" t="s">
        <v>18</v>
      </c>
      <c r="EN3" s="38" t="s">
        <v>11</v>
      </c>
      <c r="EO3" s="38" t="s">
        <v>26</v>
      </c>
      <c r="EP3" s="59" t="s">
        <v>27</v>
      </c>
      <c r="EQ3" s="343" t="s">
        <v>14</v>
      </c>
      <c r="ES3" s="38" t="s">
        <v>8</v>
      </c>
      <c r="ET3" s="38" t="s">
        <v>16</v>
      </c>
      <c r="EU3" s="38"/>
      <c r="EV3" s="38" t="s">
        <v>18</v>
      </c>
      <c r="EW3" s="38" t="s">
        <v>11</v>
      </c>
      <c r="EX3" s="38" t="s">
        <v>26</v>
      </c>
      <c r="EY3" s="59" t="s">
        <v>27</v>
      </c>
      <c r="EZ3" s="343" t="s">
        <v>14</v>
      </c>
      <c r="FB3" s="38" t="s">
        <v>8</v>
      </c>
      <c r="FC3" s="38" t="s">
        <v>16</v>
      </c>
      <c r="FD3" s="38"/>
      <c r="FE3" s="38" t="s">
        <v>18</v>
      </c>
      <c r="FF3" s="38" t="s">
        <v>11</v>
      </c>
      <c r="FG3" s="38" t="s">
        <v>26</v>
      </c>
      <c r="FH3" s="59" t="s">
        <v>27</v>
      </c>
      <c r="FI3" s="343" t="s">
        <v>14</v>
      </c>
      <c r="FK3" s="38" t="s">
        <v>8</v>
      </c>
      <c r="FL3" s="38" t="s">
        <v>16</v>
      </c>
      <c r="FM3" s="38"/>
      <c r="FN3" s="38" t="s">
        <v>18</v>
      </c>
      <c r="FO3" s="38" t="s">
        <v>11</v>
      </c>
      <c r="FP3" s="38" t="s">
        <v>26</v>
      </c>
      <c r="FQ3" s="59" t="s">
        <v>27</v>
      </c>
      <c r="FR3" s="343" t="s">
        <v>14</v>
      </c>
      <c r="FT3" s="38" t="s">
        <v>8</v>
      </c>
      <c r="FU3" s="38" t="s">
        <v>16</v>
      </c>
      <c r="FV3" s="38"/>
      <c r="FW3" s="38" t="s">
        <v>18</v>
      </c>
      <c r="FX3" s="38" t="s">
        <v>11</v>
      </c>
      <c r="FY3" s="38" t="s">
        <v>26</v>
      </c>
      <c r="FZ3" s="59" t="s">
        <v>27</v>
      </c>
      <c r="GA3" s="343" t="s">
        <v>14</v>
      </c>
      <c r="GC3" s="38" t="s">
        <v>8</v>
      </c>
      <c r="GD3" s="38" t="s">
        <v>16</v>
      </c>
      <c r="GE3" s="38"/>
      <c r="GF3" s="38" t="s">
        <v>18</v>
      </c>
      <c r="GG3" s="38" t="s">
        <v>11</v>
      </c>
      <c r="GH3" s="38" t="s">
        <v>26</v>
      </c>
      <c r="GI3" s="59" t="s">
        <v>27</v>
      </c>
      <c r="GJ3" s="343" t="s">
        <v>14</v>
      </c>
      <c r="GL3" s="38" t="s">
        <v>8</v>
      </c>
      <c r="GM3" s="38" t="s">
        <v>16</v>
      </c>
      <c r="GN3" s="38"/>
      <c r="GO3" s="38" t="s">
        <v>18</v>
      </c>
      <c r="GP3" s="38" t="s">
        <v>11</v>
      </c>
      <c r="GQ3" s="38" t="s">
        <v>26</v>
      </c>
      <c r="GR3" s="59" t="s">
        <v>27</v>
      </c>
      <c r="GS3" s="343" t="s">
        <v>14</v>
      </c>
      <c r="GT3" s="49"/>
      <c r="GU3" s="50"/>
      <c r="GV3" s="51"/>
      <c r="GW3" s="52"/>
      <c r="GX3" s="53"/>
      <c r="GY3" s="388"/>
      <c r="GZ3" s="55"/>
    </row>
    <row r="4" spans="1:208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23" t="s">
        <v>42</v>
      </c>
      <c r="K4" s="407" t="s">
        <v>41</v>
      </c>
      <c r="L4" s="77">
        <v>24740</v>
      </c>
      <c r="M4" s="71">
        <v>42856</v>
      </c>
      <c r="N4" s="56" t="s">
        <v>417</v>
      </c>
      <c r="O4" s="351">
        <v>30695</v>
      </c>
      <c r="P4" s="60">
        <f t="shared" ref="P4:P67" si="0">O4-L4</f>
        <v>5955</v>
      </c>
      <c r="Q4" s="333">
        <v>23.5</v>
      </c>
      <c r="R4" s="905"/>
      <c r="S4" s="906"/>
      <c r="T4" s="39">
        <f>Q4*O4</f>
        <v>721332.5</v>
      </c>
      <c r="U4" s="61" t="s">
        <v>72</v>
      </c>
      <c r="V4" s="62">
        <v>42877</v>
      </c>
      <c r="W4" s="63">
        <v>18850</v>
      </c>
      <c r="X4" s="38"/>
      <c r="Y4" s="38"/>
      <c r="Z4" s="38"/>
      <c r="AA4" s="38"/>
      <c r="AB4" s="38"/>
      <c r="AC4" s="58"/>
      <c r="AD4" s="59"/>
      <c r="AF4" s="38"/>
      <c r="AG4" s="38"/>
      <c r="AH4" s="38"/>
      <c r="AI4" s="38"/>
      <c r="AJ4" s="38"/>
      <c r="AK4" s="38"/>
      <c r="AL4" s="58"/>
      <c r="AM4" s="59"/>
      <c r="AO4" s="38"/>
      <c r="AP4" s="38"/>
      <c r="AQ4" s="38"/>
      <c r="AR4" s="38"/>
      <c r="AS4" s="38"/>
      <c r="AT4" s="38"/>
      <c r="AU4" s="58"/>
      <c r="AV4" s="59"/>
      <c r="AX4" s="38"/>
      <c r="AY4" s="38"/>
      <c r="AZ4" s="38"/>
      <c r="BA4" s="38"/>
      <c r="BB4" s="38"/>
      <c r="BC4" s="38"/>
      <c r="BD4" s="58"/>
      <c r="BE4" s="59"/>
      <c r="BG4" s="38"/>
      <c r="BH4" s="38"/>
      <c r="BI4" s="38"/>
      <c r="BJ4" s="38"/>
      <c r="BK4" s="38"/>
      <c r="BL4" s="38"/>
      <c r="BM4" s="59"/>
      <c r="BN4" s="59"/>
      <c r="BP4" s="38"/>
      <c r="BQ4" s="38"/>
      <c r="BR4" s="38"/>
      <c r="BS4" s="38"/>
      <c r="BT4" s="38"/>
      <c r="BU4" s="38"/>
      <c r="BV4" s="59"/>
      <c r="BW4" s="59"/>
      <c r="BY4" s="38"/>
      <c r="BZ4" s="38"/>
      <c r="CA4" s="38"/>
      <c r="CB4" s="38"/>
      <c r="CC4" s="38"/>
      <c r="CD4" s="38"/>
      <c r="CE4" s="59"/>
      <c r="CF4" s="59"/>
      <c r="CH4" s="38"/>
      <c r="CI4" s="38"/>
      <c r="CJ4" s="38"/>
      <c r="CK4" s="38"/>
      <c r="CL4" s="38"/>
      <c r="CM4" s="38"/>
      <c r="CN4" s="58"/>
      <c r="CO4" s="59"/>
      <c r="CQ4" s="38"/>
      <c r="CR4" s="38"/>
      <c r="CS4" s="38"/>
      <c r="CT4" s="38"/>
      <c r="CU4" s="38"/>
      <c r="CV4" s="38"/>
      <c r="CW4" s="59"/>
      <c r="CX4" s="59"/>
      <c r="CZ4" s="38"/>
      <c r="DA4" s="38"/>
      <c r="DB4" s="38"/>
      <c r="DC4" s="38"/>
      <c r="DD4" s="38"/>
      <c r="DE4" s="38"/>
      <c r="DF4" s="59"/>
      <c r="DG4" s="59"/>
      <c r="DI4" s="38"/>
      <c r="DJ4" s="38"/>
      <c r="DK4" s="38"/>
      <c r="DL4" s="38"/>
      <c r="DM4" s="38"/>
      <c r="DN4" s="38"/>
      <c r="DO4" s="59"/>
      <c r="DP4" s="59"/>
      <c r="DR4" s="38"/>
      <c r="DS4" s="38"/>
      <c r="DT4" s="38"/>
      <c r="DU4" s="38"/>
      <c r="DV4" s="38"/>
      <c r="DW4" s="38"/>
      <c r="DX4" s="59"/>
      <c r="DY4" s="59"/>
      <c r="EA4" s="38"/>
      <c r="EB4" s="38"/>
      <c r="EC4" s="38"/>
      <c r="ED4" s="38"/>
      <c r="EE4" s="38"/>
      <c r="EF4" s="38"/>
      <c r="EG4" s="59"/>
      <c r="EH4" s="59"/>
      <c r="EJ4" s="38"/>
      <c r="EK4" s="38"/>
      <c r="EL4" s="38"/>
      <c r="EM4" s="38"/>
      <c r="EN4" s="38"/>
      <c r="EO4" s="38"/>
      <c r="EP4" s="59"/>
      <c r="EQ4" s="59"/>
      <c r="ES4" s="38"/>
      <c r="ET4" s="38"/>
      <c r="EU4" s="38"/>
      <c r="EV4" s="38"/>
      <c r="EW4" s="38"/>
      <c r="EX4" s="38"/>
      <c r="EY4" s="59"/>
      <c r="EZ4" s="59"/>
      <c r="FB4" s="38"/>
      <c r="FC4" s="38"/>
      <c r="FD4" s="38"/>
      <c r="FE4" s="38"/>
      <c r="FF4" s="38"/>
      <c r="FG4" s="38"/>
      <c r="FH4" s="59"/>
      <c r="FI4" s="59"/>
      <c r="FK4" s="38"/>
      <c r="FL4" s="38"/>
      <c r="FM4" s="38"/>
      <c r="FN4" s="38"/>
      <c r="FO4" s="38"/>
      <c r="FP4" s="38"/>
      <c r="FQ4" s="59"/>
      <c r="FR4" s="59"/>
      <c r="FT4" s="38"/>
      <c r="FU4" s="38"/>
      <c r="FV4" s="38"/>
      <c r="FW4" s="38"/>
      <c r="FX4" s="38"/>
      <c r="FY4" s="38"/>
      <c r="FZ4" s="59"/>
      <c r="GA4" s="59"/>
      <c r="GC4" s="38"/>
      <c r="GD4" s="38"/>
      <c r="GE4" s="38"/>
      <c r="GF4" s="38"/>
      <c r="GG4" s="38"/>
      <c r="GH4" s="38"/>
      <c r="GI4" s="59"/>
      <c r="GJ4" s="59"/>
      <c r="GL4" s="38"/>
      <c r="GM4" s="38"/>
      <c r="GN4" s="38"/>
      <c r="GO4" s="38"/>
      <c r="GP4" s="38"/>
      <c r="GQ4" s="38"/>
      <c r="GR4" s="59"/>
      <c r="GS4" s="59"/>
      <c r="GT4" s="508">
        <v>42877</v>
      </c>
      <c r="GU4" s="226"/>
      <c r="GV4" s="258">
        <v>22176</v>
      </c>
      <c r="GW4" s="31" t="s">
        <v>391</v>
      </c>
      <c r="GX4" s="31"/>
      <c r="GY4" s="529" t="s">
        <v>499</v>
      </c>
      <c r="GZ4" s="521">
        <v>3480</v>
      </c>
    </row>
    <row r="5" spans="1:208" x14ac:dyDescent="0.25">
      <c r="B5" s="34"/>
      <c r="C5" s="34"/>
      <c r="D5" s="35"/>
      <c r="E5" s="36"/>
      <c r="F5" s="37"/>
      <c r="G5" s="38"/>
      <c r="H5" s="39"/>
      <c r="I5" s="40"/>
      <c r="J5" s="69" t="s">
        <v>42</v>
      </c>
      <c r="K5" s="407" t="s">
        <v>37</v>
      </c>
      <c r="L5" s="77">
        <v>17010</v>
      </c>
      <c r="M5" s="71">
        <v>42857</v>
      </c>
      <c r="N5" s="56" t="s">
        <v>418</v>
      </c>
      <c r="O5" s="27">
        <v>21330</v>
      </c>
      <c r="P5" s="60">
        <f t="shared" si="0"/>
        <v>4320</v>
      </c>
      <c r="Q5" s="29">
        <v>23.5</v>
      </c>
      <c r="R5" s="57"/>
      <c r="S5" s="57"/>
      <c r="T5" s="39">
        <f>Q5*O5</f>
        <v>501255</v>
      </c>
      <c r="U5" s="336" t="s">
        <v>72</v>
      </c>
      <c r="V5" s="166">
        <v>42878</v>
      </c>
      <c r="W5" s="86">
        <v>15080</v>
      </c>
      <c r="X5" s="20"/>
      <c r="Y5" s="20"/>
      <c r="Z5" s="20"/>
      <c r="AA5" s="20"/>
      <c r="AB5" s="20"/>
      <c r="AC5" s="337"/>
      <c r="AD5" s="22"/>
      <c r="AE5" s="17"/>
      <c r="AF5" s="20"/>
      <c r="AG5" s="20"/>
      <c r="AH5" s="20"/>
      <c r="AI5" s="20"/>
      <c r="AJ5" s="20"/>
      <c r="AK5" s="20"/>
      <c r="AL5" s="337"/>
      <c r="AM5" s="22"/>
      <c r="AN5" s="17"/>
      <c r="AO5" s="20"/>
      <c r="AP5" s="20"/>
      <c r="AQ5" s="20"/>
      <c r="AR5" s="20"/>
      <c r="AS5" s="20"/>
      <c r="AT5" s="20"/>
      <c r="AU5" s="337"/>
      <c r="AV5" s="22"/>
      <c r="AW5" s="17"/>
      <c r="AX5" s="20"/>
      <c r="AY5" s="20"/>
      <c r="AZ5" s="20"/>
      <c r="BA5" s="20"/>
      <c r="BB5" s="20"/>
      <c r="BC5" s="20"/>
      <c r="BD5" s="337"/>
      <c r="BE5" s="22"/>
      <c r="BF5" s="17"/>
      <c r="BG5" s="20"/>
      <c r="BH5" s="20"/>
      <c r="BI5" s="20"/>
      <c r="BJ5" s="20"/>
      <c r="BK5" s="20"/>
      <c r="BL5" s="20"/>
      <c r="BM5" s="22"/>
      <c r="BN5" s="22"/>
      <c r="BO5" s="17"/>
      <c r="BP5" s="20"/>
      <c r="BQ5" s="20"/>
      <c r="BR5" s="20"/>
      <c r="BS5" s="20"/>
      <c r="BT5" s="20"/>
      <c r="BU5" s="20"/>
      <c r="BV5" s="22"/>
      <c r="BW5" s="22"/>
      <c r="BX5" s="17"/>
      <c r="BY5" s="20"/>
      <c r="BZ5" s="20"/>
      <c r="CA5" s="20"/>
      <c r="CB5" s="20"/>
      <c r="CC5" s="20"/>
      <c r="CD5" s="20"/>
      <c r="CE5" s="22"/>
      <c r="CF5" s="22"/>
      <c r="CG5" s="17"/>
      <c r="CH5" s="20"/>
      <c r="CI5" s="20"/>
      <c r="CJ5" s="20"/>
      <c r="CK5" s="20"/>
      <c r="CL5" s="20"/>
      <c r="CM5" s="20"/>
      <c r="CN5" s="337"/>
      <c r="CO5" s="22"/>
      <c r="CP5" s="17"/>
      <c r="CQ5" s="20"/>
      <c r="CR5" s="20"/>
      <c r="CS5" s="20"/>
      <c r="CT5" s="20"/>
      <c r="CU5" s="20"/>
      <c r="CV5" s="20"/>
      <c r="CW5" s="22"/>
      <c r="CX5" s="22"/>
      <c r="CY5" s="17"/>
      <c r="CZ5" s="20"/>
      <c r="DA5" s="20"/>
      <c r="DB5" s="20"/>
      <c r="DC5" s="20"/>
      <c r="DD5" s="20"/>
      <c r="DE5" s="20"/>
      <c r="DF5" s="22"/>
      <c r="DG5" s="22"/>
      <c r="DH5" s="17"/>
      <c r="DI5" s="20"/>
      <c r="DJ5" s="20"/>
      <c r="DK5" s="20"/>
      <c r="DL5" s="20"/>
      <c r="DM5" s="20"/>
      <c r="DN5" s="20"/>
      <c r="DO5" s="22"/>
      <c r="DP5" s="22"/>
      <c r="DQ5" s="17"/>
      <c r="DR5" s="20"/>
      <c r="DS5" s="20"/>
      <c r="DT5" s="20"/>
      <c r="DU5" s="20"/>
      <c r="DV5" s="20"/>
      <c r="DW5" s="20"/>
      <c r="DX5" s="22"/>
      <c r="DY5" s="22"/>
      <c r="DZ5" s="17"/>
      <c r="EA5" s="20"/>
      <c r="EB5" s="20"/>
      <c r="EC5" s="20"/>
      <c r="ED5" s="20"/>
      <c r="EE5" s="20"/>
      <c r="EF5" s="20"/>
      <c r="EG5" s="22"/>
      <c r="EH5" s="22"/>
      <c r="EI5" s="17"/>
      <c r="EJ5" s="20"/>
      <c r="EK5" s="20"/>
      <c r="EL5" s="20"/>
      <c r="EM5" s="20"/>
      <c r="EN5" s="20"/>
      <c r="EO5" s="20"/>
      <c r="EP5" s="22"/>
      <c r="EQ5" s="22"/>
      <c r="ER5" s="17"/>
      <c r="ES5" s="20"/>
      <c r="ET5" s="20"/>
      <c r="EU5" s="20"/>
      <c r="EV5" s="20"/>
      <c r="EW5" s="20"/>
      <c r="EX5" s="20"/>
      <c r="EY5" s="22"/>
      <c r="EZ5" s="22"/>
      <c r="FA5" s="17"/>
      <c r="FB5" s="20"/>
      <c r="FC5" s="20"/>
      <c r="FD5" s="20"/>
      <c r="FE5" s="20"/>
      <c r="FF5" s="20"/>
      <c r="FG5" s="20"/>
      <c r="FH5" s="22"/>
      <c r="FI5" s="22"/>
      <c r="FJ5" s="17"/>
      <c r="FK5" s="20"/>
      <c r="FL5" s="20"/>
      <c r="FM5" s="20"/>
      <c r="FN5" s="20"/>
      <c r="FO5" s="20"/>
      <c r="FP5" s="20"/>
      <c r="FQ5" s="22"/>
      <c r="FR5" s="22"/>
      <c r="FS5" s="17"/>
      <c r="FT5" s="20"/>
      <c r="FU5" s="20"/>
      <c r="FV5" s="20"/>
      <c r="FW5" s="20"/>
      <c r="FX5" s="20"/>
      <c r="FY5" s="20"/>
      <c r="FZ5" s="22"/>
      <c r="GA5" s="22"/>
      <c r="GB5" s="17"/>
      <c r="GC5" s="20"/>
      <c r="GD5" s="20"/>
      <c r="GE5" s="20"/>
      <c r="GF5" s="20"/>
      <c r="GG5" s="20"/>
      <c r="GH5" s="20"/>
      <c r="GI5" s="22"/>
      <c r="GJ5" s="22"/>
      <c r="GK5" s="17"/>
      <c r="GL5" s="20"/>
      <c r="GM5" s="20"/>
      <c r="GN5" s="20"/>
      <c r="GO5" s="20"/>
      <c r="GP5" s="20"/>
      <c r="GQ5" s="20"/>
      <c r="GR5" s="22"/>
      <c r="GS5" s="22"/>
      <c r="GT5" s="338">
        <v>42878</v>
      </c>
      <c r="GU5" s="64"/>
      <c r="GV5" s="65"/>
      <c r="GW5" s="66"/>
      <c r="GX5" s="66"/>
      <c r="GY5" s="530" t="s">
        <v>499</v>
      </c>
      <c r="GZ5" s="404">
        <v>3480</v>
      </c>
    </row>
    <row r="6" spans="1:208" x14ac:dyDescent="0.25">
      <c r="B6" s="34"/>
      <c r="C6" s="34"/>
      <c r="D6" s="35"/>
      <c r="E6" s="36"/>
      <c r="F6" s="37"/>
      <c r="G6" s="38"/>
      <c r="H6" s="39"/>
      <c r="I6" s="40"/>
      <c r="J6" s="69" t="s">
        <v>33</v>
      </c>
      <c r="K6" s="407" t="s">
        <v>37</v>
      </c>
      <c r="L6" s="77">
        <v>16820</v>
      </c>
      <c r="M6" s="71">
        <v>42858</v>
      </c>
      <c r="N6" s="418" t="s">
        <v>419</v>
      </c>
      <c r="O6" s="27">
        <v>21370</v>
      </c>
      <c r="P6" s="60">
        <f t="shared" si="0"/>
        <v>4550</v>
      </c>
      <c r="Q6" s="29">
        <v>23.5</v>
      </c>
      <c r="R6" s="57"/>
      <c r="S6" s="57"/>
      <c r="T6" s="39">
        <f t="shared" ref="T6:T69" si="1">Q6*O6</f>
        <v>502195</v>
      </c>
      <c r="U6" s="336" t="s">
        <v>72</v>
      </c>
      <c r="V6" s="166">
        <v>42879</v>
      </c>
      <c r="W6" s="86">
        <v>15080</v>
      </c>
      <c r="X6" s="20"/>
      <c r="Y6" s="20"/>
      <c r="Z6" s="20"/>
      <c r="AA6" s="20"/>
      <c r="AB6" s="20"/>
      <c r="AC6" s="337"/>
      <c r="AD6" s="22"/>
      <c r="AE6" s="17"/>
      <c r="AF6" s="20"/>
      <c r="AG6" s="20"/>
      <c r="AH6" s="20"/>
      <c r="AI6" s="20"/>
      <c r="AJ6" s="20"/>
      <c r="AK6" s="20"/>
      <c r="AL6" s="337"/>
      <c r="AM6" s="22"/>
      <c r="AN6" s="17"/>
      <c r="AO6" s="20"/>
      <c r="AP6" s="20"/>
      <c r="AQ6" s="20"/>
      <c r="AR6" s="20"/>
      <c r="AS6" s="20"/>
      <c r="AT6" s="20"/>
      <c r="AU6" s="337"/>
      <c r="AV6" s="22"/>
      <c r="AW6" s="17"/>
      <c r="AX6" s="20"/>
      <c r="AY6" s="20"/>
      <c r="AZ6" s="20"/>
      <c r="BA6" s="20"/>
      <c r="BB6" s="20"/>
      <c r="BC6" s="20"/>
      <c r="BD6" s="337"/>
      <c r="BE6" s="22"/>
      <c r="BF6" s="17"/>
      <c r="BG6" s="20"/>
      <c r="BH6" s="20"/>
      <c r="BI6" s="20"/>
      <c r="BJ6" s="20"/>
      <c r="BK6" s="20"/>
      <c r="BL6" s="20"/>
      <c r="BM6" s="22"/>
      <c r="BN6" s="22"/>
      <c r="BO6" s="17"/>
      <c r="BP6" s="20"/>
      <c r="BQ6" s="20"/>
      <c r="BR6" s="20"/>
      <c r="BS6" s="20"/>
      <c r="BT6" s="20"/>
      <c r="BU6" s="20"/>
      <c r="BV6" s="22"/>
      <c r="BW6" s="22"/>
      <c r="BX6" s="17"/>
      <c r="BY6" s="20"/>
      <c r="BZ6" s="20"/>
      <c r="CA6" s="20"/>
      <c r="CB6" s="20"/>
      <c r="CC6" s="20"/>
      <c r="CD6" s="20"/>
      <c r="CE6" s="22"/>
      <c r="CF6" s="22"/>
      <c r="CG6" s="17"/>
      <c r="CH6" s="20"/>
      <c r="CI6" s="20"/>
      <c r="CJ6" s="20"/>
      <c r="CK6" s="20"/>
      <c r="CL6" s="20"/>
      <c r="CM6" s="20"/>
      <c r="CN6" s="337"/>
      <c r="CO6" s="22"/>
      <c r="CP6" s="17"/>
      <c r="CQ6" s="20"/>
      <c r="CR6" s="20"/>
      <c r="CS6" s="20"/>
      <c r="CT6" s="20"/>
      <c r="CU6" s="20"/>
      <c r="CV6" s="20"/>
      <c r="CW6" s="22"/>
      <c r="CX6" s="22"/>
      <c r="CY6" s="17"/>
      <c r="CZ6" s="20"/>
      <c r="DA6" s="20"/>
      <c r="DB6" s="20"/>
      <c r="DC6" s="20"/>
      <c r="DD6" s="20"/>
      <c r="DE6" s="20"/>
      <c r="DF6" s="22"/>
      <c r="DG6" s="22"/>
      <c r="DH6" s="17"/>
      <c r="DI6" s="20"/>
      <c r="DJ6" s="20"/>
      <c r="DK6" s="20"/>
      <c r="DL6" s="20"/>
      <c r="DM6" s="20"/>
      <c r="DN6" s="20"/>
      <c r="DO6" s="22"/>
      <c r="DP6" s="22"/>
      <c r="DQ6" s="17"/>
      <c r="DR6" s="20"/>
      <c r="DS6" s="20"/>
      <c r="DT6" s="20"/>
      <c r="DU6" s="20"/>
      <c r="DV6" s="20"/>
      <c r="DW6" s="20"/>
      <c r="DX6" s="22"/>
      <c r="DY6" s="22"/>
      <c r="DZ6" s="17"/>
      <c r="EA6" s="20"/>
      <c r="EB6" s="20"/>
      <c r="EC6" s="20"/>
      <c r="ED6" s="20"/>
      <c r="EE6" s="20"/>
      <c r="EF6" s="20"/>
      <c r="EG6" s="22"/>
      <c r="EH6" s="22"/>
      <c r="EI6" s="17"/>
      <c r="EJ6" s="20"/>
      <c r="EK6" s="20"/>
      <c r="EL6" s="20"/>
      <c r="EM6" s="20"/>
      <c r="EN6" s="20"/>
      <c r="EO6" s="20"/>
      <c r="EP6" s="22"/>
      <c r="EQ6" s="22"/>
      <c r="ER6" s="17"/>
      <c r="ES6" s="20"/>
      <c r="ET6" s="20"/>
      <c r="EU6" s="20"/>
      <c r="EV6" s="20"/>
      <c r="EW6" s="20"/>
      <c r="EX6" s="20"/>
      <c r="EY6" s="22"/>
      <c r="EZ6" s="22"/>
      <c r="FA6" s="17"/>
      <c r="FB6" s="20"/>
      <c r="FC6" s="20"/>
      <c r="FD6" s="20"/>
      <c r="FE6" s="20"/>
      <c r="FF6" s="20"/>
      <c r="FG6" s="20"/>
      <c r="FH6" s="22"/>
      <c r="FI6" s="22"/>
      <c r="FJ6" s="17"/>
      <c r="FK6" s="20"/>
      <c r="FL6" s="20"/>
      <c r="FM6" s="20"/>
      <c r="FN6" s="20"/>
      <c r="FO6" s="20"/>
      <c r="FP6" s="20"/>
      <c r="FQ6" s="22"/>
      <c r="FR6" s="22"/>
      <c r="FS6" s="17"/>
      <c r="FT6" s="20"/>
      <c r="FU6" s="20"/>
      <c r="FV6" s="20"/>
      <c r="FW6" s="20"/>
      <c r="FX6" s="20"/>
      <c r="FY6" s="20"/>
      <c r="FZ6" s="22"/>
      <c r="GA6" s="22"/>
      <c r="GB6" s="17"/>
      <c r="GC6" s="20"/>
      <c r="GD6" s="20"/>
      <c r="GE6" s="20"/>
      <c r="GF6" s="20"/>
      <c r="GG6" s="20"/>
      <c r="GH6" s="20"/>
      <c r="GI6" s="22"/>
      <c r="GJ6" s="22"/>
      <c r="GK6" s="17"/>
      <c r="GL6" s="20"/>
      <c r="GM6" s="20"/>
      <c r="GN6" s="20"/>
      <c r="GO6" s="20"/>
      <c r="GP6" s="20"/>
      <c r="GQ6" s="20"/>
      <c r="GR6" s="22"/>
      <c r="GS6" s="22"/>
      <c r="GT6" s="338">
        <v>42879</v>
      </c>
      <c r="GU6" s="64"/>
      <c r="GV6" s="65">
        <v>22176</v>
      </c>
      <c r="GW6" s="66" t="s">
        <v>392</v>
      </c>
      <c r="GX6" s="66"/>
      <c r="GY6" s="530" t="s">
        <v>499</v>
      </c>
      <c r="GZ6" s="404">
        <v>3480</v>
      </c>
    </row>
    <row r="7" spans="1:208" x14ac:dyDescent="0.25">
      <c r="B7" s="34"/>
      <c r="C7" s="34"/>
      <c r="D7" s="35"/>
      <c r="E7" s="36"/>
      <c r="F7" s="37"/>
      <c r="G7" s="38"/>
      <c r="H7" s="39"/>
      <c r="I7" s="40"/>
      <c r="J7" s="68" t="s">
        <v>42</v>
      </c>
      <c r="K7" s="407" t="s">
        <v>41</v>
      </c>
      <c r="L7" s="70">
        <v>23600</v>
      </c>
      <c r="M7" s="71">
        <v>42859</v>
      </c>
      <c r="N7" s="56" t="s">
        <v>432</v>
      </c>
      <c r="O7" s="72">
        <v>28630</v>
      </c>
      <c r="P7" s="60">
        <f t="shared" si="0"/>
        <v>5030</v>
      </c>
      <c r="Q7" s="64">
        <v>24</v>
      </c>
      <c r="R7" s="57"/>
      <c r="S7" s="57"/>
      <c r="T7" s="39">
        <f t="shared" si="1"/>
        <v>687120</v>
      </c>
      <c r="U7" s="82" t="s">
        <v>72</v>
      </c>
      <c r="V7" s="339">
        <v>42881</v>
      </c>
      <c r="W7" s="340">
        <v>18850</v>
      </c>
      <c r="X7" s="20"/>
      <c r="Y7" s="20"/>
      <c r="Z7" s="20"/>
      <c r="AA7" s="20"/>
      <c r="AB7" s="20"/>
      <c r="AC7" s="337"/>
      <c r="AD7" s="22"/>
      <c r="AE7" s="17"/>
      <c r="AF7" s="20"/>
      <c r="AG7" s="20"/>
      <c r="AH7" s="20"/>
      <c r="AI7" s="20"/>
      <c r="AJ7" s="20"/>
      <c r="AK7" s="20"/>
      <c r="AL7" s="337"/>
      <c r="AM7" s="22"/>
      <c r="AN7" s="17"/>
      <c r="AO7" s="20"/>
      <c r="AP7" s="20"/>
      <c r="AQ7" s="20"/>
      <c r="AR7" s="20"/>
      <c r="AS7" s="20"/>
      <c r="AT7" s="20"/>
      <c r="AU7" s="337"/>
      <c r="AV7" s="22"/>
      <c r="AW7" s="17"/>
      <c r="AX7" s="20"/>
      <c r="AY7" s="20"/>
      <c r="AZ7" s="20"/>
      <c r="BA7" s="20"/>
      <c r="BB7" s="20"/>
      <c r="BC7" s="20"/>
      <c r="BD7" s="337"/>
      <c r="BE7" s="22"/>
      <c r="BF7" s="17"/>
      <c r="BG7" s="20"/>
      <c r="BH7" s="20"/>
      <c r="BI7" s="20"/>
      <c r="BJ7" s="20"/>
      <c r="BK7" s="20"/>
      <c r="BL7" s="20"/>
      <c r="BM7" s="22"/>
      <c r="BN7" s="22"/>
      <c r="BO7" s="17"/>
      <c r="BP7" s="20"/>
      <c r="BQ7" s="20"/>
      <c r="BR7" s="20"/>
      <c r="BS7" s="20"/>
      <c r="BT7" s="20"/>
      <c r="BU7" s="20"/>
      <c r="BV7" s="22"/>
      <c r="BW7" s="22"/>
      <c r="BX7" s="17"/>
      <c r="BY7" s="20"/>
      <c r="BZ7" s="20"/>
      <c r="CA7" s="20"/>
      <c r="CB7" s="20"/>
      <c r="CC7" s="20"/>
      <c r="CD7" s="20"/>
      <c r="CE7" s="22"/>
      <c r="CF7" s="22"/>
      <c r="CG7" s="17"/>
      <c r="CH7" s="20"/>
      <c r="CI7" s="20"/>
      <c r="CJ7" s="20"/>
      <c r="CK7" s="20"/>
      <c r="CL7" s="20"/>
      <c r="CM7" s="20"/>
      <c r="CN7" s="337"/>
      <c r="CO7" s="22"/>
      <c r="CP7" s="17"/>
      <c r="CQ7" s="20"/>
      <c r="CR7" s="20"/>
      <c r="CS7" s="20"/>
      <c r="CT7" s="20"/>
      <c r="CU7" s="20"/>
      <c r="CV7" s="20"/>
      <c r="CW7" s="22"/>
      <c r="CX7" s="22"/>
      <c r="CY7" s="17"/>
      <c r="CZ7" s="20"/>
      <c r="DA7" s="20"/>
      <c r="DB7" s="20"/>
      <c r="DC7" s="20"/>
      <c r="DD7" s="20"/>
      <c r="DE7" s="20"/>
      <c r="DF7" s="22"/>
      <c r="DG7" s="22"/>
      <c r="DH7" s="17"/>
      <c r="DI7" s="20"/>
      <c r="DJ7" s="20"/>
      <c r="DK7" s="20"/>
      <c r="DL7" s="20"/>
      <c r="DM7" s="20"/>
      <c r="DN7" s="20"/>
      <c r="DO7" s="22"/>
      <c r="DP7" s="22"/>
      <c r="DQ7" s="17"/>
      <c r="DR7" s="20"/>
      <c r="DS7" s="20"/>
      <c r="DT7" s="20"/>
      <c r="DU7" s="20"/>
      <c r="DV7" s="20"/>
      <c r="DW7" s="20"/>
      <c r="DX7" s="22"/>
      <c r="DY7" s="22"/>
      <c r="DZ7" s="17"/>
      <c r="EA7" s="20"/>
      <c r="EB7" s="20"/>
      <c r="EC7" s="20"/>
      <c r="ED7" s="20"/>
      <c r="EE7" s="20"/>
      <c r="EF7" s="20"/>
      <c r="EG7" s="22"/>
      <c r="EH7" s="22"/>
      <c r="EI7" s="17"/>
      <c r="EJ7" s="20"/>
      <c r="EK7" s="20"/>
      <c r="EL7" s="20"/>
      <c r="EM7" s="20"/>
      <c r="EN7" s="20"/>
      <c r="EO7" s="20"/>
      <c r="EP7" s="22"/>
      <c r="EQ7" s="22"/>
      <c r="ER7" s="17"/>
      <c r="ES7" s="20"/>
      <c r="ET7" s="20"/>
      <c r="EU7" s="20"/>
      <c r="EV7" s="20"/>
      <c r="EW7" s="20"/>
      <c r="EX7" s="20"/>
      <c r="EY7" s="22"/>
      <c r="EZ7" s="22"/>
      <c r="FA7" s="17"/>
      <c r="FB7" s="20"/>
      <c r="FC7" s="20"/>
      <c r="FD7" s="20"/>
      <c r="FE7" s="20"/>
      <c r="FF7" s="20"/>
      <c r="FG7" s="20"/>
      <c r="FH7" s="22"/>
      <c r="FI7" s="22"/>
      <c r="FJ7" s="17"/>
      <c r="FK7" s="20"/>
      <c r="FL7" s="20"/>
      <c r="FM7" s="20"/>
      <c r="FN7" s="20"/>
      <c r="FO7" s="20"/>
      <c r="FP7" s="20"/>
      <c r="FQ7" s="22"/>
      <c r="FR7" s="22"/>
      <c r="FS7" s="17"/>
      <c r="FT7" s="20"/>
      <c r="FU7" s="20"/>
      <c r="FV7" s="20"/>
      <c r="FW7" s="20"/>
      <c r="FX7" s="20"/>
      <c r="FY7" s="20"/>
      <c r="FZ7" s="22"/>
      <c r="GA7" s="22"/>
      <c r="GB7" s="17"/>
      <c r="GC7" s="20"/>
      <c r="GD7" s="20"/>
      <c r="GE7" s="20"/>
      <c r="GF7" s="20"/>
      <c r="GG7" s="20"/>
      <c r="GH7" s="20"/>
      <c r="GI7" s="22"/>
      <c r="GJ7" s="22"/>
      <c r="GK7" s="17"/>
      <c r="GL7" s="20"/>
      <c r="GM7" s="20"/>
      <c r="GN7" s="20"/>
      <c r="GO7" s="20"/>
      <c r="GP7" s="20"/>
      <c r="GQ7" s="20"/>
      <c r="GR7" s="22"/>
      <c r="GS7" s="22"/>
      <c r="GT7" s="341">
        <v>42881</v>
      </c>
      <c r="GU7" s="73"/>
      <c r="GV7" s="65"/>
      <c r="GW7" s="74"/>
      <c r="GX7" s="74"/>
      <c r="GY7" s="531" t="s">
        <v>499</v>
      </c>
      <c r="GZ7" s="522">
        <v>3480</v>
      </c>
    </row>
    <row r="8" spans="1:208" x14ac:dyDescent="0.25">
      <c r="B8" s="34"/>
      <c r="C8" s="34"/>
      <c r="D8" s="35"/>
      <c r="E8" s="36"/>
      <c r="F8" s="37"/>
      <c r="G8" s="38"/>
      <c r="H8" s="39"/>
      <c r="I8" s="40"/>
      <c r="J8" s="68" t="s">
        <v>38</v>
      </c>
      <c r="K8" s="407" t="s">
        <v>155</v>
      </c>
      <c r="L8" s="77">
        <v>11920</v>
      </c>
      <c r="M8" s="71">
        <v>42859</v>
      </c>
      <c r="N8" s="56" t="s">
        <v>431</v>
      </c>
      <c r="O8" s="78">
        <v>15555</v>
      </c>
      <c r="P8" s="60">
        <f t="shared" si="0"/>
        <v>3635</v>
      </c>
      <c r="Q8" s="79">
        <v>24</v>
      </c>
      <c r="R8" s="80"/>
      <c r="S8" s="81"/>
      <c r="T8" s="39">
        <f t="shared" si="1"/>
        <v>373320</v>
      </c>
      <c r="U8" s="82" t="s">
        <v>72</v>
      </c>
      <c r="V8" s="339">
        <v>42880</v>
      </c>
      <c r="W8" s="340">
        <v>9802</v>
      </c>
      <c r="X8" s="20"/>
      <c r="Y8" s="20"/>
      <c r="Z8" s="20"/>
      <c r="AA8" s="20"/>
      <c r="AB8" s="20"/>
      <c r="AC8" s="337"/>
      <c r="AD8" s="22"/>
      <c r="AE8" s="17"/>
      <c r="AF8" s="20"/>
      <c r="AG8" s="20"/>
      <c r="AH8" s="20"/>
      <c r="AI8" s="20"/>
      <c r="AJ8" s="20"/>
      <c r="AK8" s="20"/>
      <c r="AL8" s="337"/>
      <c r="AM8" s="22"/>
      <c r="AN8" s="17"/>
      <c r="AO8" s="20"/>
      <c r="AP8" s="20"/>
      <c r="AQ8" s="20"/>
      <c r="AR8" s="20"/>
      <c r="AS8" s="20"/>
      <c r="AT8" s="20"/>
      <c r="AU8" s="337"/>
      <c r="AV8" s="22"/>
      <c r="AW8" s="17"/>
      <c r="AX8" s="20"/>
      <c r="AY8" s="20"/>
      <c r="AZ8" s="20"/>
      <c r="BA8" s="20"/>
      <c r="BB8" s="20"/>
      <c r="BC8" s="20"/>
      <c r="BD8" s="337"/>
      <c r="BE8" s="22"/>
      <c r="BF8" s="17"/>
      <c r="BG8" s="20"/>
      <c r="BH8" s="20"/>
      <c r="BI8" s="20"/>
      <c r="BJ8" s="20"/>
      <c r="BK8" s="20"/>
      <c r="BL8" s="20"/>
      <c r="BM8" s="22"/>
      <c r="BN8" s="22"/>
      <c r="BO8" s="17"/>
      <c r="BP8" s="20"/>
      <c r="BQ8" s="20"/>
      <c r="BR8" s="20"/>
      <c r="BS8" s="20"/>
      <c r="BT8" s="20"/>
      <c r="BU8" s="20"/>
      <c r="BV8" s="22"/>
      <c r="BW8" s="22"/>
      <c r="BX8" s="17"/>
      <c r="BY8" s="20"/>
      <c r="BZ8" s="20"/>
      <c r="CA8" s="20"/>
      <c r="CB8" s="20"/>
      <c r="CC8" s="20"/>
      <c r="CD8" s="20"/>
      <c r="CE8" s="22"/>
      <c r="CF8" s="22"/>
      <c r="CG8" s="17"/>
      <c r="CH8" s="20"/>
      <c r="CI8" s="20"/>
      <c r="CJ8" s="20"/>
      <c r="CK8" s="20"/>
      <c r="CL8" s="20"/>
      <c r="CM8" s="20"/>
      <c r="CN8" s="337"/>
      <c r="CO8" s="22"/>
      <c r="CP8" s="17"/>
      <c r="CQ8" s="20"/>
      <c r="CR8" s="20"/>
      <c r="CS8" s="20"/>
      <c r="CT8" s="20"/>
      <c r="CU8" s="20"/>
      <c r="CV8" s="20"/>
      <c r="CW8" s="22"/>
      <c r="CX8" s="22"/>
      <c r="CY8" s="17"/>
      <c r="CZ8" s="20"/>
      <c r="DA8" s="20"/>
      <c r="DB8" s="20"/>
      <c r="DC8" s="20"/>
      <c r="DD8" s="20"/>
      <c r="DE8" s="20"/>
      <c r="DF8" s="22"/>
      <c r="DG8" s="22"/>
      <c r="DH8" s="17"/>
      <c r="DI8" s="20"/>
      <c r="DJ8" s="20"/>
      <c r="DK8" s="20"/>
      <c r="DL8" s="20"/>
      <c r="DM8" s="20"/>
      <c r="DN8" s="20"/>
      <c r="DO8" s="22"/>
      <c r="DP8" s="22"/>
      <c r="DQ8" s="17"/>
      <c r="DR8" s="20"/>
      <c r="DS8" s="20"/>
      <c r="DT8" s="20"/>
      <c r="DU8" s="20"/>
      <c r="DV8" s="20"/>
      <c r="DW8" s="20"/>
      <c r="DX8" s="22"/>
      <c r="DY8" s="22"/>
      <c r="DZ8" s="17"/>
      <c r="EA8" s="20"/>
      <c r="EB8" s="20"/>
      <c r="EC8" s="20"/>
      <c r="ED8" s="20"/>
      <c r="EE8" s="20"/>
      <c r="EF8" s="20"/>
      <c r="EG8" s="22"/>
      <c r="EH8" s="22"/>
      <c r="EI8" s="17"/>
      <c r="EJ8" s="20"/>
      <c r="EK8" s="20"/>
      <c r="EL8" s="20"/>
      <c r="EM8" s="20"/>
      <c r="EN8" s="20"/>
      <c r="EO8" s="20"/>
      <c r="EP8" s="22"/>
      <c r="EQ8" s="22"/>
      <c r="ER8" s="17"/>
      <c r="ES8" s="20"/>
      <c r="ET8" s="20"/>
      <c r="EU8" s="20"/>
      <c r="EV8" s="20"/>
      <c r="EW8" s="20"/>
      <c r="EX8" s="20"/>
      <c r="EY8" s="22"/>
      <c r="EZ8" s="22"/>
      <c r="FA8" s="17"/>
      <c r="FB8" s="20"/>
      <c r="FC8" s="20"/>
      <c r="FD8" s="20"/>
      <c r="FE8" s="20"/>
      <c r="FF8" s="20"/>
      <c r="FG8" s="20"/>
      <c r="FH8" s="22"/>
      <c r="FI8" s="22"/>
      <c r="FJ8" s="17"/>
      <c r="FK8" s="20"/>
      <c r="FL8" s="20"/>
      <c r="FM8" s="20"/>
      <c r="FN8" s="20"/>
      <c r="FO8" s="20"/>
      <c r="FP8" s="20"/>
      <c r="FQ8" s="22"/>
      <c r="FR8" s="22"/>
      <c r="FS8" s="17"/>
      <c r="FT8" s="20"/>
      <c r="FU8" s="20"/>
      <c r="FV8" s="20"/>
      <c r="FW8" s="20"/>
      <c r="FX8" s="20"/>
      <c r="FY8" s="20"/>
      <c r="FZ8" s="22"/>
      <c r="GA8" s="22"/>
      <c r="GB8" s="17"/>
      <c r="GC8" s="20"/>
      <c r="GD8" s="20"/>
      <c r="GE8" s="20"/>
      <c r="GF8" s="20"/>
      <c r="GG8" s="20"/>
      <c r="GH8" s="20"/>
      <c r="GI8" s="22"/>
      <c r="GJ8" s="22"/>
      <c r="GK8" s="17"/>
      <c r="GL8" s="20"/>
      <c r="GM8" s="20"/>
      <c r="GN8" s="20"/>
      <c r="GO8" s="20"/>
      <c r="GP8" s="20"/>
      <c r="GQ8" s="20"/>
      <c r="GR8" s="22"/>
      <c r="GS8" s="22"/>
      <c r="GT8" s="515">
        <v>42880</v>
      </c>
      <c r="GU8" s="73"/>
      <c r="GV8" s="84">
        <v>17584</v>
      </c>
      <c r="GW8" s="74" t="s">
        <v>393</v>
      </c>
      <c r="GX8" s="74"/>
      <c r="GY8" s="531" t="s">
        <v>499</v>
      </c>
      <c r="GZ8" s="404">
        <v>2088</v>
      </c>
    </row>
    <row r="9" spans="1:208" x14ac:dyDescent="0.25">
      <c r="C9" s="87"/>
      <c r="D9" s="35"/>
      <c r="E9" s="36"/>
      <c r="F9" s="37"/>
      <c r="G9" s="38"/>
      <c r="H9" s="39"/>
      <c r="I9" s="40"/>
      <c r="J9" s="88" t="s">
        <v>42</v>
      </c>
      <c r="K9" s="407" t="s">
        <v>41</v>
      </c>
      <c r="L9" s="77">
        <v>23150</v>
      </c>
      <c r="M9" s="71">
        <v>42860</v>
      </c>
      <c r="N9" s="56" t="s">
        <v>441</v>
      </c>
      <c r="O9" s="78">
        <v>29805</v>
      </c>
      <c r="P9" s="60">
        <f t="shared" si="0"/>
        <v>6655</v>
      </c>
      <c r="Q9" s="79">
        <v>24</v>
      </c>
      <c r="R9" s="64"/>
      <c r="S9" s="89"/>
      <c r="T9" s="39">
        <f t="shared" si="1"/>
        <v>715320</v>
      </c>
      <c r="U9" s="90" t="s">
        <v>72</v>
      </c>
      <c r="V9" s="83">
        <v>42884</v>
      </c>
      <c r="W9" s="91">
        <v>18850</v>
      </c>
      <c r="X9" s="17"/>
      <c r="Y9" s="20"/>
      <c r="Z9" s="92"/>
      <c r="AA9" s="93"/>
      <c r="AB9" s="92"/>
      <c r="AC9" s="94"/>
      <c r="AD9" s="95"/>
      <c r="AE9" s="17"/>
      <c r="AF9" s="17"/>
      <c r="AG9" s="17"/>
      <c r="AH9" s="20"/>
      <c r="AI9" s="92"/>
      <c r="AJ9" s="93"/>
      <c r="AK9" s="92"/>
      <c r="AL9" s="94"/>
      <c r="AM9" s="95"/>
      <c r="AN9" s="17"/>
      <c r="AO9" s="17"/>
      <c r="AP9" s="17"/>
      <c r="AQ9" s="20"/>
      <c r="AR9" s="92"/>
      <c r="AS9" s="93"/>
      <c r="AT9" s="92"/>
      <c r="AU9" s="94"/>
      <c r="AV9" s="95"/>
      <c r="AW9" s="17"/>
      <c r="AX9" s="17"/>
      <c r="AY9" s="17"/>
      <c r="AZ9" s="20"/>
      <c r="BA9" s="92"/>
      <c r="BB9" s="93"/>
      <c r="BC9" s="92"/>
      <c r="BD9" s="94"/>
      <c r="BE9" s="95"/>
      <c r="BF9" s="17"/>
      <c r="BG9" s="17"/>
      <c r="BH9" s="17"/>
      <c r="BI9" s="20"/>
      <c r="BJ9" s="92"/>
      <c r="BK9" s="93"/>
      <c r="BL9" s="92"/>
      <c r="BM9" s="94"/>
      <c r="BN9" s="95"/>
      <c r="BO9" s="17"/>
      <c r="BP9" s="17"/>
      <c r="BQ9" s="17"/>
      <c r="BR9" s="20"/>
      <c r="BS9" s="92"/>
      <c r="BT9" s="93"/>
      <c r="BU9" s="92"/>
      <c r="BV9" s="94"/>
      <c r="BW9" s="95"/>
      <c r="BX9" s="17"/>
      <c r="BY9" s="17"/>
      <c r="BZ9" s="17"/>
      <c r="CA9" s="20"/>
      <c r="CB9" s="92"/>
      <c r="CC9" s="93"/>
      <c r="CD9" s="92"/>
      <c r="CE9" s="94"/>
      <c r="CF9" s="95"/>
      <c r="CG9" s="17"/>
      <c r="CH9" s="17"/>
      <c r="CI9" s="17"/>
      <c r="CJ9" s="20"/>
      <c r="CK9" s="92"/>
      <c r="CL9" s="93"/>
      <c r="CM9" s="92"/>
      <c r="CN9" s="94"/>
      <c r="CO9" s="95"/>
      <c r="CP9" s="17"/>
      <c r="CQ9" s="17"/>
      <c r="CR9" s="17"/>
      <c r="CS9" s="20"/>
      <c r="CT9" s="92"/>
      <c r="CU9" s="93"/>
      <c r="CV9" s="96"/>
      <c r="CW9" s="94"/>
      <c r="CX9" s="95"/>
      <c r="CY9" s="17"/>
      <c r="CZ9" s="17"/>
      <c r="DA9" s="17"/>
      <c r="DB9" s="20"/>
      <c r="DC9" s="92"/>
      <c r="DD9" s="93"/>
      <c r="DE9" s="92"/>
      <c r="DF9" s="94"/>
      <c r="DG9" s="95"/>
      <c r="DH9" s="17"/>
      <c r="DI9" s="17"/>
      <c r="DJ9" s="17"/>
      <c r="DK9" s="20"/>
      <c r="DL9" s="92"/>
      <c r="DM9" s="93"/>
      <c r="DN9" s="92"/>
      <c r="DO9" s="94"/>
      <c r="DP9" s="95"/>
      <c r="DQ9" s="17"/>
      <c r="DR9" s="17"/>
      <c r="DS9" s="17"/>
      <c r="DT9" s="20"/>
      <c r="DU9" s="92"/>
      <c r="DV9" s="93"/>
      <c r="DW9" s="92"/>
      <c r="DX9" s="94"/>
      <c r="DY9" s="95"/>
      <c r="DZ9" s="17"/>
      <c r="EA9" s="17"/>
      <c r="EB9" s="17"/>
      <c r="EC9" s="20"/>
      <c r="ED9" s="92"/>
      <c r="EE9" s="93"/>
      <c r="EF9" s="92"/>
      <c r="EG9" s="94"/>
      <c r="EH9" s="95"/>
      <c r="EI9" s="17"/>
      <c r="EJ9" s="17"/>
      <c r="EK9" s="17"/>
      <c r="EL9" s="20"/>
      <c r="EM9" s="92"/>
      <c r="EN9" s="93"/>
      <c r="EO9" s="92"/>
      <c r="EP9" s="94"/>
      <c r="EQ9" s="95"/>
      <c r="ER9" s="17"/>
      <c r="ES9" s="17"/>
      <c r="ET9" s="17"/>
      <c r="EU9" s="20"/>
      <c r="EV9" s="92"/>
      <c r="EW9" s="93"/>
      <c r="EX9" s="92"/>
      <c r="EY9" s="94"/>
      <c r="EZ9" s="95"/>
      <c r="FA9" s="17"/>
      <c r="FB9" s="17"/>
      <c r="FC9" s="17"/>
      <c r="FD9" s="20"/>
      <c r="FE9" s="92"/>
      <c r="FF9" s="93"/>
      <c r="FG9" s="92"/>
      <c r="FH9" s="94"/>
      <c r="FI9" s="95"/>
      <c r="FJ9" s="17"/>
      <c r="FK9" s="17"/>
      <c r="FL9" s="17"/>
      <c r="FM9" s="20"/>
      <c r="FN9" s="92"/>
      <c r="FO9" s="93"/>
      <c r="FP9" s="92"/>
      <c r="FQ9" s="94"/>
      <c r="FR9" s="95"/>
      <c r="FS9" s="17"/>
      <c r="FT9" s="17"/>
      <c r="FU9" s="17"/>
      <c r="FV9" s="20"/>
      <c r="FW9" s="92"/>
      <c r="FX9" s="93"/>
      <c r="FY9" s="92"/>
      <c r="FZ9" s="94"/>
      <c r="GA9" s="95"/>
      <c r="GB9" s="17"/>
      <c r="GC9" s="17"/>
      <c r="GD9" s="17"/>
      <c r="GE9" s="20"/>
      <c r="GF9" s="92"/>
      <c r="GG9" s="93"/>
      <c r="GH9" s="92"/>
      <c r="GI9" s="94"/>
      <c r="GJ9" s="95"/>
      <c r="GK9" s="17"/>
      <c r="GL9" s="17"/>
      <c r="GM9" s="17"/>
      <c r="GN9" s="20"/>
      <c r="GO9" s="92"/>
      <c r="GP9" s="93"/>
      <c r="GQ9" s="92"/>
      <c r="GR9" s="94"/>
      <c r="GS9" s="95"/>
      <c r="GT9" s="97">
        <v>42884</v>
      </c>
      <c r="GU9" s="98"/>
      <c r="GV9" s="65">
        <v>22176</v>
      </c>
      <c r="GW9" s="74" t="s">
        <v>395</v>
      </c>
      <c r="GX9" s="74"/>
      <c r="GY9" s="531" t="s">
        <v>499</v>
      </c>
      <c r="GZ9" s="404">
        <v>3480</v>
      </c>
    </row>
    <row r="10" spans="1:208" x14ac:dyDescent="0.25">
      <c r="C10" s="87"/>
      <c r="D10" s="35"/>
      <c r="E10" s="36"/>
      <c r="F10" s="37"/>
      <c r="G10" s="38"/>
      <c r="H10" s="39"/>
      <c r="I10" s="40"/>
      <c r="J10" s="88" t="s">
        <v>33</v>
      </c>
      <c r="K10" s="407" t="s">
        <v>35</v>
      </c>
      <c r="L10" s="77">
        <v>12230</v>
      </c>
      <c r="M10" s="71">
        <v>42860</v>
      </c>
      <c r="N10" s="56" t="s">
        <v>440</v>
      </c>
      <c r="O10" s="78">
        <v>15170</v>
      </c>
      <c r="P10" s="60">
        <v>24</v>
      </c>
      <c r="Q10" s="79">
        <v>24</v>
      </c>
      <c r="R10" s="64"/>
      <c r="S10" s="89"/>
      <c r="T10" s="39">
        <f t="shared" si="1"/>
        <v>364080</v>
      </c>
      <c r="U10" s="90" t="s">
        <v>72</v>
      </c>
      <c r="V10" s="83">
        <v>42884</v>
      </c>
      <c r="W10" s="91">
        <v>9802</v>
      </c>
      <c r="X10" s="17"/>
      <c r="Y10" s="20"/>
      <c r="Z10" s="92"/>
      <c r="AA10" s="93"/>
      <c r="AB10" s="92"/>
      <c r="AC10" s="94"/>
      <c r="AD10" s="95"/>
      <c r="AE10" s="17"/>
      <c r="AF10" s="17"/>
      <c r="AG10" s="17"/>
      <c r="AH10" s="20"/>
      <c r="AI10" s="92"/>
      <c r="AJ10" s="93"/>
      <c r="AK10" s="92"/>
      <c r="AL10" s="94"/>
      <c r="AM10" s="95"/>
      <c r="AN10" s="17"/>
      <c r="AO10" s="17"/>
      <c r="AP10" s="17"/>
      <c r="AQ10" s="20"/>
      <c r="AR10" s="92"/>
      <c r="AS10" s="93"/>
      <c r="AT10" s="92"/>
      <c r="AU10" s="94"/>
      <c r="AV10" s="95"/>
      <c r="AW10" s="17"/>
      <c r="AX10" s="17"/>
      <c r="AY10" s="17"/>
      <c r="AZ10" s="20"/>
      <c r="BA10" s="92"/>
      <c r="BB10" s="93"/>
      <c r="BC10" s="92"/>
      <c r="BD10" s="94"/>
      <c r="BE10" s="95"/>
      <c r="BF10" s="17"/>
      <c r="BG10" s="17"/>
      <c r="BH10" s="17"/>
      <c r="BI10" s="20"/>
      <c r="BJ10" s="92"/>
      <c r="BK10" s="93"/>
      <c r="BL10" s="92"/>
      <c r="BM10" s="94"/>
      <c r="BN10" s="95"/>
      <c r="BO10" s="17"/>
      <c r="BP10" s="17"/>
      <c r="BQ10" s="17"/>
      <c r="BR10" s="20"/>
      <c r="BS10" s="92"/>
      <c r="BT10" s="93"/>
      <c r="BU10" s="92"/>
      <c r="BV10" s="94"/>
      <c r="BW10" s="95"/>
      <c r="BX10" s="17"/>
      <c r="BY10" s="17"/>
      <c r="BZ10" s="17"/>
      <c r="CA10" s="20"/>
      <c r="CB10" s="92"/>
      <c r="CC10" s="93"/>
      <c r="CD10" s="92"/>
      <c r="CE10" s="94"/>
      <c r="CF10" s="95"/>
      <c r="CG10" s="17"/>
      <c r="CH10" s="17"/>
      <c r="CI10" s="17"/>
      <c r="CJ10" s="20"/>
      <c r="CK10" s="92"/>
      <c r="CL10" s="93"/>
      <c r="CM10" s="92"/>
      <c r="CN10" s="94"/>
      <c r="CO10" s="95"/>
      <c r="CP10" s="17"/>
      <c r="CQ10" s="17"/>
      <c r="CR10" s="17"/>
      <c r="CS10" s="20"/>
      <c r="CT10" s="92"/>
      <c r="CU10" s="93"/>
      <c r="CV10" s="96"/>
      <c r="CW10" s="94"/>
      <c r="CX10" s="95"/>
      <c r="CY10" s="17"/>
      <c r="CZ10" s="17"/>
      <c r="DA10" s="17"/>
      <c r="DB10" s="20"/>
      <c r="DC10" s="92"/>
      <c r="DD10" s="93"/>
      <c r="DE10" s="92"/>
      <c r="DF10" s="94"/>
      <c r="DG10" s="95"/>
      <c r="DH10" s="17"/>
      <c r="DI10" s="17"/>
      <c r="DJ10" s="17"/>
      <c r="DK10" s="20"/>
      <c r="DL10" s="92"/>
      <c r="DM10" s="93"/>
      <c r="DN10" s="92"/>
      <c r="DO10" s="94"/>
      <c r="DP10" s="95"/>
      <c r="DQ10" s="17"/>
      <c r="DR10" s="17"/>
      <c r="DS10" s="17"/>
      <c r="DT10" s="20"/>
      <c r="DU10" s="92"/>
      <c r="DV10" s="93"/>
      <c r="DW10" s="92"/>
      <c r="DX10" s="94"/>
      <c r="DY10" s="95"/>
      <c r="DZ10" s="17"/>
      <c r="EA10" s="17"/>
      <c r="EB10" s="17"/>
      <c r="EC10" s="20"/>
      <c r="ED10" s="92"/>
      <c r="EE10" s="93"/>
      <c r="EF10" s="92"/>
      <c r="EG10" s="94"/>
      <c r="EH10" s="95"/>
      <c r="EI10" s="17"/>
      <c r="EJ10" s="17"/>
      <c r="EK10" s="17"/>
      <c r="EL10" s="20"/>
      <c r="EM10" s="92"/>
      <c r="EN10" s="93"/>
      <c r="EO10" s="92"/>
      <c r="EP10" s="94"/>
      <c r="EQ10" s="95"/>
      <c r="ER10" s="17"/>
      <c r="ES10" s="17"/>
      <c r="ET10" s="17"/>
      <c r="EU10" s="20"/>
      <c r="EV10" s="92"/>
      <c r="EW10" s="93"/>
      <c r="EX10" s="92"/>
      <c r="EY10" s="94"/>
      <c r="EZ10" s="95"/>
      <c r="FA10" s="17"/>
      <c r="FB10" s="17"/>
      <c r="FC10" s="17"/>
      <c r="FD10" s="20"/>
      <c r="FE10" s="92"/>
      <c r="FF10" s="93"/>
      <c r="FG10" s="92"/>
      <c r="FH10" s="94"/>
      <c r="FI10" s="95"/>
      <c r="FJ10" s="17"/>
      <c r="FK10" s="17"/>
      <c r="FL10" s="17"/>
      <c r="FM10" s="20"/>
      <c r="FN10" s="92"/>
      <c r="FO10" s="93"/>
      <c r="FP10" s="92"/>
      <c r="FQ10" s="94"/>
      <c r="FR10" s="95"/>
      <c r="FS10" s="17"/>
      <c r="FT10" s="17"/>
      <c r="FU10" s="17"/>
      <c r="FV10" s="20"/>
      <c r="FW10" s="92"/>
      <c r="FX10" s="93"/>
      <c r="FY10" s="92"/>
      <c r="FZ10" s="94"/>
      <c r="GA10" s="95"/>
      <c r="GB10" s="17"/>
      <c r="GC10" s="17"/>
      <c r="GD10" s="17"/>
      <c r="GE10" s="20"/>
      <c r="GF10" s="92"/>
      <c r="GG10" s="93"/>
      <c r="GH10" s="92"/>
      <c r="GI10" s="94"/>
      <c r="GJ10" s="95"/>
      <c r="GK10" s="17"/>
      <c r="GL10" s="17"/>
      <c r="GM10" s="17"/>
      <c r="GN10" s="20"/>
      <c r="GO10" s="92"/>
      <c r="GP10" s="93"/>
      <c r="GQ10" s="92"/>
      <c r="GR10" s="94"/>
      <c r="GS10" s="95"/>
      <c r="GT10" s="97">
        <v>42884</v>
      </c>
      <c r="GU10" s="98"/>
      <c r="GV10" s="65">
        <v>17584</v>
      </c>
      <c r="GW10" s="74" t="s">
        <v>394</v>
      </c>
      <c r="GX10" s="74"/>
      <c r="GY10" s="531" t="s">
        <v>499</v>
      </c>
      <c r="GZ10" s="404">
        <v>2088</v>
      </c>
    </row>
    <row r="11" spans="1:208" x14ac:dyDescent="0.25">
      <c r="C11" s="87"/>
      <c r="D11" s="35"/>
      <c r="E11" s="36"/>
      <c r="F11" s="37"/>
      <c r="G11" s="38"/>
      <c r="H11" s="39"/>
      <c r="I11" s="40"/>
      <c r="J11" s="68" t="s">
        <v>33</v>
      </c>
      <c r="K11" s="407" t="s">
        <v>35</v>
      </c>
      <c r="L11" s="70">
        <v>11860</v>
      </c>
      <c r="M11" s="71">
        <v>42862</v>
      </c>
      <c r="N11" s="56" t="s">
        <v>442</v>
      </c>
      <c r="O11" s="72">
        <v>14910</v>
      </c>
      <c r="P11" s="60">
        <f t="shared" si="0"/>
        <v>3050</v>
      </c>
      <c r="Q11" s="64">
        <v>24</v>
      </c>
      <c r="R11" s="64"/>
      <c r="S11" s="99"/>
      <c r="T11" s="39">
        <f t="shared" si="1"/>
        <v>357840</v>
      </c>
      <c r="U11" s="90" t="s">
        <v>72</v>
      </c>
      <c r="V11" s="83">
        <v>42884</v>
      </c>
      <c r="W11" s="91">
        <v>9802</v>
      </c>
      <c r="X11" s="17"/>
      <c r="Y11" s="20"/>
      <c r="Z11" s="92"/>
      <c r="AA11" s="93"/>
      <c r="AB11" s="92"/>
      <c r="AC11" s="94"/>
      <c r="AD11" s="95"/>
      <c r="AE11" s="17"/>
      <c r="AF11" s="17"/>
      <c r="AG11" s="17"/>
      <c r="AH11" s="20"/>
      <c r="AI11" s="92"/>
      <c r="AJ11" s="93"/>
      <c r="AK11" s="92"/>
      <c r="AL11" s="94"/>
      <c r="AM11" s="95"/>
      <c r="AN11" s="17"/>
      <c r="AO11" s="17"/>
      <c r="AP11" s="17"/>
      <c r="AQ11" s="20"/>
      <c r="AR11" s="92"/>
      <c r="AS11" s="93"/>
      <c r="AT11" s="92"/>
      <c r="AU11" s="94"/>
      <c r="AV11" s="95"/>
      <c r="AW11" s="17"/>
      <c r="AX11" s="17"/>
      <c r="AY11" s="17"/>
      <c r="AZ11" s="20"/>
      <c r="BA11" s="92"/>
      <c r="BB11" s="93"/>
      <c r="BC11" s="92"/>
      <c r="BD11" s="94"/>
      <c r="BE11" s="95"/>
      <c r="BF11" s="17"/>
      <c r="BG11" s="17"/>
      <c r="BH11" s="17"/>
      <c r="BI11" s="20"/>
      <c r="BJ11" s="92"/>
      <c r="BK11" s="93"/>
      <c r="BL11" s="92"/>
      <c r="BM11" s="94"/>
      <c r="BN11" s="95"/>
      <c r="BO11" s="17"/>
      <c r="BP11" s="17"/>
      <c r="BQ11" s="17"/>
      <c r="BR11" s="20"/>
      <c r="BS11" s="92"/>
      <c r="BT11" s="93"/>
      <c r="BU11" s="92"/>
      <c r="BV11" s="94"/>
      <c r="BW11" s="95"/>
      <c r="BX11" s="17"/>
      <c r="BY11" s="17"/>
      <c r="BZ11" s="17"/>
      <c r="CA11" s="20"/>
      <c r="CB11" s="92"/>
      <c r="CC11" s="93"/>
      <c r="CD11" s="92"/>
      <c r="CE11" s="94"/>
      <c r="CF11" s="95"/>
      <c r="CG11" s="17"/>
      <c r="CH11" s="17"/>
      <c r="CI11" s="17"/>
      <c r="CJ11" s="20"/>
      <c r="CK11" s="92"/>
      <c r="CL11" s="93"/>
      <c r="CM11" s="92"/>
      <c r="CN11" s="94"/>
      <c r="CO11" s="95"/>
      <c r="CP11" s="17"/>
      <c r="CQ11" s="17"/>
      <c r="CR11" s="17"/>
      <c r="CS11" s="20"/>
      <c r="CT11" s="92"/>
      <c r="CU11" s="93"/>
      <c r="CV11" s="96"/>
      <c r="CW11" s="94"/>
      <c r="CX11" s="95"/>
      <c r="CY11" s="17"/>
      <c r="CZ11" s="17"/>
      <c r="DA11" s="17"/>
      <c r="DB11" s="20"/>
      <c r="DC11" s="92"/>
      <c r="DD11" s="93"/>
      <c r="DE11" s="92"/>
      <c r="DF11" s="94"/>
      <c r="DG11" s="95"/>
      <c r="DH11" s="17"/>
      <c r="DI11" s="17"/>
      <c r="DJ11" s="17"/>
      <c r="DK11" s="20"/>
      <c r="DL11" s="92"/>
      <c r="DM11" s="93"/>
      <c r="DN11" s="92"/>
      <c r="DO11" s="94"/>
      <c r="DP11" s="95"/>
      <c r="DQ11" s="17"/>
      <c r="DR11" s="17"/>
      <c r="DS11" s="17"/>
      <c r="DT11" s="20"/>
      <c r="DU11" s="92"/>
      <c r="DV11" s="93"/>
      <c r="DW11" s="92"/>
      <c r="DX11" s="94"/>
      <c r="DY11" s="95"/>
      <c r="DZ11" s="17"/>
      <c r="EA11" s="17"/>
      <c r="EB11" s="17"/>
      <c r="EC11" s="20"/>
      <c r="ED11" s="92"/>
      <c r="EE11" s="93"/>
      <c r="EF11" s="92"/>
      <c r="EG11" s="94"/>
      <c r="EH11" s="95"/>
      <c r="EI11" s="17"/>
      <c r="EJ11" s="17"/>
      <c r="EK11" s="17"/>
      <c r="EL11" s="20"/>
      <c r="EM11" s="92"/>
      <c r="EN11" s="93"/>
      <c r="EO11" s="92"/>
      <c r="EP11" s="94"/>
      <c r="EQ11" s="95"/>
      <c r="ER11" s="17"/>
      <c r="ES11" s="17"/>
      <c r="ET11" s="17"/>
      <c r="EU11" s="20"/>
      <c r="EV11" s="92"/>
      <c r="EW11" s="93"/>
      <c r="EX11" s="92"/>
      <c r="EY11" s="94"/>
      <c r="EZ11" s="95"/>
      <c r="FA11" s="17"/>
      <c r="FB11" s="17"/>
      <c r="FC11" s="17"/>
      <c r="FD11" s="20"/>
      <c r="FE11" s="92"/>
      <c r="FF11" s="93"/>
      <c r="FG11" s="92"/>
      <c r="FH11" s="94"/>
      <c r="FI11" s="95"/>
      <c r="FJ11" s="17"/>
      <c r="FK11" s="17"/>
      <c r="FL11" s="17"/>
      <c r="FM11" s="20"/>
      <c r="FN11" s="92"/>
      <c r="FO11" s="93"/>
      <c r="FP11" s="92"/>
      <c r="FQ11" s="94"/>
      <c r="FR11" s="95"/>
      <c r="FS11" s="17"/>
      <c r="FT11" s="17"/>
      <c r="FU11" s="17"/>
      <c r="FV11" s="20"/>
      <c r="FW11" s="92"/>
      <c r="FX11" s="93"/>
      <c r="FY11" s="92"/>
      <c r="FZ11" s="94"/>
      <c r="GA11" s="95"/>
      <c r="GB11" s="17"/>
      <c r="GC11" s="17"/>
      <c r="GD11" s="17"/>
      <c r="GE11" s="20"/>
      <c r="GF11" s="92"/>
      <c r="GG11" s="93"/>
      <c r="GH11" s="92"/>
      <c r="GI11" s="94"/>
      <c r="GJ11" s="95"/>
      <c r="GK11" s="17"/>
      <c r="GL11" s="17"/>
      <c r="GM11" s="17"/>
      <c r="GN11" s="20"/>
      <c r="GO11" s="92"/>
      <c r="GP11" s="93"/>
      <c r="GQ11" s="92"/>
      <c r="GR11" s="94"/>
      <c r="GS11" s="95"/>
      <c r="GT11" s="97">
        <v>42884</v>
      </c>
      <c r="GU11" s="98"/>
      <c r="GV11" s="65">
        <v>17584</v>
      </c>
      <c r="GW11" s="74" t="s">
        <v>407</v>
      </c>
      <c r="GX11" s="74"/>
      <c r="GY11" s="531" t="s">
        <v>499</v>
      </c>
      <c r="GZ11" s="404">
        <v>2088</v>
      </c>
    </row>
    <row r="12" spans="1:208" x14ac:dyDescent="0.25">
      <c r="C12" s="87"/>
      <c r="D12" s="35"/>
      <c r="E12" s="36"/>
      <c r="F12" s="37"/>
      <c r="G12" s="38"/>
      <c r="H12" s="39"/>
      <c r="I12" s="40"/>
      <c r="J12" s="68" t="s">
        <v>42</v>
      </c>
      <c r="K12" s="449" t="s">
        <v>37</v>
      </c>
      <c r="L12" s="101">
        <v>19540</v>
      </c>
      <c r="M12" s="102">
        <v>42862</v>
      </c>
      <c r="N12" s="103" t="s">
        <v>444</v>
      </c>
      <c r="O12" s="104">
        <v>24190</v>
      </c>
      <c r="P12" s="60">
        <f t="shared" si="0"/>
        <v>4650</v>
      </c>
      <c r="Q12" s="29">
        <v>24</v>
      </c>
      <c r="R12" s="105"/>
      <c r="S12" s="106"/>
      <c r="T12" s="39">
        <f t="shared" si="1"/>
        <v>580560</v>
      </c>
      <c r="U12" s="107" t="s">
        <v>72</v>
      </c>
      <c r="V12" s="108">
        <v>42885</v>
      </c>
      <c r="W12" s="109">
        <v>15080</v>
      </c>
      <c r="X12" s="17"/>
      <c r="Y12" s="20"/>
      <c r="Z12" s="92"/>
      <c r="AA12" s="93"/>
      <c r="AB12" s="92"/>
      <c r="AC12" s="94"/>
      <c r="AD12" s="95"/>
      <c r="AE12" s="17"/>
      <c r="AF12" s="17"/>
      <c r="AG12" s="17"/>
      <c r="AH12" s="20"/>
      <c r="AI12" s="92"/>
      <c r="AJ12" s="93"/>
      <c r="AK12" s="92"/>
      <c r="AL12" s="94"/>
      <c r="AM12" s="95"/>
      <c r="AN12" s="17"/>
      <c r="AO12" s="17"/>
      <c r="AP12" s="17"/>
      <c r="AQ12" s="20"/>
      <c r="AR12" s="92"/>
      <c r="AS12" s="93"/>
      <c r="AT12" s="92"/>
      <c r="AU12" s="94"/>
      <c r="AV12" s="95"/>
      <c r="AW12" s="17"/>
      <c r="AX12" s="17"/>
      <c r="AY12" s="17"/>
      <c r="AZ12" s="20"/>
      <c r="BA12" s="92"/>
      <c r="BB12" s="93"/>
      <c r="BC12" s="92"/>
      <c r="BD12" s="94"/>
      <c r="BE12" s="95"/>
      <c r="BF12" s="17"/>
      <c r="BG12" s="17"/>
      <c r="BH12" s="17"/>
      <c r="BI12" s="20"/>
      <c r="BJ12" s="92"/>
      <c r="BK12" s="93"/>
      <c r="BL12" s="92"/>
      <c r="BM12" s="94"/>
      <c r="BN12" s="95"/>
      <c r="BO12" s="17"/>
      <c r="BP12" s="17"/>
      <c r="BQ12" s="17"/>
      <c r="BR12" s="20"/>
      <c r="BS12" s="92"/>
      <c r="BT12" s="93"/>
      <c r="BU12" s="92"/>
      <c r="BV12" s="94"/>
      <c r="BW12" s="95"/>
      <c r="BX12" s="17"/>
      <c r="BY12" s="17"/>
      <c r="BZ12" s="17"/>
      <c r="CA12" s="20"/>
      <c r="CB12" s="92"/>
      <c r="CC12" s="93"/>
      <c r="CD12" s="92"/>
      <c r="CE12" s="94"/>
      <c r="CF12" s="95"/>
      <c r="CG12" s="17"/>
      <c r="CH12" s="17"/>
      <c r="CI12" s="17"/>
      <c r="CJ12" s="20"/>
      <c r="CK12" s="92"/>
      <c r="CL12" s="93"/>
      <c r="CM12" s="92"/>
      <c r="CN12" s="94"/>
      <c r="CO12" s="95"/>
      <c r="CP12" s="17"/>
      <c r="CQ12" s="17"/>
      <c r="CR12" s="17"/>
      <c r="CS12" s="20"/>
      <c r="CT12" s="92"/>
      <c r="CU12" s="93"/>
      <c r="CV12" s="96"/>
      <c r="CW12" s="94"/>
      <c r="CX12" s="95"/>
      <c r="CY12" s="17"/>
      <c r="CZ12" s="17"/>
      <c r="DA12" s="17"/>
      <c r="DB12" s="20"/>
      <c r="DC12" s="92"/>
      <c r="DD12" s="93"/>
      <c r="DE12" s="92"/>
      <c r="DF12" s="94"/>
      <c r="DG12" s="95"/>
      <c r="DH12" s="17"/>
      <c r="DI12" s="17"/>
      <c r="DJ12" s="17"/>
      <c r="DK12" s="20"/>
      <c r="DL12" s="92"/>
      <c r="DM12" s="93"/>
      <c r="DN12" s="92"/>
      <c r="DO12" s="94"/>
      <c r="DP12" s="95"/>
      <c r="DQ12" s="17"/>
      <c r="DR12" s="17"/>
      <c r="DS12" s="17"/>
      <c r="DT12" s="20"/>
      <c r="DU12" s="92"/>
      <c r="DV12" s="93"/>
      <c r="DW12" s="92"/>
      <c r="DX12" s="94"/>
      <c r="DY12" s="95"/>
      <c r="DZ12" s="17"/>
      <c r="EA12" s="17"/>
      <c r="EB12" s="17"/>
      <c r="EC12" s="20"/>
      <c r="ED12" s="92"/>
      <c r="EE12" s="93"/>
      <c r="EF12" s="92"/>
      <c r="EG12" s="94"/>
      <c r="EH12" s="95"/>
      <c r="EI12" s="17"/>
      <c r="EJ12" s="17"/>
      <c r="EK12" s="17"/>
      <c r="EL12" s="20"/>
      <c r="EM12" s="92"/>
      <c r="EN12" s="93"/>
      <c r="EO12" s="92"/>
      <c r="EP12" s="94"/>
      <c r="EQ12" s="95"/>
      <c r="ER12" s="17"/>
      <c r="ES12" s="17"/>
      <c r="ET12" s="17"/>
      <c r="EU12" s="20"/>
      <c r="EV12" s="92"/>
      <c r="EW12" s="93"/>
      <c r="EX12" s="92"/>
      <c r="EY12" s="94"/>
      <c r="EZ12" s="95"/>
      <c r="FA12" s="17"/>
      <c r="FB12" s="17"/>
      <c r="FC12" s="17"/>
      <c r="FD12" s="20"/>
      <c r="FE12" s="92"/>
      <c r="FF12" s="93"/>
      <c r="FG12" s="92"/>
      <c r="FH12" s="94"/>
      <c r="FI12" s="95"/>
      <c r="FJ12" s="17"/>
      <c r="FK12" s="17"/>
      <c r="FL12" s="17"/>
      <c r="FM12" s="20"/>
      <c r="FN12" s="92"/>
      <c r="FO12" s="93"/>
      <c r="FP12" s="92"/>
      <c r="FQ12" s="94"/>
      <c r="FR12" s="95"/>
      <c r="FS12" s="17"/>
      <c r="FT12" s="17"/>
      <c r="FU12" s="17"/>
      <c r="FV12" s="20"/>
      <c r="FW12" s="92"/>
      <c r="FX12" s="93"/>
      <c r="FY12" s="92"/>
      <c r="FZ12" s="94"/>
      <c r="GA12" s="95"/>
      <c r="GB12" s="17"/>
      <c r="GC12" s="17"/>
      <c r="GD12" s="17"/>
      <c r="GE12" s="20"/>
      <c r="GF12" s="92"/>
      <c r="GG12" s="93"/>
      <c r="GH12" s="92"/>
      <c r="GI12" s="94"/>
      <c r="GJ12" s="95"/>
      <c r="GK12" s="17"/>
      <c r="GL12" s="17"/>
      <c r="GM12" s="17"/>
      <c r="GN12" s="20"/>
      <c r="GO12" s="92"/>
      <c r="GP12" s="93"/>
      <c r="GQ12" s="92"/>
      <c r="GR12" s="94"/>
      <c r="GS12" s="95"/>
      <c r="GT12" s="97">
        <v>42885</v>
      </c>
      <c r="GU12" s="98"/>
      <c r="GV12" s="65"/>
      <c r="GW12" s="74"/>
      <c r="GX12" s="74"/>
      <c r="GY12" s="531" t="s">
        <v>499</v>
      </c>
      <c r="GZ12" s="404">
        <v>3480</v>
      </c>
    </row>
    <row r="13" spans="1:208" x14ac:dyDescent="0.25">
      <c r="C13" s="87"/>
      <c r="D13" s="35"/>
      <c r="E13" s="36"/>
      <c r="F13" s="37"/>
      <c r="G13" s="38"/>
      <c r="H13" s="39"/>
      <c r="I13" s="40"/>
      <c r="J13" s="68" t="s">
        <v>42</v>
      </c>
      <c r="K13" s="407" t="s">
        <v>37</v>
      </c>
      <c r="L13" s="110">
        <v>19060</v>
      </c>
      <c r="M13" s="71">
        <v>42863</v>
      </c>
      <c r="N13" s="56" t="s">
        <v>445</v>
      </c>
      <c r="O13" s="72">
        <v>23585</v>
      </c>
      <c r="P13" s="60">
        <f t="shared" si="0"/>
        <v>4525</v>
      </c>
      <c r="Q13" s="64">
        <v>24</v>
      </c>
      <c r="R13" s="64"/>
      <c r="S13" s="111"/>
      <c r="T13" s="39">
        <f t="shared" si="1"/>
        <v>566040</v>
      </c>
      <c r="U13" s="90" t="s">
        <v>72</v>
      </c>
      <c r="V13" s="112">
        <v>42886</v>
      </c>
      <c r="W13" s="109">
        <v>15080</v>
      </c>
      <c r="X13" s="17"/>
      <c r="Y13" s="20"/>
      <c r="Z13" s="92"/>
      <c r="AA13" s="93"/>
      <c r="AB13" s="92"/>
      <c r="AC13" s="94"/>
      <c r="AD13" s="95"/>
      <c r="AE13" s="17"/>
      <c r="AF13" s="17"/>
      <c r="AG13" s="17"/>
      <c r="AH13" s="20"/>
      <c r="AI13" s="92"/>
      <c r="AJ13" s="93"/>
      <c r="AK13" s="92"/>
      <c r="AL13" s="94"/>
      <c r="AM13" s="95"/>
      <c r="AN13" s="17"/>
      <c r="AO13" s="17"/>
      <c r="AP13" s="17"/>
      <c r="AQ13" s="20"/>
      <c r="AR13" s="92"/>
      <c r="AS13" s="93"/>
      <c r="AT13" s="92"/>
      <c r="AU13" s="94"/>
      <c r="AV13" s="95"/>
      <c r="AW13" s="17"/>
      <c r="AX13" s="17"/>
      <c r="AY13" s="17"/>
      <c r="AZ13" s="20"/>
      <c r="BA13" s="92"/>
      <c r="BB13" s="93"/>
      <c r="BC13" s="92"/>
      <c r="BD13" s="94"/>
      <c r="BE13" s="95"/>
      <c r="BF13" s="17"/>
      <c r="BG13" s="17"/>
      <c r="BH13" s="17"/>
      <c r="BI13" s="20"/>
      <c r="BJ13" s="92"/>
      <c r="BK13" s="93"/>
      <c r="BL13" s="92"/>
      <c r="BM13" s="94"/>
      <c r="BN13" s="95"/>
      <c r="BO13" s="17"/>
      <c r="BP13" s="17"/>
      <c r="BQ13" s="17"/>
      <c r="BR13" s="20"/>
      <c r="BS13" s="92"/>
      <c r="BT13" s="93"/>
      <c r="BU13" s="92"/>
      <c r="BV13" s="94"/>
      <c r="BW13" s="95"/>
      <c r="BX13" s="17"/>
      <c r="BY13" s="17"/>
      <c r="BZ13" s="17"/>
      <c r="CA13" s="20"/>
      <c r="CB13" s="92"/>
      <c r="CC13" s="93"/>
      <c r="CD13" s="92"/>
      <c r="CE13" s="94"/>
      <c r="CF13" s="95"/>
      <c r="CG13" s="17"/>
      <c r="CH13" s="17"/>
      <c r="CI13" s="17"/>
      <c r="CJ13" s="20"/>
      <c r="CK13" s="92"/>
      <c r="CL13" s="93"/>
      <c r="CM13" s="92"/>
      <c r="CN13" s="94"/>
      <c r="CO13" s="95"/>
      <c r="CP13" s="17"/>
      <c r="CQ13" s="17"/>
      <c r="CR13" s="17"/>
      <c r="CS13" s="20"/>
      <c r="CT13" s="92"/>
      <c r="CU13" s="93"/>
      <c r="CV13" s="96"/>
      <c r="CW13" s="94"/>
      <c r="CX13" s="95"/>
      <c r="CY13" s="17"/>
      <c r="CZ13" s="17"/>
      <c r="DA13" s="17"/>
      <c r="DB13" s="20"/>
      <c r="DC13" s="92"/>
      <c r="DD13" s="93"/>
      <c r="DE13" s="92"/>
      <c r="DF13" s="94"/>
      <c r="DG13" s="95"/>
      <c r="DH13" s="17"/>
      <c r="DI13" s="17"/>
      <c r="DJ13" s="17"/>
      <c r="DK13" s="20"/>
      <c r="DL13" s="92"/>
      <c r="DM13" s="93"/>
      <c r="DN13" s="92"/>
      <c r="DO13" s="94"/>
      <c r="DP13" s="95"/>
      <c r="DQ13" s="17"/>
      <c r="DR13" s="17"/>
      <c r="DS13" s="17"/>
      <c r="DT13" s="20"/>
      <c r="DU13" s="92"/>
      <c r="DV13" s="93"/>
      <c r="DW13" s="92"/>
      <c r="DX13" s="94"/>
      <c r="DY13" s="95"/>
      <c r="DZ13" s="17"/>
      <c r="EA13" s="17"/>
      <c r="EB13" s="17"/>
      <c r="EC13" s="20"/>
      <c r="ED13" s="92"/>
      <c r="EE13" s="93"/>
      <c r="EF13" s="92"/>
      <c r="EG13" s="94"/>
      <c r="EH13" s="95"/>
      <c r="EI13" s="17"/>
      <c r="EJ13" s="17"/>
      <c r="EK13" s="17"/>
      <c r="EL13" s="20"/>
      <c r="EM13" s="92"/>
      <c r="EN13" s="93"/>
      <c r="EO13" s="92"/>
      <c r="EP13" s="94"/>
      <c r="EQ13" s="95"/>
      <c r="ER13" s="17"/>
      <c r="ES13" s="17"/>
      <c r="ET13" s="17"/>
      <c r="EU13" s="20"/>
      <c r="EV13" s="92"/>
      <c r="EW13" s="93"/>
      <c r="EX13" s="92"/>
      <c r="EY13" s="94"/>
      <c r="EZ13" s="95"/>
      <c r="FA13" s="17"/>
      <c r="FB13" s="17"/>
      <c r="FC13" s="17"/>
      <c r="FD13" s="20"/>
      <c r="FE13" s="92"/>
      <c r="FF13" s="93"/>
      <c r="FG13" s="92"/>
      <c r="FH13" s="94"/>
      <c r="FI13" s="95"/>
      <c r="FJ13" s="17"/>
      <c r="FK13" s="17"/>
      <c r="FL13" s="17"/>
      <c r="FM13" s="20"/>
      <c r="FN13" s="92"/>
      <c r="FO13" s="93"/>
      <c r="FP13" s="92"/>
      <c r="FQ13" s="94"/>
      <c r="FR13" s="95"/>
      <c r="FS13" s="17"/>
      <c r="FT13" s="17"/>
      <c r="FU13" s="17"/>
      <c r="FV13" s="20"/>
      <c r="FW13" s="92"/>
      <c r="FX13" s="93"/>
      <c r="FY13" s="92"/>
      <c r="FZ13" s="94"/>
      <c r="GA13" s="95"/>
      <c r="GB13" s="17"/>
      <c r="GC13" s="17"/>
      <c r="GD13" s="17"/>
      <c r="GE13" s="20"/>
      <c r="GF13" s="92"/>
      <c r="GG13" s="93"/>
      <c r="GH13" s="92"/>
      <c r="GI13" s="94"/>
      <c r="GJ13" s="95"/>
      <c r="GK13" s="17"/>
      <c r="GL13" s="17"/>
      <c r="GM13" s="17"/>
      <c r="GN13" s="20"/>
      <c r="GO13" s="92"/>
      <c r="GP13" s="93"/>
      <c r="GQ13" s="92"/>
      <c r="GR13" s="94"/>
      <c r="GS13" s="95"/>
      <c r="GT13" s="97">
        <v>42886</v>
      </c>
      <c r="GU13" s="98"/>
      <c r="GV13" s="65">
        <v>22176</v>
      </c>
      <c r="GW13" s="74" t="s">
        <v>408</v>
      </c>
      <c r="GX13" s="74"/>
      <c r="GY13" s="530" t="s">
        <v>499</v>
      </c>
      <c r="GZ13" s="404">
        <v>3480</v>
      </c>
    </row>
    <row r="14" spans="1:208" x14ac:dyDescent="0.25">
      <c r="C14" s="87"/>
      <c r="D14" s="35"/>
      <c r="E14" s="36"/>
      <c r="F14" s="37"/>
      <c r="G14" s="38"/>
      <c r="H14" s="39"/>
      <c r="I14" s="40"/>
      <c r="J14" s="68" t="s">
        <v>42</v>
      </c>
      <c r="K14" s="407" t="s">
        <v>37</v>
      </c>
      <c r="L14" s="110">
        <v>18410</v>
      </c>
      <c r="M14" s="527">
        <v>42864</v>
      </c>
      <c r="N14" s="380" t="s">
        <v>455</v>
      </c>
      <c r="O14" s="72">
        <v>22935</v>
      </c>
      <c r="P14" s="113">
        <f t="shared" si="0"/>
        <v>4525</v>
      </c>
      <c r="Q14" s="64">
        <v>24</v>
      </c>
      <c r="R14" s="905"/>
      <c r="S14" s="906"/>
      <c r="T14" s="39">
        <f t="shared" si="1"/>
        <v>550440</v>
      </c>
      <c r="U14" s="352" t="s">
        <v>72</v>
      </c>
      <c r="V14" s="353">
        <v>42887</v>
      </c>
      <c r="W14" s="354">
        <v>15080</v>
      </c>
      <c r="X14" s="355"/>
      <c r="Y14" s="356"/>
      <c r="Z14" s="357"/>
      <c r="AA14" s="358"/>
      <c r="AB14" s="357"/>
      <c r="AC14" s="359"/>
      <c r="AD14" s="360"/>
      <c r="AE14" s="355"/>
      <c r="AF14" s="355"/>
      <c r="AG14" s="355"/>
      <c r="AH14" s="356"/>
      <c r="AI14" s="357"/>
      <c r="AJ14" s="358"/>
      <c r="AK14" s="357"/>
      <c r="AL14" s="359"/>
      <c r="AM14" s="360"/>
      <c r="AN14" s="355"/>
      <c r="AO14" s="355"/>
      <c r="AP14" s="355"/>
      <c r="AQ14" s="356"/>
      <c r="AR14" s="357"/>
      <c r="AS14" s="358"/>
      <c r="AT14" s="357"/>
      <c r="AU14" s="359"/>
      <c r="AV14" s="360"/>
      <c r="AW14" s="355"/>
      <c r="AX14" s="355"/>
      <c r="AY14" s="355"/>
      <c r="AZ14" s="356"/>
      <c r="BA14" s="357"/>
      <c r="BB14" s="358"/>
      <c r="BC14" s="357"/>
      <c r="BD14" s="359"/>
      <c r="BE14" s="360"/>
      <c r="BF14" s="355"/>
      <c r="BG14" s="355"/>
      <c r="BH14" s="355"/>
      <c r="BI14" s="356"/>
      <c r="BJ14" s="357"/>
      <c r="BK14" s="358"/>
      <c r="BL14" s="357"/>
      <c r="BM14" s="359"/>
      <c r="BN14" s="360"/>
      <c r="BO14" s="355"/>
      <c r="BP14" s="355"/>
      <c r="BQ14" s="355"/>
      <c r="BR14" s="356"/>
      <c r="BS14" s="357"/>
      <c r="BT14" s="358"/>
      <c r="BU14" s="357"/>
      <c r="BV14" s="359"/>
      <c r="BW14" s="360"/>
      <c r="BX14" s="355"/>
      <c r="BY14" s="355"/>
      <c r="BZ14" s="355"/>
      <c r="CA14" s="356"/>
      <c r="CB14" s="357"/>
      <c r="CC14" s="358"/>
      <c r="CD14" s="357"/>
      <c r="CE14" s="359"/>
      <c r="CF14" s="360"/>
      <c r="CG14" s="355"/>
      <c r="CH14" s="355"/>
      <c r="CI14" s="355"/>
      <c r="CJ14" s="356"/>
      <c r="CK14" s="357"/>
      <c r="CL14" s="358"/>
      <c r="CM14" s="357"/>
      <c r="CN14" s="359"/>
      <c r="CO14" s="360"/>
      <c r="CP14" s="355"/>
      <c r="CQ14" s="355"/>
      <c r="CR14" s="355"/>
      <c r="CS14" s="356"/>
      <c r="CT14" s="357"/>
      <c r="CU14" s="358"/>
      <c r="CV14" s="361"/>
      <c r="CW14" s="359"/>
      <c r="CX14" s="360"/>
      <c r="CY14" s="355"/>
      <c r="CZ14" s="355"/>
      <c r="DA14" s="355"/>
      <c r="DB14" s="356"/>
      <c r="DC14" s="357"/>
      <c r="DD14" s="358"/>
      <c r="DE14" s="357"/>
      <c r="DF14" s="359"/>
      <c r="DG14" s="360"/>
      <c r="DH14" s="355"/>
      <c r="DI14" s="355"/>
      <c r="DJ14" s="355"/>
      <c r="DK14" s="356"/>
      <c r="DL14" s="357"/>
      <c r="DM14" s="358"/>
      <c r="DN14" s="357"/>
      <c r="DO14" s="359"/>
      <c r="DP14" s="360"/>
      <c r="DQ14" s="355"/>
      <c r="DR14" s="355"/>
      <c r="DS14" s="355"/>
      <c r="DT14" s="356"/>
      <c r="DU14" s="357"/>
      <c r="DV14" s="358"/>
      <c r="DW14" s="357"/>
      <c r="DX14" s="359"/>
      <c r="DY14" s="360"/>
      <c r="DZ14" s="355"/>
      <c r="EA14" s="355"/>
      <c r="EB14" s="355"/>
      <c r="EC14" s="356"/>
      <c r="ED14" s="357"/>
      <c r="EE14" s="358"/>
      <c r="EF14" s="357"/>
      <c r="EG14" s="359"/>
      <c r="EH14" s="360"/>
      <c r="EI14" s="355"/>
      <c r="EJ14" s="355"/>
      <c r="EK14" s="355"/>
      <c r="EL14" s="356"/>
      <c r="EM14" s="357"/>
      <c r="EN14" s="358"/>
      <c r="EO14" s="357"/>
      <c r="EP14" s="359"/>
      <c r="EQ14" s="360"/>
      <c r="ER14" s="355"/>
      <c r="ES14" s="355"/>
      <c r="ET14" s="355"/>
      <c r="EU14" s="356"/>
      <c r="EV14" s="357"/>
      <c r="EW14" s="358"/>
      <c r="EX14" s="357"/>
      <c r="EY14" s="359"/>
      <c r="EZ14" s="360"/>
      <c r="FA14" s="355"/>
      <c r="FB14" s="355"/>
      <c r="FC14" s="355"/>
      <c r="FD14" s="356"/>
      <c r="FE14" s="357"/>
      <c r="FF14" s="358"/>
      <c r="FG14" s="357"/>
      <c r="FH14" s="359"/>
      <c r="FI14" s="360"/>
      <c r="FJ14" s="355"/>
      <c r="FK14" s="355"/>
      <c r="FL14" s="355"/>
      <c r="FM14" s="356"/>
      <c r="FN14" s="357"/>
      <c r="FO14" s="358"/>
      <c r="FP14" s="357"/>
      <c r="FQ14" s="359"/>
      <c r="FR14" s="360"/>
      <c r="FS14" s="355"/>
      <c r="FT14" s="355"/>
      <c r="FU14" s="355"/>
      <c r="FV14" s="356"/>
      <c r="FW14" s="357"/>
      <c r="FX14" s="358"/>
      <c r="FY14" s="357"/>
      <c r="FZ14" s="359"/>
      <c r="GA14" s="360"/>
      <c r="GB14" s="355"/>
      <c r="GC14" s="355"/>
      <c r="GD14" s="355"/>
      <c r="GE14" s="356"/>
      <c r="GF14" s="357"/>
      <c r="GG14" s="358"/>
      <c r="GH14" s="357"/>
      <c r="GI14" s="359"/>
      <c r="GJ14" s="360"/>
      <c r="GK14" s="355"/>
      <c r="GL14" s="355"/>
      <c r="GM14" s="355"/>
      <c r="GN14" s="356"/>
      <c r="GO14" s="357"/>
      <c r="GP14" s="358"/>
      <c r="GQ14" s="357"/>
      <c r="GR14" s="359"/>
      <c r="GS14" s="360"/>
      <c r="GT14" s="362">
        <v>42887</v>
      </c>
      <c r="GU14" s="114"/>
      <c r="GV14" s="65"/>
      <c r="GW14" s="74"/>
      <c r="GX14" s="74"/>
      <c r="GY14" s="531" t="s">
        <v>499</v>
      </c>
      <c r="GZ14" s="404">
        <v>3480</v>
      </c>
    </row>
    <row r="15" spans="1:208" x14ac:dyDescent="0.25">
      <c r="C15" s="87"/>
      <c r="D15" s="35"/>
      <c r="E15" s="36"/>
      <c r="F15" s="37"/>
      <c r="G15" s="38"/>
      <c r="H15" s="39"/>
      <c r="I15" s="40"/>
      <c r="J15" s="68" t="s">
        <v>42</v>
      </c>
      <c r="K15" s="407" t="s">
        <v>315</v>
      </c>
      <c r="L15" s="110">
        <v>23650</v>
      </c>
      <c r="M15" s="527">
        <v>42865</v>
      </c>
      <c r="N15" s="380" t="s">
        <v>456</v>
      </c>
      <c r="O15" s="72">
        <v>29410</v>
      </c>
      <c r="P15" s="113">
        <f t="shared" si="0"/>
        <v>5760</v>
      </c>
      <c r="Q15" s="64">
        <v>25</v>
      </c>
      <c r="R15" s="64"/>
      <c r="S15" s="64"/>
      <c r="T15" s="39">
        <f t="shared" si="1"/>
        <v>735250</v>
      </c>
      <c r="U15" s="352" t="s">
        <v>72</v>
      </c>
      <c r="V15" s="353">
        <v>42888</v>
      </c>
      <c r="W15" s="354">
        <v>18774.599999999999</v>
      </c>
      <c r="X15" s="355"/>
      <c r="Y15" s="356"/>
      <c r="Z15" s="357"/>
      <c r="AA15" s="358"/>
      <c r="AB15" s="357"/>
      <c r="AC15" s="359"/>
      <c r="AD15" s="360"/>
      <c r="AE15" s="355"/>
      <c r="AF15" s="355"/>
      <c r="AG15" s="355"/>
      <c r="AH15" s="356"/>
      <c r="AI15" s="357"/>
      <c r="AJ15" s="358"/>
      <c r="AK15" s="357"/>
      <c r="AL15" s="359"/>
      <c r="AM15" s="360"/>
      <c r="AN15" s="355"/>
      <c r="AO15" s="355"/>
      <c r="AP15" s="355"/>
      <c r="AQ15" s="356"/>
      <c r="AR15" s="357"/>
      <c r="AS15" s="358"/>
      <c r="AT15" s="357"/>
      <c r="AU15" s="359"/>
      <c r="AV15" s="360"/>
      <c r="AW15" s="355"/>
      <c r="AX15" s="355"/>
      <c r="AY15" s="355"/>
      <c r="AZ15" s="356"/>
      <c r="BA15" s="357"/>
      <c r="BB15" s="358"/>
      <c r="BC15" s="357"/>
      <c r="BD15" s="359"/>
      <c r="BE15" s="360"/>
      <c r="BF15" s="355"/>
      <c r="BG15" s="355"/>
      <c r="BH15" s="355"/>
      <c r="BI15" s="356"/>
      <c r="BJ15" s="357"/>
      <c r="BK15" s="358"/>
      <c r="BL15" s="357"/>
      <c r="BM15" s="359"/>
      <c r="BN15" s="360"/>
      <c r="BO15" s="355"/>
      <c r="BP15" s="355"/>
      <c r="BQ15" s="355"/>
      <c r="BR15" s="356"/>
      <c r="BS15" s="357"/>
      <c r="BT15" s="358"/>
      <c r="BU15" s="357"/>
      <c r="BV15" s="359"/>
      <c r="BW15" s="360"/>
      <c r="BX15" s="355"/>
      <c r="BY15" s="355"/>
      <c r="BZ15" s="355"/>
      <c r="CA15" s="356"/>
      <c r="CB15" s="357"/>
      <c r="CC15" s="358"/>
      <c r="CD15" s="357"/>
      <c r="CE15" s="359"/>
      <c r="CF15" s="360"/>
      <c r="CG15" s="355"/>
      <c r="CH15" s="355"/>
      <c r="CI15" s="355"/>
      <c r="CJ15" s="356"/>
      <c r="CK15" s="357"/>
      <c r="CL15" s="358"/>
      <c r="CM15" s="357"/>
      <c r="CN15" s="359"/>
      <c r="CO15" s="360"/>
      <c r="CP15" s="355"/>
      <c r="CQ15" s="355"/>
      <c r="CR15" s="355"/>
      <c r="CS15" s="356"/>
      <c r="CT15" s="357"/>
      <c r="CU15" s="358"/>
      <c r="CV15" s="361"/>
      <c r="CW15" s="359"/>
      <c r="CX15" s="360"/>
      <c r="CY15" s="355"/>
      <c r="CZ15" s="355"/>
      <c r="DA15" s="355"/>
      <c r="DB15" s="356"/>
      <c r="DC15" s="357"/>
      <c r="DD15" s="358"/>
      <c r="DE15" s="357"/>
      <c r="DF15" s="359"/>
      <c r="DG15" s="360"/>
      <c r="DH15" s="355"/>
      <c r="DI15" s="355"/>
      <c r="DJ15" s="355"/>
      <c r="DK15" s="356"/>
      <c r="DL15" s="357"/>
      <c r="DM15" s="358"/>
      <c r="DN15" s="357"/>
      <c r="DO15" s="359"/>
      <c r="DP15" s="360"/>
      <c r="DQ15" s="355"/>
      <c r="DR15" s="355"/>
      <c r="DS15" s="355"/>
      <c r="DT15" s="356"/>
      <c r="DU15" s="357"/>
      <c r="DV15" s="358"/>
      <c r="DW15" s="357"/>
      <c r="DX15" s="359"/>
      <c r="DY15" s="360"/>
      <c r="DZ15" s="355"/>
      <c r="EA15" s="355"/>
      <c r="EB15" s="355"/>
      <c r="EC15" s="356"/>
      <c r="ED15" s="357"/>
      <c r="EE15" s="358"/>
      <c r="EF15" s="357"/>
      <c r="EG15" s="359"/>
      <c r="EH15" s="360"/>
      <c r="EI15" s="355"/>
      <c r="EJ15" s="355"/>
      <c r="EK15" s="355"/>
      <c r="EL15" s="356"/>
      <c r="EM15" s="357"/>
      <c r="EN15" s="358"/>
      <c r="EO15" s="357"/>
      <c r="EP15" s="359"/>
      <c r="EQ15" s="360"/>
      <c r="ER15" s="355"/>
      <c r="ES15" s="355"/>
      <c r="ET15" s="355"/>
      <c r="EU15" s="356"/>
      <c r="EV15" s="357"/>
      <c r="EW15" s="358"/>
      <c r="EX15" s="357"/>
      <c r="EY15" s="359"/>
      <c r="EZ15" s="360"/>
      <c r="FA15" s="355"/>
      <c r="FB15" s="355"/>
      <c r="FC15" s="355"/>
      <c r="FD15" s="356"/>
      <c r="FE15" s="357"/>
      <c r="FF15" s="358"/>
      <c r="FG15" s="357"/>
      <c r="FH15" s="359"/>
      <c r="FI15" s="360"/>
      <c r="FJ15" s="355"/>
      <c r="FK15" s="355"/>
      <c r="FL15" s="355"/>
      <c r="FM15" s="356"/>
      <c r="FN15" s="357"/>
      <c r="FO15" s="358"/>
      <c r="FP15" s="357"/>
      <c r="FQ15" s="359"/>
      <c r="FR15" s="360"/>
      <c r="FS15" s="355"/>
      <c r="FT15" s="355"/>
      <c r="FU15" s="355"/>
      <c r="FV15" s="356"/>
      <c r="FW15" s="357"/>
      <c r="FX15" s="358"/>
      <c r="FY15" s="357"/>
      <c r="FZ15" s="359"/>
      <c r="GA15" s="360"/>
      <c r="GB15" s="355"/>
      <c r="GC15" s="355"/>
      <c r="GD15" s="355"/>
      <c r="GE15" s="356"/>
      <c r="GF15" s="357"/>
      <c r="GG15" s="358"/>
      <c r="GH15" s="357"/>
      <c r="GI15" s="359"/>
      <c r="GJ15" s="360"/>
      <c r="GK15" s="355"/>
      <c r="GL15" s="355"/>
      <c r="GM15" s="355"/>
      <c r="GN15" s="356"/>
      <c r="GO15" s="357"/>
      <c r="GP15" s="358"/>
      <c r="GQ15" s="357"/>
      <c r="GR15" s="359"/>
      <c r="GS15" s="360"/>
      <c r="GT15" s="362">
        <v>42888</v>
      </c>
      <c r="GU15" s="98"/>
      <c r="GV15" s="65">
        <v>22176</v>
      </c>
      <c r="GW15" s="74" t="s">
        <v>409</v>
      </c>
      <c r="GX15" s="74"/>
      <c r="GY15" s="531" t="s">
        <v>499</v>
      </c>
      <c r="GZ15" s="404">
        <v>3480</v>
      </c>
    </row>
    <row r="16" spans="1:208" x14ac:dyDescent="0.25">
      <c r="C16" s="87"/>
      <c r="D16" s="35"/>
      <c r="E16" s="36"/>
      <c r="F16" s="37"/>
      <c r="G16" s="38"/>
      <c r="H16" s="39"/>
      <c r="I16" s="40"/>
      <c r="J16" s="455" t="s">
        <v>42</v>
      </c>
      <c r="K16" s="407" t="s">
        <v>41</v>
      </c>
      <c r="L16" s="110">
        <v>22600</v>
      </c>
      <c r="M16" s="527">
        <v>42866</v>
      </c>
      <c r="N16" s="380" t="s">
        <v>459</v>
      </c>
      <c r="O16" s="72">
        <v>28150</v>
      </c>
      <c r="P16" s="456">
        <f t="shared" si="0"/>
        <v>5550</v>
      </c>
      <c r="Q16" s="64">
        <v>25</v>
      </c>
      <c r="R16" s="64"/>
      <c r="S16" s="64"/>
      <c r="T16" s="39">
        <f t="shared" si="1"/>
        <v>703750</v>
      </c>
      <c r="U16" s="352" t="s">
        <v>72</v>
      </c>
      <c r="V16" s="353">
        <v>42891</v>
      </c>
      <c r="W16" s="354">
        <v>18850</v>
      </c>
      <c r="X16" s="355"/>
      <c r="Y16" s="356"/>
      <c r="Z16" s="357"/>
      <c r="AA16" s="358"/>
      <c r="AB16" s="357"/>
      <c r="AC16" s="359"/>
      <c r="AD16" s="360"/>
      <c r="AE16" s="355"/>
      <c r="AF16" s="355"/>
      <c r="AG16" s="355"/>
      <c r="AH16" s="356"/>
      <c r="AI16" s="357"/>
      <c r="AJ16" s="358"/>
      <c r="AK16" s="357"/>
      <c r="AL16" s="359"/>
      <c r="AM16" s="360"/>
      <c r="AN16" s="355"/>
      <c r="AO16" s="355"/>
      <c r="AP16" s="355"/>
      <c r="AQ16" s="356"/>
      <c r="AR16" s="357"/>
      <c r="AS16" s="358"/>
      <c r="AT16" s="357"/>
      <c r="AU16" s="359"/>
      <c r="AV16" s="360"/>
      <c r="AW16" s="355"/>
      <c r="AX16" s="355"/>
      <c r="AY16" s="355"/>
      <c r="AZ16" s="356"/>
      <c r="BA16" s="357"/>
      <c r="BB16" s="358"/>
      <c r="BC16" s="357"/>
      <c r="BD16" s="359"/>
      <c r="BE16" s="360"/>
      <c r="BF16" s="355"/>
      <c r="BG16" s="355"/>
      <c r="BH16" s="355"/>
      <c r="BI16" s="356"/>
      <c r="BJ16" s="357"/>
      <c r="BK16" s="358"/>
      <c r="BL16" s="357"/>
      <c r="BM16" s="359"/>
      <c r="BN16" s="360"/>
      <c r="BO16" s="355"/>
      <c r="BP16" s="355"/>
      <c r="BQ16" s="355"/>
      <c r="BR16" s="356"/>
      <c r="BS16" s="357"/>
      <c r="BT16" s="358"/>
      <c r="BU16" s="357"/>
      <c r="BV16" s="359"/>
      <c r="BW16" s="360"/>
      <c r="BX16" s="355"/>
      <c r="BY16" s="355"/>
      <c r="BZ16" s="355"/>
      <c r="CA16" s="356"/>
      <c r="CB16" s="357"/>
      <c r="CC16" s="358"/>
      <c r="CD16" s="357"/>
      <c r="CE16" s="359"/>
      <c r="CF16" s="360"/>
      <c r="CG16" s="355"/>
      <c r="CH16" s="355"/>
      <c r="CI16" s="355"/>
      <c r="CJ16" s="356"/>
      <c r="CK16" s="357"/>
      <c r="CL16" s="358"/>
      <c r="CM16" s="357"/>
      <c r="CN16" s="359"/>
      <c r="CO16" s="360"/>
      <c r="CP16" s="355"/>
      <c r="CQ16" s="355"/>
      <c r="CR16" s="355"/>
      <c r="CS16" s="356"/>
      <c r="CT16" s="357"/>
      <c r="CU16" s="358"/>
      <c r="CV16" s="361"/>
      <c r="CW16" s="359"/>
      <c r="CX16" s="360"/>
      <c r="CY16" s="355"/>
      <c r="CZ16" s="355"/>
      <c r="DA16" s="355"/>
      <c r="DB16" s="356"/>
      <c r="DC16" s="357"/>
      <c r="DD16" s="358"/>
      <c r="DE16" s="357"/>
      <c r="DF16" s="359"/>
      <c r="DG16" s="360"/>
      <c r="DH16" s="355"/>
      <c r="DI16" s="355"/>
      <c r="DJ16" s="355"/>
      <c r="DK16" s="356"/>
      <c r="DL16" s="357"/>
      <c r="DM16" s="358"/>
      <c r="DN16" s="357"/>
      <c r="DO16" s="359"/>
      <c r="DP16" s="360"/>
      <c r="DQ16" s="355"/>
      <c r="DR16" s="355"/>
      <c r="DS16" s="355"/>
      <c r="DT16" s="356"/>
      <c r="DU16" s="357"/>
      <c r="DV16" s="358"/>
      <c r="DW16" s="357"/>
      <c r="DX16" s="359"/>
      <c r="DY16" s="360"/>
      <c r="DZ16" s="355"/>
      <c r="EA16" s="355"/>
      <c r="EB16" s="355"/>
      <c r="EC16" s="356"/>
      <c r="ED16" s="357"/>
      <c r="EE16" s="358"/>
      <c r="EF16" s="357"/>
      <c r="EG16" s="359"/>
      <c r="EH16" s="360"/>
      <c r="EI16" s="355"/>
      <c r="EJ16" s="355"/>
      <c r="EK16" s="355"/>
      <c r="EL16" s="356"/>
      <c r="EM16" s="357"/>
      <c r="EN16" s="358"/>
      <c r="EO16" s="357"/>
      <c r="EP16" s="359"/>
      <c r="EQ16" s="360"/>
      <c r="ER16" s="355"/>
      <c r="ES16" s="355"/>
      <c r="ET16" s="355"/>
      <c r="EU16" s="356"/>
      <c r="EV16" s="357"/>
      <c r="EW16" s="358"/>
      <c r="EX16" s="357"/>
      <c r="EY16" s="359"/>
      <c r="EZ16" s="360"/>
      <c r="FA16" s="355"/>
      <c r="FB16" s="355"/>
      <c r="FC16" s="355"/>
      <c r="FD16" s="356"/>
      <c r="FE16" s="357"/>
      <c r="FF16" s="358"/>
      <c r="FG16" s="357"/>
      <c r="FH16" s="359"/>
      <c r="FI16" s="360"/>
      <c r="FJ16" s="355"/>
      <c r="FK16" s="355"/>
      <c r="FL16" s="355"/>
      <c r="FM16" s="356"/>
      <c r="FN16" s="357"/>
      <c r="FO16" s="358"/>
      <c r="FP16" s="357"/>
      <c r="FQ16" s="359"/>
      <c r="FR16" s="360"/>
      <c r="FS16" s="355"/>
      <c r="FT16" s="355"/>
      <c r="FU16" s="355"/>
      <c r="FV16" s="356"/>
      <c r="FW16" s="357"/>
      <c r="FX16" s="358"/>
      <c r="FY16" s="357"/>
      <c r="FZ16" s="359"/>
      <c r="GA16" s="360"/>
      <c r="GB16" s="355"/>
      <c r="GC16" s="355"/>
      <c r="GD16" s="355"/>
      <c r="GE16" s="356"/>
      <c r="GF16" s="357"/>
      <c r="GG16" s="358"/>
      <c r="GH16" s="357"/>
      <c r="GI16" s="359"/>
      <c r="GJ16" s="360"/>
      <c r="GK16" s="355"/>
      <c r="GL16" s="355"/>
      <c r="GM16" s="355"/>
      <c r="GN16" s="356"/>
      <c r="GO16" s="357"/>
      <c r="GP16" s="358"/>
      <c r="GQ16" s="357"/>
      <c r="GR16" s="359"/>
      <c r="GS16" s="360"/>
      <c r="GT16" s="362">
        <v>42891</v>
      </c>
      <c r="GU16" s="98"/>
      <c r="GV16" s="65"/>
      <c r="GW16" s="74"/>
      <c r="GX16" s="74"/>
      <c r="GY16" s="531" t="s">
        <v>499</v>
      </c>
      <c r="GZ16" s="404">
        <v>3480</v>
      </c>
    </row>
    <row r="17" spans="1:208" x14ac:dyDescent="0.25">
      <c r="C17" s="87"/>
      <c r="D17" s="35"/>
      <c r="E17" s="36"/>
      <c r="F17" s="37"/>
      <c r="G17" s="38"/>
      <c r="H17" s="39"/>
      <c r="I17" s="40"/>
      <c r="J17" s="68" t="s">
        <v>33</v>
      </c>
      <c r="K17" s="407" t="s">
        <v>35</v>
      </c>
      <c r="L17" s="70">
        <v>10970</v>
      </c>
      <c r="M17" s="527">
        <v>42866</v>
      </c>
      <c r="N17" s="380" t="s">
        <v>457</v>
      </c>
      <c r="O17" s="72">
        <v>14520</v>
      </c>
      <c r="P17" s="113">
        <f t="shared" si="0"/>
        <v>3550</v>
      </c>
      <c r="Q17" s="64">
        <v>25</v>
      </c>
      <c r="R17" s="64"/>
      <c r="S17" s="64"/>
      <c r="T17" s="39">
        <f t="shared" si="1"/>
        <v>363000</v>
      </c>
      <c r="U17" s="363" t="s">
        <v>72</v>
      </c>
      <c r="V17" s="353">
        <v>42891</v>
      </c>
      <c r="W17" s="364">
        <v>9802</v>
      </c>
      <c r="X17" s="355"/>
      <c r="Y17" s="356"/>
      <c r="Z17" s="357"/>
      <c r="AA17" s="358"/>
      <c r="AB17" s="357"/>
      <c r="AC17" s="359"/>
      <c r="AD17" s="360"/>
      <c r="AE17" s="355"/>
      <c r="AF17" s="355"/>
      <c r="AG17" s="355"/>
      <c r="AH17" s="356"/>
      <c r="AI17" s="357"/>
      <c r="AJ17" s="358"/>
      <c r="AK17" s="357"/>
      <c r="AL17" s="359"/>
      <c r="AM17" s="360"/>
      <c r="AN17" s="355"/>
      <c r="AO17" s="355"/>
      <c r="AP17" s="355"/>
      <c r="AQ17" s="356"/>
      <c r="AR17" s="357"/>
      <c r="AS17" s="358"/>
      <c r="AT17" s="357"/>
      <c r="AU17" s="359"/>
      <c r="AV17" s="360"/>
      <c r="AW17" s="355"/>
      <c r="AX17" s="355"/>
      <c r="AY17" s="355"/>
      <c r="AZ17" s="356"/>
      <c r="BA17" s="357"/>
      <c r="BB17" s="358"/>
      <c r="BC17" s="357"/>
      <c r="BD17" s="359"/>
      <c r="BE17" s="360"/>
      <c r="BF17" s="355"/>
      <c r="BG17" s="355"/>
      <c r="BH17" s="355"/>
      <c r="BI17" s="356"/>
      <c r="BJ17" s="357"/>
      <c r="BK17" s="358"/>
      <c r="BL17" s="357"/>
      <c r="BM17" s="359"/>
      <c r="BN17" s="360"/>
      <c r="BO17" s="355"/>
      <c r="BP17" s="355"/>
      <c r="BQ17" s="355"/>
      <c r="BR17" s="356"/>
      <c r="BS17" s="357"/>
      <c r="BT17" s="358"/>
      <c r="BU17" s="357"/>
      <c r="BV17" s="359"/>
      <c r="BW17" s="360"/>
      <c r="BX17" s="355"/>
      <c r="BY17" s="355"/>
      <c r="BZ17" s="355"/>
      <c r="CA17" s="356"/>
      <c r="CB17" s="357"/>
      <c r="CC17" s="358"/>
      <c r="CD17" s="357"/>
      <c r="CE17" s="359"/>
      <c r="CF17" s="360"/>
      <c r="CG17" s="355"/>
      <c r="CH17" s="355"/>
      <c r="CI17" s="355"/>
      <c r="CJ17" s="356"/>
      <c r="CK17" s="357"/>
      <c r="CL17" s="358"/>
      <c r="CM17" s="357"/>
      <c r="CN17" s="359"/>
      <c r="CO17" s="360"/>
      <c r="CP17" s="355"/>
      <c r="CQ17" s="355"/>
      <c r="CR17" s="355"/>
      <c r="CS17" s="356"/>
      <c r="CT17" s="357"/>
      <c r="CU17" s="358"/>
      <c r="CV17" s="361"/>
      <c r="CW17" s="359"/>
      <c r="CX17" s="360"/>
      <c r="CY17" s="355"/>
      <c r="CZ17" s="355"/>
      <c r="DA17" s="355"/>
      <c r="DB17" s="356"/>
      <c r="DC17" s="357"/>
      <c r="DD17" s="358"/>
      <c r="DE17" s="357"/>
      <c r="DF17" s="359"/>
      <c r="DG17" s="360"/>
      <c r="DH17" s="355"/>
      <c r="DI17" s="355"/>
      <c r="DJ17" s="355"/>
      <c r="DK17" s="356"/>
      <c r="DL17" s="357"/>
      <c r="DM17" s="358"/>
      <c r="DN17" s="357"/>
      <c r="DO17" s="359"/>
      <c r="DP17" s="360"/>
      <c r="DQ17" s="355"/>
      <c r="DR17" s="355"/>
      <c r="DS17" s="355"/>
      <c r="DT17" s="356"/>
      <c r="DU17" s="357"/>
      <c r="DV17" s="358"/>
      <c r="DW17" s="357"/>
      <c r="DX17" s="359"/>
      <c r="DY17" s="360"/>
      <c r="DZ17" s="355"/>
      <c r="EA17" s="355"/>
      <c r="EB17" s="355"/>
      <c r="EC17" s="356"/>
      <c r="ED17" s="357"/>
      <c r="EE17" s="358"/>
      <c r="EF17" s="357"/>
      <c r="EG17" s="359"/>
      <c r="EH17" s="360"/>
      <c r="EI17" s="355"/>
      <c r="EJ17" s="355"/>
      <c r="EK17" s="355"/>
      <c r="EL17" s="356"/>
      <c r="EM17" s="357"/>
      <c r="EN17" s="358"/>
      <c r="EO17" s="357"/>
      <c r="EP17" s="359"/>
      <c r="EQ17" s="360"/>
      <c r="ER17" s="355"/>
      <c r="ES17" s="355"/>
      <c r="ET17" s="355"/>
      <c r="EU17" s="356"/>
      <c r="EV17" s="357"/>
      <c r="EW17" s="358"/>
      <c r="EX17" s="357"/>
      <c r="EY17" s="359"/>
      <c r="EZ17" s="360"/>
      <c r="FA17" s="355"/>
      <c r="FB17" s="355"/>
      <c r="FC17" s="355"/>
      <c r="FD17" s="356"/>
      <c r="FE17" s="357"/>
      <c r="FF17" s="358"/>
      <c r="FG17" s="357"/>
      <c r="FH17" s="359"/>
      <c r="FI17" s="360"/>
      <c r="FJ17" s="355"/>
      <c r="FK17" s="355"/>
      <c r="FL17" s="355"/>
      <c r="FM17" s="356"/>
      <c r="FN17" s="357"/>
      <c r="FO17" s="358"/>
      <c r="FP17" s="357"/>
      <c r="FQ17" s="359"/>
      <c r="FR17" s="360"/>
      <c r="FS17" s="355"/>
      <c r="FT17" s="355"/>
      <c r="FU17" s="355"/>
      <c r="FV17" s="356"/>
      <c r="FW17" s="357"/>
      <c r="FX17" s="358"/>
      <c r="FY17" s="357"/>
      <c r="FZ17" s="359"/>
      <c r="GA17" s="360"/>
      <c r="GB17" s="355"/>
      <c r="GC17" s="355"/>
      <c r="GD17" s="355"/>
      <c r="GE17" s="356"/>
      <c r="GF17" s="357"/>
      <c r="GG17" s="358"/>
      <c r="GH17" s="357"/>
      <c r="GI17" s="359"/>
      <c r="GJ17" s="360"/>
      <c r="GK17" s="355"/>
      <c r="GL17" s="355"/>
      <c r="GM17" s="355"/>
      <c r="GN17" s="356"/>
      <c r="GO17" s="357"/>
      <c r="GP17" s="358"/>
      <c r="GQ17" s="357"/>
      <c r="GR17" s="359"/>
      <c r="GS17" s="360"/>
      <c r="GT17" s="362">
        <v>42891</v>
      </c>
      <c r="GU17" s="98"/>
      <c r="GV17" s="65">
        <v>17584</v>
      </c>
      <c r="GW17" s="74" t="s">
        <v>410</v>
      </c>
      <c r="GX17" s="74"/>
      <c r="GY17" s="531" t="s">
        <v>499</v>
      </c>
      <c r="GZ17" s="404">
        <v>2088</v>
      </c>
    </row>
    <row r="18" spans="1:208" x14ac:dyDescent="0.25">
      <c r="C18" s="87"/>
      <c r="D18" s="35"/>
      <c r="E18" s="36"/>
      <c r="F18" s="37"/>
      <c r="G18" s="38"/>
      <c r="H18" s="39"/>
      <c r="I18" s="40"/>
      <c r="J18" s="68" t="s">
        <v>38</v>
      </c>
      <c r="K18" s="407" t="s">
        <v>35</v>
      </c>
      <c r="L18" s="70">
        <v>12350</v>
      </c>
      <c r="M18" s="527">
        <v>42867</v>
      </c>
      <c r="N18" s="380" t="s">
        <v>460</v>
      </c>
      <c r="O18" s="72">
        <v>15310</v>
      </c>
      <c r="P18" s="462">
        <f t="shared" si="0"/>
        <v>2960</v>
      </c>
      <c r="Q18" s="64">
        <v>25</v>
      </c>
      <c r="R18" s="64"/>
      <c r="S18" s="64"/>
      <c r="T18" s="39">
        <f t="shared" si="1"/>
        <v>382750</v>
      </c>
      <c r="U18" s="363" t="s">
        <v>72</v>
      </c>
      <c r="V18" s="353">
        <v>42892</v>
      </c>
      <c r="W18" s="364">
        <v>9802</v>
      </c>
      <c r="X18" s="355"/>
      <c r="Y18" s="356"/>
      <c r="Z18" s="357"/>
      <c r="AA18" s="358"/>
      <c r="AB18" s="357"/>
      <c r="AC18" s="359"/>
      <c r="AD18" s="360"/>
      <c r="AE18" s="355"/>
      <c r="AF18" s="355"/>
      <c r="AG18" s="355"/>
      <c r="AH18" s="356"/>
      <c r="AI18" s="357"/>
      <c r="AJ18" s="358"/>
      <c r="AK18" s="357"/>
      <c r="AL18" s="359"/>
      <c r="AM18" s="360"/>
      <c r="AN18" s="355"/>
      <c r="AO18" s="355"/>
      <c r="AP18" s="355"/>
      <c r="AQ18" s="356"/>
      <c r="AR18" s="357"/>
      <c r="AS18" s="358"/>
      <c r="AT18" s="357"/>
      <c r="AU18" s="359"/>
      <c r="AV18" s="360"/>
      <c r="AW18" s="355"/>
      <c r="AX18" s="355"/>
      <c r="AY18" s="355"/>
      <c r="AZ18" s="356"/>
      <c r="BA18" s="357"/>
      <c r="BB18" s="358"/>
      <c r="BC18" s="357"/>
      <c r="BD18" s="359"/>
      <c r="BE18" s="360"/>
      <c r="BF18" s="355"/>
      <c r="BG18" s="355"/>
      <c r="BH18" s="355"/>
      <c r="BI18" s="356"/>
      <c r="BJ18" s="357"/>
      <c r="BK18" s="358"/>
      <c r="BL18" s="357"/>
      <c r="BM18" s="359"/>
      <c r="BN18" s="360"/>
      <c r="BO18" s="355"/>
      <c r="BP18" s="355"/>
      <c r="BQ18" s="355"/>
      <c r="BR18" s="356"/>
      <c r="BS18" s="357"/>
      <c r="BT18" s="358"/>
      <c r="BU18" s="357"/>
      <c r="BV18" s="359"/>
      <c r="BW18" s="360"/>
      <c r="BX18" s="355"/>
      <c r="BY18" s="355"/>
      <c r="BZ18" s="355"/>
      <c r="CA18" s="356"/>
      <c r="CB18" s="357"/>
      <c r="CC18" s="358"/>
      <c r="CD18" s="357"/>
      <c r="CE18" s="359"/>
      <c r="CF18" s="360"/>
      <c r="CG18" s="355"/>
      <c r="CH18" s="355"/>
      <c r="CI18" s="355"/>
      <c r="CJ18" s="356"/>
      <c r="CK18" s="357"/>
      <c r="CL18" s="358"/>
      <c r="CM18" s="357"/>
      <c r="CN18" s="359"/>
      <c r="CO18" s="360"/>
      <c r="CP18" s="355"/>
      <c r="CQ18" s="355"/>
      <c r="CR18" s="355"/>
      <c r="CS18" s="356"/>
      <c r="CT18" s="357"/>
      <c r="CU18" s="358"/>
      <c r="CV18" s="361"/>
      <c r="CW18" s="359"/>
      <c r="CX18" s="360"/>
      <c r="CY18" s="355"/>
      <c r="CZ18" s="355"/>
      <c r="DA18" s="355"/>
      <c r="DB18" s="356"/>
      <c r="DC18" s="357"/>
      <c r="DD18" s="358"/>
      <c r="DE18" s="357"/>
      <c r="DF18" s="359"/>
      <c r="DG18" s="360"/>
      <c r="DH18" s="355"/>
      <c r="DI18" s="355"/>
      <c r="DJ18" s="355"/>
      <c r="DK18" s="356"/>
      <c r="DL18" s="357"/>
      <c r="DM18" s="358"/>
      <c r="DN18" s="357"/>
      <c r="DO18" s="359"/>
      <c r="DP18" s="360"/>
      <c r="DQ18" s="355"/>
      <c r="DR18" s="355"/>
      <c r="DS18" s="355"/>
      <c r="DT18" s="356"/>
      <c r="DU18" s="357"/>
      <c r="DV18" s="358"/>
      <c r="DW18" s="357"/>
      <c r="DX18" s="359"/>
      <c r="DY18" s="360"/>
      <c r="DZ18" s="355"/>
      <c r="EA18" s="355"/>
      <c r="EB18" s="355"/>
      <c r="EC18" s="356"/>
      <c r="ED18" s="357"/>
      <c r="EE18" s="358"/>
      <c r="EF18" s="357"/>
      <c r="EG18" s="359"/>
      <c r="EH18" s="360"/>
      <c r="EI18" s="355"/>
      <c r="EJ18" s="355"/>
      <c r="EK18" s="355"/>
      <c r="EL18" s="356"/>
      <c r="EM18" s="357"/>
      <c r="EN18" s="358"/>
      <c r="EO18" s="357"/>
      <c r="EP18" s="359"/>
      <c r="EQ18" s="360"/>
      <c r="ER18" s="355"/>
      <c r="ES18" s="355"/>
      <c r="ET18" s="355"/>
      <c r="EU18" s="356"/>
      <c r="EV18" s="357"/>
      <c r="EW18" s="358"/>
      <c r="EX18" s="357"/>
      <c r="EY18" s="359"/>
      <c r="EZ18" s="360"/>
      <c r="FA18" s="355"/>
      <c r="FB18" s="355"/>
      <c r="FC18" s="355"/>
      <c r="FD18" s="356"/>
      <c r="FE18" s="357"/>
      <c r="FF18" s="358"/>
      <c r="FG18" s="357"/>
      <c r="FH18" s="359"/>
      <c r="FI18" s="360"/>
      <c r="FJ18" s="355"/>
      <c r="FK18" s="355"/>
      <c r="FL18" s="355"/>
      <c r="FM18" s="356"/>
      <c r="FN18" s="357"/>
      <c r="FO18" s="358"/>
      <c r="FP18" s="357"/>
      <c r="FQ18" s="359"/>
      <c r="FR18" s="360"/>
      <c r="FS18" s="355"/>
      <c r="FT18" s="355"/>
      <c r="FU18" s="355"/>
      <c r="FV18" s="356"/>
      <c r="FW18" s="357"/>
      <c r="FX18" s="358"/>
      <c r="FY18" s="357"/>
      <c r="FZ18" s="359"/>
      <c r="GA18" s="360"/>
      <c r="GB18" s="355"/>
      <c r="GC18" s="355"/>
      <c r="GD18" s="355"/>
      <c r="GE18" s="356"/>
      <c r="GF18" s="357"/>
      <c r="GG18" s="358"/>
      <c r="GH18" s="357"/>
      <c r="GI18" s="359"/>
      <c r="GJ18" s="360"/>
      <c r="GK18" s="355"/>
      <c r="GL18" s="355"/>
      <c r="GM18" s="355"/>
      <c r="GN18" s="356"/>
      <c r="GO18" s="357"/>
      <c r="GP18" s="358"/>
      <c r="GQ18" s="357"/>
      <c r="GR18" s="359"/>
      <c r="GS18" s="360"/>
      <c r="GT18" s="362">
        <v>42892</v>
      </c>
      <c r="GU18" s="98"/>
      <c r="GV18" s="84">
        <v>17584</v>
      </c>
      <c r="GW18" s="74" t="s">
        <v>412</v>
      </c>
      <c r="GX18" s="74"/>
      <c r="GY18" s="530" t="s">
        <v>499</v>
      </c>
      <c r="GZ18" s="404">
        <v>2088</v>
      </c>
    </row>
    <row r="19" spans="1:208" x14ac:dyDescent="0.25">
      <c r="C19" s="87"/>
      <c r="D19" s="35"/>
      <c r="E19" s="36"/>
      <c r="F19" s="37"/>
      <c r="G19" s="38"/>
      <c r="H19" s="39"/>
      <c r="I19" s="40"/>
      <c r="J19" s="76" t="s">
        <v>44</v>
      </c>
      <c r="K19" s="407" t="s">
        <v>41</v>
      </c>
      <c r="L19" s="70">
        <v>22350</v>
      </c>
      <c r="M19" s="527">
        <v>42867</v>
      </c>
      <c r="N19" s="380" t="s">
        <v>458</v>
      </c>
      <c r="O19" s="72">
        <v>27840</v>
      </c>
      <c r="P19" s="113">
        <f t="shared" si="0"/>
        <v>5490</v>
      </c>
      <c r="Q19" s="64">
        <v>25</v>
      </c>
      <c r="R19" s="64"/>
      <c r="S19" s="64"/>
      <c r="T19" s="39">
        <f t="shared" si="1"/>
        <v>696000</v>
      </c>
      <c r="U19" s="363" t="s">
        <v>72</v>
      </c>
      <c r="V19" s="353">
        <v>42891</v>
      </c>
      <c r="W19" s="364">
        <v>18850</v>
      </c>
      <c r="X19" s="355"/>
      <c r="Y19" s="356"/>
      <c r="Z19" s="357"/>
      <c r="AA19" s="358"/>
      <c r="AB19" s="357"/>
      <c r="AC19" s="359"/>
      <c r="AD19" s="360"/>
      <c r="AE19" s="355"/>
      <c r="AF19" s="355"/>
      <c r="AG19" s="355"/>
      <c r="AH19" s="356"/>
      <c r="AI19" s="357"/>
      <c r="AJ19" s="358"/>
      <c r="AK19" s="357"/>
      <c r="AL19" s="359"/>
      <c r="AM19" s="360"/>
      <c r="AN19" s="355"/>
      <c r="AO19" s="355"/>
      <c r="AP19" s="355"/>
      <c r="AQ19" s="356"/>
      <c r="AR19" s="357"/>
      <c r="AS19" s="358"/>
      <c r="AT19" s="357"/>
      <c r="AU19" s="359"/>
      <c r="AV19" s="360"/>
      <c r="AW19" s="355"/>
      <c r="AX19" s="355"/>
      <c r="AY19" s="355"/>
      <c r="AZ19" s="356"/>
      <c r="BA19" s="357"/>
      <c r="BB19" s="358"/>
      <c r="BC19" s="357"/>
      <c r="BD19" s="359"/>
      <c r="BE19" s="360"/>
      <c r="BF19" s="355"/>
      <c r="BG19" s="355"/>
      <c r="BH19" s="355"/>
      <c r="BI19" s="356"/>
      <c r="BJ19" s="357"/>
      <c r="BK19" s="358"/>
      <c r="BL19" s="357"/>
      <c r="BM19" s="359"/>
      <c r="BN19" s="360"/>
      <c r="BO19" s="355"/>
      <c r="BP19" s="355"/>
      <c r="BQ19" s="355"/>
      <c r="BR19" s="356"/>
      <c r="BS19" s="357"/>
      <c r="BT19" s="358"/>
      <c r="BU19" s="357"/>
      <c r="BV19" s="359"/>
      <c r="BW19" s="360"/>
      <c r="BX19" s="355"/>
      <c r="BY19" s="355"/>
      <c r="BZ19" s="355"/>
      <c r="CA19" s="356"/>
      <c r="CB19" s="357"/>
      <c r="CC19" s="358"/>
      <c r="CD19" s="357"/>
      <c r="CE19" s="359"/>
      <c r="CF19" s="360"/>
      <c r="CG19" s="355"/>
      <c r="CH19" s="355"/>
      <c r="CI19" s="355"/>
      <c r="CJ19" s="356"/>
      <c r="CK19" s="357"/>
      <c r="CL19" s="358"/>
      <c r="CM19" s="357"/>
      <c r="CN19" s="359"/>
      <c r="CO19" s="360"/>
      <c r="CP19" s="355"/>
      <c r="CQ19" s="355"/>
      <c r="CR19" s="355"/>
      <c r="CS19" s="356"/>
      <c r="CT19" s="357"/>
      <c r="CU19" s="358"/>
      <c r="CV19" s="361"/>
      <c r="CW19" s="359"/>
      <c r="CX19" s="360"/>
      <c r="CY19" s="355"/>
      <c r="CZ19" s="355"/>
      <c r="DA19" s="355"/>
      <c r="DB19" s="356"/>
      <c r="DC19" s="357"/>
      <c r="DD19" s="358"/>
      <c r="DE19" s="357"/>
      <c r="DF19" s="359"/>
      <c r="DG19" s="360"/>
      <c r="DH19" s="355"/>
      <c r="DI19" s="355"/>
      <c r="DJ19" s="355"/>
      <c r="DK19" s="356"/>
      <c r="DL19" s="357"/>
      <c r="DM19" s="358"/>
      <c r="DN19" s="357"/>
      <c r="DO19" s="359"/>
      <c r="DP19" s="360"/>
      <c r="DQ19" s="355"/>
      <c r="DR19" s="355"/>
      <c r="DS19" s="355"/>
      <c r="DT19" s="356"/>
      <c r="DU19" s="357"/>
      <c r="DV19" s="358"/>
      <c r="DW19" s="357"/>
      <c r="DX19" s="359"/>
      <c r="DY19" s="360"/>
      <c r="DZ19" s="355"/>
      <c r="EA19" s="355"/>
      <c r="EB19" s="355"/>
      <c r="EC19" s="356"/>
      <c r="ED19" s="357"/>
      <c r="EE19" s="358"/>
      <c r="EF19" s="357"/>
      <c r="EG19" s="359"/>
      <c r="EH19" s="360"/>
      <c r="EI19" s="355"/>
      <c r="EJ19" s="355"/>
      <c r="EK19" s="355"/>
      <c r="EL19" s="356"/>
      <c r="EM19" s="357"/>
      <c r="EN19" s="358"/>
      <c r="EO19" s="357"/>
      <c r="EP19" s="359"/>
      <c r="EQ19" s="360"/>
      <c r="ER19" s="355"/>
      <c r="ES19" s="355"/>
      <c r="ET19" s="355"/>
      <c r="EU19" s="356"/>
      <c r="EV19" s="357"/>
      <c r="EW19" s="358"/>
      <c r="EX19" s="357"/>
      <c r="EY19" s="359"/>
      <c r="EZ19" s="360"/>
      <c r="FA19" s="355"/>
      <c r="FB19" s="355"/>
      <c r="FC19" s="355"/>
      <c r="FD19" s="356"/>
      <c r="FE19" s="357"/>
      <c r="FF19" s="358"/>
      <c r="FG19" s="357"/>
      <c r="FH19" s="359"/>
      <c r="FI19" s="360"/>
      <c r="FJ19" s="355"/>
      <c r="FK19" s="355"/>
      <c r="FL19" s="355"/>
      <c r="FM19" s="356"/>
      <c r="FN19" s="357"/>
      <c r="FO19" s="358"/>
      <c r="FP19" s="357"/>
      <c r="FQ19" s="359"/>
      <c r="FR19" s="360"/>
      <c r="FS19" s="355"/>
      <c r="FT19" s="355"/>
      <c r="FU19" s="355"/>
      <c r="FV19" s="356"/>
      <c r="FW19" s="357"/>
      <c r="FX19" s="358"/>
      <c r="FY19" s="357"/>
      <c r="FZ19" s="359"/>
      <c r="GA19" s="360"/>
      <c r="GB19" s="355"/>
      <c r="GC19" s="355"/>
      <c r="GD19" s="355"/>
      <c r="GE19" s="356"/>
      <c r="GF19" s="357"/>
      <c r="GG19" s="358"/>
      <c r="GH19" s="357"/>
      <c r="GI19" s="359"/>
      <c r="GJ19" s="360"/>
      <c r="GK19" s="355"/>
      <c r="GL19" s="355"/>
      <c r="GM19" s="355"/>
      <c r="GN19" s="356"/>
      <c r="GO19" s="357"/>
      <c r="GP19" s="358"/>
      <c r="GQ19" s="357"/>
      <c r="GR19" s="359"/>
      <c r="GS19" s="360"/>
      <c r="GT19" s="362">
        <v>42891</v>
      </c>
      <c r="GU19" s="98"/>
      <c r="GV19" s="84">
        <v>22176</v>
      </c>
      <c r="GW19" s="74" t="s">
        <v>411</v>
      </c>
      <c r="GX19" s="74"/>
      <c r="GY19" s="530" t="s">
        <v>499</v>
      </c>
      <c r="GZ19" s="404">
        <v>3480</v>
      </c>
    </row>
    <row r="20" spans="1:208" ht="30" x14ac:dyDescent="0.25">
      <c r="C20" s="87"/>
      <c r="D20" s="35"/>
      <c r="E20" s="36"/>
      <c r="F20" s="37"/>
      <c r="G20" s="38"/>
      <c r="H20" s="39"/>
      <c r="I20" s="40"/>
      <c r="J20" s="76" t="s">
        <v>425</v>
      </c>
      <c r="K20" s="407" t="s">
        <v>41</v>
      </c>
      <c r="L20" s="70">
        <v>17130</v>
      </c>
      <c r="M20" s="527">
        <v>42869</v>
      </c>
      <c r="N20" s="380" t="s">
        <v>461</v>
      </c>
      <c r="O20" s="72">
        <f>26850-107.4</f>
        <v>26742.6</v>
      </c>
      <c r="P20" s="113">
        <f t="shared" si="0"/>
        <v>9612.5999999999985</v>
      </c>
      <c r="Q20" s="64">
        <v>25.5</v>
      </c>
      <c r="R20" s="64"/>
      <c r="S20" s="64"/>
      <c r="T20" s="39">
        <f t="shared" si="1"/>
        <v>681936.29999999993</v>
      </c>
      <c r="U20" s="363" t="s">
        <v>72</v>
      </c>
      <c r="V20" s="353">
        <v>42893</v>
      </c>
      <c r="W20" s="364">
        <v>18850</v>
      </c>
      <c r="X20" s="355"/>
      <c r="Y20" s="356"/>
      <c r="Z20" s="357"/>
      <c r="AA20" s="358"/>
      <c r="AB20" s="357"/>
      <c r="AC20" s="359"/>
      <c r="AD20" s="360"/>
      <c r="AE20" s="355"/>
      <c r="AF20" s="355"/>
      <c r="AG20" s="355"/>
      <c r="AH20" s="356"/>
      <c r="AI20" s="357"/>
      <c r="AJ20" s="358"/>
      <c r="AK20" s="357"/>
      <c r="AL20" s="359"/>
      <c r="AM20" s="360"/>
      <c r="AN20" s="355"/>
      <c r="AO20" s="355"/>
      <c r="AP20" s="355"/>
      <c r="AQ20" s="356"/>
      <c r="AR20" s="357"/>
      <c r="AS20" s="358"/>
      <c r="AT20" s="357"/>
      <c r="AU20" s="359"/>
      <c r="AV20" s="360"/>
      <c r="AW20" s="355"/>
      <c r="AX20" s="355"/>
      <c r="AY20" s="355"/>
      <c r="AZ20" s="356"/>
      <c r="BA20" s="357"/>
      <c r="BB20" s="358"/>
      <c r="BC20" s="357"/>
      <c r="BD20" s="359"/>
      <c r="BE20" s="360"/>
      <c r="BF20" s="355"/>
      <c r="BG20" s="355"/>
      <c r="BH20" s="355"/>
      <c r="BI20" s="356"/>
      <c r="BJ20" s="357"/>
      <c r="BK20" s="358"/>
      <c r="BL20" s="357"/>
      <c r="BM20" s="359"/>
      <c r="BN20" s="360"/>
      <c r="BO20" s="355"/>
      <c r="BP20" s="355"/>
      <c r="BQ20" s="355"/>
      <c r="BR20" s="356"/>
      <c r="BS20" s="357"/>
      <c r="BT20" s="358"/>
      <c r="BU20" s="357"/>
      <c r="BV20" s="359"/>
      <c r="BW20" s="360"/>
      <c r="BX20" s="355"/>
      <c r="BY20" s="355"/>
      <c r="BZ20" s="355"/>
      <c r="CA20" s="356"/>
      <c r="CB20" s="357"/>
      <c r="CC20" s="358"/>
      <c r="CD20" s="357"/>
      <c r="CE20" s="359"/>
      <c r="CF20" s="360"/>
      <c r="CG20" s="355"/>
      <c r="CH20" s="355"/>
      <c r="CI20" s="355"/>
      <c r="CJ20" s="356"/>
      <c r="CK20" s="357"/>
      <c r="CL20" s="358"/>
      <c r="CM20" s="357"/>
      <c r="CN20" s="359"/>
      <c r="CO20" s="360"/>
      <c r="CP20" s="355"/>
      <c r="CQ20" s="355"/>
      <c r="CR20" s="355"/>
      <c r="CS20" s="356"/>
      <c r="CT20" s="357"/>
      <c r="CU20" s="358"/>
      <c r="CV20" s="361"/>
      <c r="CW20" s="359"/>
      <c r="CX20" s="360"/>
      <c r="CY20" s="355"/>
      <c r="CZ20" s="355"/>
      <c r="DA20" s="355"/>
      <c r="DB20" s="356"/>
      <c r="DC20" s="357"/>
      <c r="DD20" s="358"/>
      <c r="DE20" s="357"/>
      <c r="DF20" s="359"/>
      <c r="DG20" s="360"/>
      <c r="DH20" s="355"/>
      <c r="DI20" s="355"/>
      <c r="DJ20" s="355"/>
      <c r="DK20" s="356"/>
      <c r="DL20" s="357"/>
      <c r="DM20" s="358"/>
      <c r="DN20" s="357"/>
      <c r="DO20" s="359"/>
      <c r="DP20" s="360"/>
      <c r="DQ20" s="355"/>
      <c r="DR20" s="355"/>
      <c r="DS20" s="355"/>
      <c r="DT20" s="356"/>
      <c r="DU20" s="357"/>
      <c r="DV20" s="358"/>
      <c r="DW20" s="357"/>
      <c r="DX20" s="359"/>
      <c r="DY20" s="360"/>
      <c r="DZ20" s="355"/>
      <c r="EA20" s="355"/>
      <c r="EB20" s="355"/>
      <c r="EC20" s="356"/>
      <c r="ED20" s="357"/>
      <c r="EE20" s="358"/>
      <c r="EF20" s="357"/>
      <c r="EG20" s="359"/>
      <c r="EH20" s="360"/>
      <c r="EI20" s="355"/>
      <c r="EJ20" s="355"/>
      <c r="EK20" s="355"/>
      <c r="EL20" s="356"/>
      <c r="EM20" s="357"/>
      <c r="EN20" s="358"/>
      <c r="EO20" s="357"/>
      <c r="EP20" s="359"/>
      <c r="EQ20" s="360"/>
      <c r="ER20" s="355"/>
      <c r="ES20" s="355"/>
      <c r="ET20" s="355"/>
      <c r="EU20" s="356"/>
      <c r="EV20" s="357"/>
      <c r="EW20" s="358"/>
      <c r="EX20" s="357"/>
      <c r="EY20" s="359"/>
      <c r="EZ20" s="360"/>
      <c r="FA20" s="355"/>
      <c r="FB20" s="355"/>
      <c r="FC20" s="355"/>
      <c r="FD20" s="356"/>
      <c r="FE20" s="357"/>
      <c r="FF20" s="358"/>
      <c r="FG20" s="357"/>
      <c r="FH20" s="359"/>
      <c r="FI20" s="360"/>
      <c r="FJ20" s="355"/>
      <c r="FK20" s="355"/>
      <c r="FL20" s="355"/>
      <c r="FM20" s="356"/>
      <c r="FN20" s="357"/>
      <c r="FO20" s="358"/>
      <c r="FP20" s="357"/>
      <c r="FQ20" s="359"/>
      <c r="FR20" s="360"/>
      <c r="FS20" s="355"/>
      <c r="FT20" s="355"/>
      <c r="FU20" s="355"/>
      <c r="FV20" s="356"/>
      <c r="FW20" s="357"/>
      <c r="FX20" s="358"/>
      <c r="FY20" s="357"/>
      <c r="FZ20" s="359"/>
      <c r="GA20" s="360"/>
      <c r="GB20" s="355"/>
      <c r="GC20" s="355"/>
      <c r="GD20" s="355"/>
      <c r="GE20" s="356"/>
      <c r="GF20" s="357"/>
      <c r="GG20" s="358"/>
      <c r="GH20" s="357"/>
      <c r="GI20" s="359"/>
      <c r="GJ20" s="360"/>
      <c r="GK20" s="355"/>
      <c r="GL20" s="355"/>
      <c r="GM20" s="355"/>
      <c r="GN20" s="356"/>
      <c r="GO20" s="357"/>
      <c r="GP20" s="358"/>
      <c r="GQ20" s="357"/>
      <c r="GR20" s="359"/>
      <c r="GS20" s="360"/>
      <c r="GT20" s="362">
        <v>42893</v>
      </c>
      <c r="GU20" s="98"/>
      <c r="GV20" s="65"/>
      <c r="GW20" s="74"/>
      <c r="GX20" s="74"/>
      <c r="GY20" s="530" t="s">
        <v>499</v>
      </c>
      <c r="GZ20" s="404">
        <v>3526.4</v>
      </c>
    </row>
    <row r="21" spans="1:208" x14ac:dyDescent="0.25">
      <c r="C21" s="87"/>
      <c r="D21" s="35"/>
      <c r="E21" s="36"/>
      <c r="F21" s="37"/>
      <c r="G21" s="38"/>
      <c r="H21" s="39"/>
      <c r="I21" s="40"/>
      <c r="J21" s="76" t="s">
        <v>426</v>
      </c>
      <c r="K21" s="450" t="s">
        <v>146</v>
      </c>
      <c r="L21" s="70">
        <v>11130</v>
      </c>
      <c r="M21" s="527">
        <v>42869</v>
      </c>
      <c r="N21" s="380" t="s">
        <v>462</v>
      </c>
      <c r="O21" s="72">
        <v>8870</v>
      </c>
      <c r="P21" s="113">
        <f t="shared" si="0"/>
        <v>-2260</v>
      </c>
      <c r="Q21" s="64">
        <v>25.5</v>
      </c>
      <c r="R21" s="64"/>
      <c r="S21" s="64"/>
      <c r="T21" s="39">
        <f t="shared" si="1"/>
        <v>226185</v>
      </c>
      <c r="U21" s="363" t="s">
        <v>72</v>
      </c>
      <c r="V21" s="353">
        <v>42893</v>
      </c>
      <c r="W21" s="364">
        <v>6032</v>
      </c>
      <c r="X21" s="355"/>
      <c r="Y21" s="356"/>
      <c r="Z21" s="357"/>
      <c r="AA21" s="358"/>
      <c r="AB21" s="357"/>
      <c r="AC21" s="359"/>
      <c r="AD21" s="360"/>
      <c r="AE21" s="355"/>
      <c r="AF21" s="355"/>
      <c r="AG21" s="355"/>
      <c r="AH21" s="356"/>
      <c r="AI21" s="357"/>
      <c r="AJ21" s="358"/>
      <c r="AK21" s="357"/>
      <c r="AL21" s="359"/>
      <c r="AM21" s="360"/>
      <c r="AN21" s="355"/>
      <c r="AO21" s="355"/>
      <c r="AP21" s="355"/>
      <c r="AQ21" s="356"/>
      <c r="AR21" s="357"/>
      <c r="AS21" s="358"/>
      <c r="AT21" s="357"/>
      <c r="AU21" s="359"/>
      <c r="AV21" s="360"/>
      <c r="AW21" s="355"/>
      <c r="AX21" s="355"/>
      <c r="AY21" s="355"/>
      <c r="AZ21" s="356"/>
      <c r="BA21" s="357"/>
      <c r="BB21" s="358"/>
      <c r="BC21" s="357"/>
      <c r="BD21" s="359"/>
      <c r="BE21" s="360"/>
      <c r="BF21" s="355"/>
      <c r="BG21" s="355"/>
      <c r="BH21" s="355"/>
      <c r="BI21" s="356"/>
      <c r="BJ21" s="357"/>
      <c r="BK21" s="358"/>
      <c r="BL21" s="357"/>
      <c r="BM21" s="359"/>
      <c r="BN21" s="360"/>
      <c r="BO21" s="355"/>
      <c r="BP21" s="355"/>
      <c r="BQ21" s="355"/>
      <c r="BR21" s="356"/>
      <c r="BS21" s="357"/>
      <c r="BT21" s="358"/>
      <c r="BU21" s="357"/>
      <c r="BV21" s="359"/>
      <c r="BW21" s="360"/>
      <c r="BX21" s="355"/>
      <c r="BY21" s="355"/>
      <c r="BZ21" s="355"/>
      <c r="CA21" s="356"/>
      <c r="CB21" s="357"/>
      <c r="CC21" s="358"/>
      <c r="CD21" s="357"/>
      <c r="CE21" s="359"/>
      <c r="CF21" s="360"/>
      <c r="CG21" s="355"/>
      <c r="CH21" s="355"/>
      <c r="CI21" s="355"/>
      <c r="CJ21" s="356"/>
      <c r="CK21" s="357"/>
      <c r="CL21" s="358"/>
      <c r="CM21" s="357"/>
      <c r="CN21" s="359"/>
      <c r="CO21" s="360"/>
      <c r="CP21" s="355"/>
      <c r="CQ21" s="355"/>
      <c r="CR21" s="355"/>
      <c r="CS21" s="356"/>
      <c r="CT21" s="357"/>
      <c r="CU21" s="358"/>
      <c r="CV21" s="361"/>
      <c r="CW21" s="359"/>
      <c r="CX21" s="360"/>
      <c r="CY21" s="355"/>
      <c r="CZ21" s="355"/>
      <c r="DA21" s="355"/>
      <c r="DB21" s="356"/>
      <c r="DC21" s="357"/>
      <c r="DD21" s="358"/>
      <c r="DE21" s="357"/>
      <c r="DF21" s="359"/>
      <c r="DG21" s="360"/>
      <c r="DH21" s="355"/>
      <c r="DI21" s="355"/>
      <c r="DJ21" s="355"/>
      <c r="DK21" s="356"/>
      <c r="DL21" s="357"/>
      <c r="DM21" s="358"/>
      <c r="DN21" s="357"/>
      <c r="DO21" s="359"/>
      <c r="DP21" s="360"/>
      <c r="DQ21" s="355"/>
      <c r="DR21" s="355"/>
      <c r="DS21" s="355"/>
      <c r="DT21" s="356"/>
      <c r="DU21" s="357"/>
      <c r="DV21" s="358"/>
      <c r="DW21" s="357"/>
      <c r="DX21" s="359"/>
      <c r="DY21" s="360"/>
      <c r="DZ21" s="355"/>
      <c r="EA21" s="355"/>
      <c r="EB21" s="355"/>
      <c r="EC21" s="356"/>
      <c r="ED21" s="357"/>
      <c r="EE21" s="358"/>
      <c r="EF21" s="357"/>
      <c r="EG21" s="359"/>
      <c r="EH21" s="360"/>
      <c r="EI21" s="355"/>
      <c r="EJ21" s="355"/>
      <c r="EK21" s="355"/>
      <c r="EL21" s="356"/>
      <c r="EM21" s="357"/>
      <c r="EN21" s="358"/>
      <c r="EO21" s="357"/>
      <c r="EP21" s="359"/>
      <c r="EQ21" s="360"/>
      <c r="ER21" s="355"/>
      <c r="ES21" s="355"/>
      <c r="ET21" s="355"/>
      <c r="EU21" s="356"/>
      <c r="EV21" s="357"/>
      <c r="EW21" s="358"/>
      <c r="EX21" s="357"/>
      <c r="EY21" s="359"/>
      <c r="EZ21" s="360"/>
      <c r="FA21" s="355"/>
      <c r="FB21" s="355"/>
      <c r="FC21" s="355"/>
      <c r="FD21" s="356"/>
      <c r="FE21" s="357"/>
      <c r="FF21" s="358"/>
      <c r="FG21" s="357"/>
      <c r="FH21" s="359"/>
      <c r="FI21" s="360"/>
      <c r="FJ21" s="355"/>
      <c r="FK21" s="355"/>
      <c r="FL21" s="355"/>
      <c r="FM21" s="356"/>
      <c r="FN21" s="357"/>
      <c r="FO21" s="358"/>
      <c r="FP21" s="357"/>
      <c r="FQ21" s="359"/>
      <c r="FR21" s="360"/>
      <c r="FS21" s="355"/>
      <c r="FT21" s="355"/>
      <c r="FU21" s="355"/>
      <c r="FV21" s="356"/>
      <c r="FW21" s="357"/>
      <c r="FX21" s="358"/>
      <c r="FY21" s="357"/>
      <c r="FZ21" s="359"/>
      <c r="GA21" s="360"/>
      <c r="GB21" s="355"/>
      <c r="GC21" s="355"/>
      <c r="GD21" s="355"/>
      <c r="GE21" s="356"/>
      <c r="GF21" s="357"/>
      <c r="GG21" s="358"/>
      <c r="GH21" s="357"/>
      <c r="GI21" s="359"/>
      <c r="GJ21" s="360"/>
      <c r="GK21" s="355"/>
      <c r="GL21" s="355"/>
      <c r="GM21" s="355"/>
      <c r="GN21" s="356"/>
      <c r="GO21" s="357"/>
      <c r="GP21" s="358"/>
      <c r="GQ21" s="357"/>
      <c r="GR21" s="359"/>
      <c r="GS21" s="360"/>
      <c r="GT21" s="362">
        <v>42893</v>
      </c>
      <c r="GU21" s="98"/>
      <c r="GV21" s="65">
        <v>17584</v>
      </c>
      <c r="GW21" s="74" t="s">
        <v>433</v>
      </c>
      <c r="GX21" s="74"/>
      <c r="GY21" s="530" t="s">
        <v>499</v>
      </c>
      <c r="GZ21" s="404">
        <v>1856</v>
      </c>
    </row>
    <row r="22" spans="1:208" x14ac:dyDescent="0.25">
      <c r="C22" s="87"/>
      <c r="D22" s="35"/>
      <c r="E22" s="36"/>
      <c r="F22" s="37"/>
      <c r="G22" s="38"/>
      <c r="H22" s="39"/>
      <c r="I22" s="40"/>
      <c r="J22" s="76" t="s">
        <v>427</v>
      </c>
      <c r="K22" s="407" t="s">
        <v>37</v>
      </c>
      <c r="L22" s="70">
        <v>19020</v>
      </c>
      <c r="M22" s="527">
        <v>42870</v>
      </c>
      <c r="N22" s="380" t="s">
        <v>463</v>
      </c>
      <c r="O22" s="72">
        <v>23835</v>
      </c>
      <c r="P22" s="113">
        <f t="shared" si="0"/>
        <v>4815</v>
      </c>
      <c r="Q22" s="64">
        <v>25.5</v>
      </c>
      <c r="R22" s="64"/>
      <c r="S22" s="64"/>
      <c r="T22" s="39">
        <f t="shared" si="1"/>
        <v>607792.5</v>
      </c>
      <c r="U22" s="363" t="s">
        <v>72</v>
      </c>
      <c r="V22" s="353">
        <v>42894</v>
      </c>
      <c r="W22" s="364">
        <v>15080</v>
      </c>
      <c r="X22" s="355"/>
      <c r="Y22" s="356"/>
      <c r="Z22" s="357"/>
      <c r="AA22" s="358"/>
      <c r="AB22" s="357"/>
      <c r="AC22" s="359"/>
      <c r="AD22" s="360"/>
      <c r="AE22" s="355"/>
      <c r="AF22" s="355"/>
      <c r="AG22" s="355"/>
      <c r="AH22" s="356"/>
      <c r="AI22" s="357"/>
      <c r="AJ22" s="358"/>
      <c r="AK22" s="357"/>
      <c r="AL22" s="359"/>
      <c r="AM22" s="360"/>
      <c r="AN22" s="355"/>
      <c r="AO22" s="355"/>
      <c r="AP22" s="355"/>
      <c r="AQ22" s="356"/>
      <c r="AR22" s="357"/>
      <c r="AS22" s="358"/>
      <c r="AT22" s="357"/>
      <c r="AU22" s="359"/>
      <c r="AV22" s="360"/>
      <c r="AW22" s="355"/>
      <c r="AX22" s="355"/>
      <c r="AY22" s="355"/>
      <c r="AZ22" s="356"/>
      <c r="BA22" s="357"/>
      <c r="BB22" s="358"/>
      <c r="BC22" s="357"/>
      <c r="BD22" s="359"/>
      <c r="BE22" s="360"/>
      <c r="BF22" s="355"/>
      <c r="BG22" s="355"/>
      <c r="BH22" s="355"/>
      <c r="BI22" s="356"/>
      <c r="BJ22" s="357"/>
      <c r="BK22" s="358"/>
      <c r="BL22" s="357"/>
      <c r="BM22" s="359"/>
      <c r="BN22" s="360"/>
      <c r="BO22" s="355"/>
      <c r="BP22" s="355"/>
      <c r="BQ22" s="355"/>
      <c r="BR22" s="356"/>
      <c r="BS22" s="357"/>
      <c r="BT22" s="358"/>
      <c r="BU22" s="357"/>
      <c r="BV22" s="359"/>
      <c r="BW22" s="360"/>
      <c r="BX22" s="355"/>
      <c r="BY22" s="355"/>
      <c r="BZ22" s="355"/>
      <c r="CA22" s="356"/>
      <c r="CB22" s="357"/>
      <c r="CC22" s="358"/>
      <c r="CD22" s="357"/>
      <c r="CE22" s="359"/>
      <c r="CF22" s="360"/>
      <c r="CG22" s="355"/>
      <c r="CH22" s="355"/>
      <c r="CI22" s="355"/>
      <c r="CJ22" s="356"/>
      <c r="CK22" s="357"/>
      <c r="CL22" s="358"/>
      <c r="CM22" s="357"/>
      <c r="CN22" s="359"/>
      <c r="CO22" s="360"/>
      <c r="CP22" s="355"/>
      <c r="CQ22" s="355"/>
      <c r="CR22" s="355"/>
      <c r="CS22" s="356"/>
      <c r="CT22" s="357"/>
      <c r="CU22" s="358"/>
      <c r="CV22" s="361"/>
      <c r="CW22" s="359"/>
      <c r="CX22" s="360"/>
      <c r="CY22" s="355"/>
      <c r="CZ22" s="355"/>
      <c r="DA22" s="355"/>
      <c r="DB22" s="356"/>
      <c r="DC22" s="357"/>
      <c r="DD22" s="358"/>
      <c r="DE22" s="357"/>
      <c r="DF22" s="359"/>
      <c r="DG22" s="360"/>
      <c r="DH22" s="355"/>
      <c r="DI22" s="355"/>
      <c r="DJ22" s="355"/>
      <c r="DK22" s="356"/>
      <c r="DL22" s="357"/>
      <c r="DM22" s="358"/>
      <c r="DN22" s="357"/>
      <c r="DO22" s="359"/>
      <c r="DP22" s="360"/>
      <c r="DQ22" s="355"/>
      <c r="DR22" s="355"/>
      <c r="DS22" s="355"/>
      <c r="DT22" s="356"/>
      <c r="DU22" s="357"/>
      <c r="DV22" s="358"/>
      <c r="DW22" s="357"/>
      <c r="DX22" s="359"/>
      <c r="DY22" s="360"/>
      <c r="DZ22" s="355"/>
      <c r="EA22" s="355"/>
      <c r="EB22" s="355"/>
      <c r="EC22" s="356"/>
      <c r="ED22" s="357"/>
      <c r="EE22" s="358"/>
      <c r="EF22" s="357"/>
      <c r="EG22" s="359"/>
      <c r="EH22" s="360"/>
      <c r="EI22" s="355"/>
      <c r="EJ22" s="355"/>
      <c r="EK22" s="355"/>
      <c r="EL22" s="356"/>
      <c r="EM22" s="357"/>
      <c r="EN22" s="358"/>
      <c r="EO22" s="357"/>
      <c r="EP22" s="359"/>
      <c r="EQ22" s="360"/>
      <c r="ER22" s="355"/>
      <c r="ES22" s="355"/>
      <c r="ET22" s="355"/>
      <c r="EU22" s="356"/>
      <c r="EV22" s="357"/>
      <c r="EW22" s="358"/>
      <c r="EX22" s="357"/>
      <c r="EY22" s="359"/>
      <c r="EZ22" s="360"/>
      <c r="FA22" s="355"/>
      <c r="FB22" s="355"/>
      <c r="FC22" s="355"/>
      <c r="FD22" s="356"/>
      <c r="FE22" s="357"/>
      <c r="FF22" s="358"/>
      <c r="FG22" s="357"/>
      <c r="FH22" s="359"/>
      <c r="FI22" s="360"/>
      <c r="FJ22" s="355"/>
      <c r="FK22" s="355"/>
      <c r="FL22" s="355"/>
      <c r="FM22" s="356"/>
      <c r="FN22" s="357"/>
      <c r="FO22" s="358"/>
      <c r="FP22" s="357"/>
      <c r="FQ22" s="359"/>
      <c r="FR22" s="360"/>
      <c r="FS22" s="355"/>
      <c r="FT22" s="355"/>
      <c r="FU22" s="355"/>
      <c r="FV22" s="356"/>
      <c r="FW22" s="357"/>
      <c r="FX22" s="358"/>
      <c r="FY22" s="357"/>
      <c r="FZ22" s="359"/>
      <c r="GA22" s="360"/>
      <c r="GB22" s="355"/>
      <c r="GC22" s="355"/>
      <c r="GD22" s="355"/>
      <c r="GE22" s="356"/>
      <c r="GF22" s="357"/>
      <c r="GG22" s="358"/>
      <c r="GH22" s="357"/>
      <c r="GI22" s="359"/>
      <c r="GJ22" s="360"/>
      <c r="GK22" s="355"/>
      <c r="GL22" s="355"/>
      <c r="GM22" s="355"/>
      <c r="GN22" s="356"/>
      <c r="GO22" s="357"/>
      <c r="GP22" s="358"/>
      <c r="GQ22" s="357"/>
      <c r="GR22" s="359"/>
      <c r="GS22" s="360"/>
      <c r="GT22" s="365">
        <v>42894</v>
      </c>
      <c r="GU22" s="98"/>
      <c r="GV22" s="65">
        <v>22176</v>
      </c>
      <c r="GW22" s="74" t="s">
        <v>434</v>
      </c>
      <c r="GX22" s="74"/>
      <c r="GY22" s="530" t="s">
        <v>499</v>
      </c>
      <c r="GZ22" s="404">
        <v>3526.4</v>
      </c>
    </row>
    <row r="23" spans="1:208" x14ac:dyDescent="0.25">
      <c r="C23" s="87"/>
      <c r="D23" s="35"/>
      <c r="E23" s="36"/>
      <c r="F23" s="37"/>
      <c r="G23" s="38"/>
      <c r="H23" s="39"/>
      <c r="I23" s="40"/>
      <c r="J23" s="68" t="s">
        <v>42</v>
      </c>
      <c r="K23" s="407" t="s">
        <v>37</v>
      </c>
      <c r="L23" s="70">
        <v>18210</v>
      </c>
      <c r="M23" s="527">
        <v>42871</v>
      </c>
      <c r="N23" s="380" t="s">
        <v>470</v>
      </c>
      <c r="O23" s="72">
        <v>22700</v>
      </c>
      <c r="P23" s="113">
        <f t="shared" si="0"/>
        <v>4490</v>
      </c>
      <c r="Q23" s="64">
        <v>26</v>
      </c>
      <c r="R23" s="64"/>
      <c r="S23" s="64"/>
      <c r="T23" s="39">
        <f t="shared" si="1"/>
        <v>590200</v>
      </c>
      <c r="U23" s="363" t="s">
        <v>72</v>
      </c>
      <c r="V23" s="353">
        <v>42898</v>
      </c>
      <c r="W23" s="364">
        <v>15080</v>
      </c>
      <c r="X23" s="355"/>
      <c r="Y23" s="356"/>
      <c r="Z23" s="357"/>
      <c r="AA23" s="358"/>
      <c r="AB23" s="357"/>
      <c r="AC23" s="359"/>
      <c r="AD23" s="360"/>
      <c r="AE23" s="355"/>
      <c r="AF23" s="355"/>
      <c r="AG23" s="355"/>
      <c r="AH23" s="356"/>
      <c r="AI23" s="357"/>
      <c r="AJ23" s="358"/>
      <c r="AK23" s="357"/>
      <c r="AL23" s="359"/>
      <c r="AM23" s="360"/>
      <c r="AN23" s="355"/>
      <c r="AO23" s="355"/>
      <c r="AP23" s="355"/>
      <c r="AQ23" s="356"/>
      <c r="AR23" s="357"/>
      <c r="AS23" s="358"/>
      <c r="AT23" s="357"/>
      <c r="AU23" s="359"/>
      <c r="AV23" s="360"/>
      <c r="AW23" s="355"/>
      <c r="AX23" s="355"/>
      <c r="AY23" s="355"/>
      <c r="AZ23" s="356"/>
      <c r="BA23" s="357"/>
      <c r="BB23" s="358"/>
      <c r="BC23" s="357"/>
      <c r="BD23" s="359"/>
      <c r="BE23" s="360"/>
      <c r="BF23" s="355"/>
      <c r="BG23" s="355"/>
      <c r="BH23" s="355"/>
      <c r="BI23" s="356"/>
      <c r="BJ23" s="357"/>
      <c r="BK23" s="358"/>
      <c r="BL23" s="357"/>
      <c r="BM23" s="359"/>
      <c r="BN23" s="360"/>
      <c r="BO23" s="355"/>
      <c r="BP23" s="355"/>
      <c r="BQ23" s="355"/>
      <c r="BR23" s="356"/>
      <c r="BS23" s="357"/>
      <c r="BT23" s="358"/>
      <c r="BU23" s="357"/>
      <c r="BV23" s="359"/>
      <c r="BW23" s="360"/>
      <c r="BX23" s="355"/>
      <c r="BY23" s="355"/>
      <c r="BZ23" s="355"/>
      <c r="CA23" s="356"/>
      <c r="CB23" s="357"/>
      <c r="CC23" s="358"/>
      <c r="CD23" s="357"/>
      <c r="CE23" s="359"/>
      <c r="CF23" s="360"/>
      <c r="CG23" s="355"/>
      <c r="CH23" s="355"/>
      <c r="CI23" s="355"/>
      <c r="CJ23" s="356"/>
      <c r="CK23" s="357"/>
      <c r="CL23" s="358"/>
      <c r="CM23" s="357"/>
      <c r="CN23" s="359"/>
      <c r="CO23" s="360"/>
      <c r="CP23" s="355"/>
      <c r="CQ23" s="355"/>
      <c r="CR23" s="355"/>
      <c r="CS23" s="356"/>
      <c r="CT23" s="357"/>
      <c r="CU23" s="358"/>
      <c r="CV23" s="361"/>
      <c r="CW23" s="359"/>
      <c r="CX23" s="360"/>
      <c r="CY23" s="355"/>
      <c r="CZ23" s="355"/>
      <c r="DA23" s="355"/>
      <c r="DB23" s="356"/>
      <c r="DC23" s="357"/>
      <c r="DD23" s="358"/>
      <c r="DE23" s="357"/>
      <c r="DF23" s="359"/>
      <c r="DG23" s="360"/>
      <c r="DH23" s="355"/>
      <c r="DI23" s="355"/>
      <c r="DJ23" s="355"/>
      <c r="DK23" s="356"/>
      <c r="DL23" s="357"/>
      <c r="DM23" s="358"/>
      <c r="DN23" s="357"/>
      <c r="DO23" s="359"/>
      <c r="DP23" s="360"/>
      <c r="DQ23" s="355"/>
      <c r="DR23" s="355"/>
      <c r="DS23" s="355"/>
      <c r="DT23" s="356"/>
      <c r="DU23" s="357"/>
      <c r="DV23" s="358"/>
      <c r="DW23" s="357"/>
      <c r="DX23" s="359"/>
      <c r="DY23" s="360"/>
      <c r="DZ23" s="355"/>
      <c r="EA23" s="355"/>
      <c r="EB23" s="355"/>
      <c r="EC23" s="356"/>
      <c r="ED23" s="357"/>
      <c r="EE23" s="358"/>
      <c r="EF23" s="357"/>
      <c r="EG23" s="359"/>
      <c r="EH23" s="360"/>
      <c r="EI23" s="355"/>
      <c r="EJ23" s="355"/>
      <c r="EK23" s="355"/>
      <c r="EL23" s="356"/>
      <c r="EM23" s="357"/>
      <c r="EN23" s="358"/>
      <c r="EO23" s="357"/>
      <c r="EP23" s="359"/>
      <c r="EQ23" s="360"/>
      <c r="ER23" s="355"/>
      <c r="ES23" s="355"/>
      <c r="ET23" s="355"/>
      <c r="EU23" s="356"/>
      <c r="EV23" s="357"/>
      <c r="EW23" s="358"/>
      <c r="EX23" s="357"/>
      <c r="EY23" s="359"/>
      <c r="EZ23" s="360"/>
      <c r="FA23" s="355"/>
      <c r="FB23" s="355"/>
      <c r="FC23" s="355"/>
      <c r="FD23" s="356"/>
      <c r="FE23" s="357"/>
      <c r="FF23" s="358"/>
      <c r="FG23" s="357"/>
      <c r="FH23" s="359"/>
      <c r="FI23" s="360"/>
      <c r="FJ23" s="355"/>
      <c r="FK23" s="355"/>
      <c r="FL23" s="355"/>
      <c r="FM23" s="356"/>
      <c r="FN23" s="357"/>
      <c r="FO23" s="358"/>
      <c r="FP23" s="357"/>
      <c r="FQ23" s="359"/>
      <c r="FR23" s="360"/>
      <c r="FS23" s="355"/>
      <c r="FT23" s="355"/>
      <c r="FU23" s="355"/>
      <c r="FV23" s="356"/>
      <c r="FW23" s="357"/>
      <c r="FX23" s="358"/>
      <c r="FY23" s="357"/>
      <c r="FZ23" s="359"/>
      <c r="GA23" s="360"/>
      <c r="GB23" s="355"/>
      <c r="GC23" s="355"/>
      <c r="GD23" s="355"/>
      <c r="GE23" s="356"/>
      <c r="GF23" s="357"/>
      <c r="GG23" s="358"/>
      <c r="GH23" s="357"/>
      <c r="GI23" s="359"/>
      <c r="GJ23" s="360"/>
      <c r="GK23" s="355"/>
      <c r="GL23" s="355"/>
      <c r="GM23" s="355"/>
      <c r="GN23" s="356"/>
      <c r="GO23" s="357"/>
      <c r="GP23" s="358"/>
      <c r="GQ23" s="357"/>
      <c r="GR23" s="359"/>
      <c r="GS23" s="360"/>
      <c r="GT23" s="362">
        <v>42898</v>
      </c>
      <c r="GU23" s="98"/>
      <c r="GV23" s="65"/>
      <c r="GW23" s="74"/>
      <c r="GX23" s="74"/>
      <c r="GY23" s="389" t="s">
        <v>554</v>
      </c>
      <c r="GZ23" s="535">
        <v>3526.4</v>
      </c>
    </row>
    <row r="24" spans="1:208" x14ac:dyDescent="0.25">
      <c r="A24" s="1">
        <v>23</v>
      </c>
      <c r="B24" t="e">
        <f>#REF!</f>
        <v>#REF!</v>
      </c>
      <c r="C24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68" t="s">
        <v>33</v>
      </c>
      <c r="K24" s="407" t="s">
        <v>315</v>
      </c>
      <c r="L24" s="70">
        <v>22190</v>
      </c>
      <c r="M24" s="527">
        <v>42872</v>
      </c>
      <c r="N24" s="380" t="s">
        <v>469</v>
      </c>
      <c r="O24" s="72">
        <v>27850</v>
      </c>
      <c r="P24" s="113">
        <f t="shared" si="0"/>
        <v>5660</v>
      </c>
      <c r="Q24" s="64">
        <v>26</v>
      </c>
      <c r="R24" s="64"/>
      <c r="S24" s="64"/>
      <c r="T24" s="39">
        <f t="shared" si="1"/>
        <v>724100</v>
      </c>
      <c r="U24" s="363" t="s">
        <v>72</v>
      </c>
      <c r="V24" s="366">
        <v>42895</v>
      </c>
      <c r="W24" s="367">
        <v>18774.599999999999</v>
      </c>
      <c r="X24" s="355"/>
      <c r="Y24" s="356"/>
      <c r="Z24" s="357"/>
      <c r="AA24" s="358"/>
      <c r="AB24" s="357"/>
      <c r="AC24" s="359"/>
      <c r="AD24" s="360"/>
      <c r="AE24" s="355"/>
      <c r="AF24" s="355"/>
      <c r="AG24" s="355"/>
      <c r="AH24" s="356"/>
      <c r="AI24" s="357"/>
      <c r="AJ24" s="358"/>
      <c r="AK24" s="357"/>
      <c r="AL24" s="359"/>
      <c r="AM24" s="360"/>
      <c r="AN24" s="355"/>
      <c r="AO24" s="355"/>
      <c r="AP24" s="355"/>
      <c r="AQ24" s="356"/>
      <c r="AR24" s="357"/>
      <c r="AS24" s="358"/>
      <c r="AT24" s="357"/>
      <c r="AU24" s="359"/>
      <c r="AV24" s="360"/>
      <c r="AW24" s="355"/>
      <c r="AX24" s="355"/>
      <c r="AY24" s="355"/>
      <c r="AZ24" s="356"/>
      <c r="BA24" s="357"/>
      <c r="BB24" s="358"/>
      <c r="BC24" s="357"/>
      <c r="BD24" s="359"/>
      <c r="BE24" s="360"/>
      <c r="BF24" s="355"/>
      <c r="BG24" s="355"/>
      <c r="BH24" s="355"/>
      <c r="BI24" s="356"/>
      <c r="BJ24" s="357"/>
      <c r="BK24" s="358"/>
      <c r="BL24" s="357"/>
      <c r="BM24" s="359"/>
      <c r="BN24" s="360"/>
      <c r="BO24" s="355"/>
      <c r="BP24" s="355"/>
      <c r="BQ24" s="355"/>
      <c r="BR24" s="356"/>
      <c r="BS24" s="357"/>
      <c r="BT24" s="358"/>
      <c r="BU24" s="357"/>
      <c r="BV24" s="359"/>
      <c r="BW24" s="360"/>
      <c r="BX24" s="355"/>
      <c r="BY24" s="355"/>
      <c r="BZ24" s="355"/>
      <c r="CA24" s="356"/>
      <c r="CB24" s="357"/>
      <c r="CC24" s="358"/>
      <c r="CD24" s="357"/>
      <c r="CE24" s="359"/>
      <c r="CF24" s="360"/>
      <c r="CG24" s="355"/>
      <c r="CH24" s="355"/>
      <c r="CI24" s="355"/>
      <c r="CJ24" s="356"/>
      <c r="CK24" s="357"/>
      <c r="CL24" s="358"/>
      <c r="CM24" s="357"/>
      <c r="CN24" s="359"/>
      <c r="CO24" s="360"/>
      <c r="CP24" s="355"/>
      <c r="CQ24" s="355"/>
      <c r="CR24" s="355"/>
      <c r="CS24" s="356"/>
      <c r="CT24" s="357"/>
      <c r="CU24" s="358"/>
      <c r="CV24" s="357"/>
      <c r="CW24" s="359"/>
      <c r="CX24" s="360"/>
      <c r="CY24" s="355"/>
      <c r="CZ24" s="355"/>
      <c r="DA24" s="355"/>
      <c r="DB24" s="356"/>
      <c r="DC24" s="357"/>
      <c r="DD24" s="358"/>
      <c r="DE24" s="357"/>
      <c r="DF24" s="359"/>
      <c r="DG24" s="360"/>
      <c r="DH24" s="355"/>
      <c r="DI24" s="355"/>
      <c r="DJ24" s="355"/>
      <c r="DK24" s="356"/>
      <c r="DL24" s="357"/>
      <c r="DM24" s="358"/>
      <c r="DN24" s="357"/>
      <c r="DO24" s="359"/>
      <c r="DP24" s="360"/>
      <c r="DQ24" s="355"/>
      <c r="DR24" s="355"/>
      <c r="DS24" s="355"/>
      <c r="DT24" s="356"/>
      <c r="DU24" s="357"/>
      <c r="DV24" s="358"/>
      <c r="DW24" s="357"/>
      <c r="DX24" s="359"/>
      <c r="DY24" s="360"/>
      <c r="DZ24" s="355"/>
      <c r="EA24" s="355"/>
      <c r="EB24" s="355"/>
      <c r="EC24" s="356"/>
      <c r="ED24" s="357"/>
      <c r="EE24" s="358"/>
      <c r="EF24" s="357"/>
      <c r="EG24" s="359"/>
      <c r="EH24" s="360"/>
      <c r="EI24" s="355"/>
      <c r="EJ24" s="355"/>
      <c r="EK24" s="355"/>
      <c r="EL24" s="356"/>
      <c r="EM24" s="357"/>
      <c r="EN24" s="358"/>
      <c r="EO24" s="357"/>
      <c r="EP24" s="359"/>
      <c r="EQ24" s="360"/>
      <c r="ER24" s="355"/>
      <c r="ES24" s="355"/>
      <c r="ET24" s="355"/>
      <c r="EU24" s="356"/>
      <c r="EV24" s="357"/>
      <c r="EW24" s="358"/>
      <c r="EX24" s="357"/>
      <c r="EY24" s="359"/>
      <c r="EZ24" s="360"/>
      <c r="FA24" s="355"/>
      <c r="FB24" s="355"/>
      <c r="FC24" s="355"/>
      <c r="FD24" s="356"/>
      <c r="FE24" s="357"/>
      <c r="FF24" s="358"/>
      <c r="FG24" s="357"/>
      <c r="FH24" s="359"/>
      <c r="FI24" s="360"/>
      <c r="FJ24" s="355"/>
      <c r="FK24" s="355"/>
      <c r="FL24" s="355"/>
      <c r="FM24" s="356"/>
      <c r="FN24" s="357"/>
      <c r="FO24" s="358"/>
      <c r="FP24" s="357"/>
      <c r="FQ24" s="359"/>
      <c r="FR24" s="360"/>
      <c r="FS24" s="355"/>
      <c r="FT24" s="355"/>
      <c r="FU24" s="355"/>
      <c r="FV24" s="356"/>
      <c r="FW24" s="357"/>
      <c r="FX24" s="358"/>
      <c r="FY24" s="357"/>
      <c r="FZ24" s="359"/>
      <c r="GA24" s="360"/>
      <c r="GB24" s="355"/>
      <c r="GC24" s="355"/>
      <c r="GD24" s="355"/>
      <c r="GE24" s="356"/>
      <c r="GF24" s="357"/>
      <c r="GG24" s="358"/>
      <c r="GH24" s="357"/>
      <c r="GI24" s="359"/>
      <c r="GJ24" s="360"/>
      <c r="GK24" s="355"/>
      <c r="GL24" s="355"/>
      <c r="GM24" s="355"/>
      <c r="GN24" s="356"/>
      <c r="GO24" s="357"/>
      <c r="GP24" s="358"/>
      <c r="GQ24" s="357"/>
      <c r="GR24" s="359"/>
      <c r="GS24" s="360"/>
      <c r="GT24" s="362">
        <v>42895</v>
      </c>
      <c r="GU24" s="98"/>
      <c r="GV24" s="84">
        <v>22176</v>
      </c>
      <c r="GW24" s="74" t="s">
        <v>446</v>
      </c>
      <c r="GX24" s="74"/>
      <c r="GY24" s="391" t="s">
        <v>554</v>
      </c>
      <c r="GZ24" s="535">
        <v>3526.4</v>
      </c>
    </row>
    <row r="25" spans="1:208" x14ac:dyDescent="0.25">
      <c r="D25" s="35"/>
      <c r="E25" s="36"/>
      <c r="F25" s="37"/>
      <c r="G25" s="38"/>
      <c r="H25" s="39"/>
      <c r="I25" s="40"/>
      <c r="J25" s="68" t="s">
        <v>33</v>
      </c>
      <c r="K25" s="407" t="s">
        <v>41</v>
      </c>
      <c r="L25" s="70">
        <v>22650</v>
      </c>
      <c r="M25" s="527">
        <v>42873</v>
      </c>
      <c r="N25" s="380" t="s">
        <v>471</v>
      </c>
      <c r="O25" s="72">
        <v>28760</v>
      </c>
      <c r="P25" s="113">
        <f t="shared" si="0"/>
        <v>6110</v>
      </c>
      <c r="Q25" s="117">
        <v>26</v>
      </c>
      <c r="R25" s="117"/>
      <c r="S25" s="117"/>
      <c r="T25" s="39">
        <f t="shared" si="1"/>
        <v>747760</v>
      </c>
      <c r="U25" s="363" t="s">
        <v>72</v>
      </c>
      <c r="V25" s="353">
        <v>42898</v>
      </c>
      <c r="W25" s="368">
        <v>18850</v>
      </c>
      <c r="X25" s="355"/>
      <c r="Y25" s="356"/>
      <c r="Z25" s="357"/>
      <c r="AA25" s="358"/>
      <c r="AB25" s="357"/>
      <c r="AC25" s="359"/>
      <c r="AD25" s="360"/>
      <c r="AE25" s="355"/>
      <c r="AF25" s="355"/>
      <c r="AG25" s="355"/>
      <c r="AH25" s="356"/>
      <c r="AI25" s="357"/>
      <c r="AJ25" s="358"/>
      <c r="AK25" s="357"/>
      <c r="AL25" s="359"/>
      <c r="AM25" s="360"/>
      <c r="AN25" s="355"/>
      <c r="AO25" s="355"/>
      <c r="AP25" s="355"/>
      <c r="AQ25" s="356"/>
      <c r="AR25" s="357"/>
      <c r="AS25" s="358"/>
      <c r="AT25" s="357"/>
      <c r="AU25" s="359"/>
      <c r="AV25" s="360"/>
      <c r="AW25" s="355"/>
      <c r="AX25" s="355"/>
      <c r="AY25" s="355"/>
      <c r="AZ25" s="356"/>
      <c r="BA25" s="357"/>
      <c r="BB25" s="358"/>
      <c r="BC25" s="357"/>
      <c r="BD25" s="359"/>
      <c r="BE25" s="360"/>
      <c r="BF25" s="355"/>
      <c r="BG25" s="355"/>
      <c r="BH25" s="355"/>
      <c r="BI25" s="356"/>
      <c r="BJ25" s="357"/>
      <c r="BK25" s="358"/>
      <c r="BL25" s="357"/>
      <c r="BM25" s="359"/>
      <c r="BN25" s="360"/>
      <c r="BO25" s="355"/>
      <c r="BP25" s="355"/>
      <c r="BQ25" s="355"/>
      <c r="BR25" s="356"/>
      <c r="BS25" s="357"/>
      <c r="BT25" s="358"/>
      <c r="BU25" s="357"/>
      <c r="BV25" s="359"/>
      <c r="BW25" s="360"/>
      <c r="BX25" s="355"/>
      <c r="BY25" s="355"/>
      <c r="BZ25" s="355"/>
      <c r="CA25" s="356"/>
      <c r="CB25" s="357"/>
      <c r="CC25" s="358"/>
      <c r="CD25" s="357"/>
      <c r="CE25" s="359"/>
      <c r="CF25" s="360"/>
      <c r="CG25" s="355"/>
      <c r="CH25" s="355"/>
      <c r="CI25" s="355"/>
      <c r="CJ25" s="356"/>
      <c r="CK25" s="357"/>
      <c r="CL25" s="358"/>
      <c r="CM25" s="357"/>
      <c r="CN25" s="359"/>
      <c r="CO25" s="360"/>
      <c r="CP25" s="355"/>
      <c r="CQ25" s="355"/>
      <c r="CR25" s="355"/>
      <c r="CS25" s="356"/>
      <c r="CT25" s="357"/>
      <c r="CU25" s="358"/>
      <c r="CV25" s="357"/>
      <c r="CW25" s="359"/>
      <c r="CX25" s="360"/>
      <c r="CY25" s="355"/>
      <c r="CZ25" s="355"/>
      <c r="DA25" s="355"/>
      <c r="DB25" s="356"/>
      <c r="DC25" s="357"/>
      <c r="DD25" s="358"/>
      <c r="DE25" s="357"/>
      <c r="DF25" s="359"/>
      <c r="DG25" s="360"/>
      <c r="DH25" s="355"/>
      <c r="DI25" s="355"/>
      <c r="DJ25" s="355"/>
      <c r="DK25" s="356"/>
      <c r="DL25" s="357"/>
      <c r="DM25" s="358"/>
      <c r="DN25" s="357"/>
      <c r="DO25" s="359"/>
      <c r="DP25" s="360"/>
      <c r="DQ25" s="355"/>
      <c r="DR25" s="355"/>
      <c r="DS25" s="355"/>
      <c r="DT25" s="356"/>
      <c r="DU25" s="357"/>
      <c r="DV25" s="358"/>
      <c r="DW25" s="357"/>
      <c r="DX25" s="359"/>
      <c r="DY25" s="360"/>
      <c r="DZ25" s="355"/>
      <c r="EA25" s="355"/>
      <c r="EB25" s="355"/>
      <c r="EC25" s="356"/>
      <c r="ED25" s="357"/>
      <c r="EE25" s="358"/>
      <c r="EF25" s="357"/>
      <c r="EG25" s="359"/>
      <c r="EH25" s="360"/>
      <c r="EI25" s="355"/>
      <c r="EJ25" s="355"/>
      <c r="EK25" s="355"/>
      <c r="EL25" s="356"/>
      <c r="EM25" s="357"/>
      <c r="EN25" s="358"/>
      <c r="EO25" s="357"/>
      <c r="EP25" s="359"/>
      <c r="EQ25" s="360"/>
      <c r="ER25" s="355"/>
      <c r="ES25" s="355"/>
      <c r="ET25" s="355"/>
      <c r="EU25" s="356"/>
      <c r="EV25" s="357"/>
      <c r="EW25" s="358"/>
      <c r="EX25" s="357"/>
      <c r="EY25" s="359"/>
      <c r="EZ25" s="360"/>
      <c r="FA25" s="355"/>
      <c r="FB25" s="355"/>
      <c r="FC25" s="355"/>
      <c r="FD25" s="356"/>
      <c r="FE25" s="357"/>
      <c r="FF25" s="358"/>
      <c r="FG25" s="357"/>
      <c r="FH25" s="359"/>
      <c r="FI25" s="360"/>
      <c r="FJ25" s="355"/>
      <c r="FK25" s="355"/>
      <c r="FL25" s="355"/>
      <c r="FM25" s="356"/>
      <c r="FN25" s="357"/>
      <c r="FO25" s="358"/>
      <c r="FP25" s="357"/>
      <c r="FQ25" s="359"/>
      <c r="FR25" s="360"/>
      <c r="FS25" s="355"/>
      <c r="FT25" s="355"/>
      <c r="FU25" s="355"/>
      <c r="FV25" s="356"/>
      <c r="FW25" s="357"/>
      <c r="FX25" s="358"/>
      <c r="FY25" s="357"/>
      <c r="FZ25" s="359"/>
      <c r="GA25" s="360"/>
      <c r="GB25" s="355"/>
      <c r="GC25" s="355"/>
      <c r="GD25" s="355"/>
      <c r="GE25" s="356"/>
      <c r="GF25" s="357"/>
      <c r="GG25" s="358"/>
      <c r="GH25" s="357"/>
      <c r="GI25" s="359"/>
      <c r="GJ25" s="360"/>
      <c r="GK25" s="355"/>
      <c r="GL25" s="355"/>
      <c r="GM25" s="355"/>
      <c r="GN25" s="356"/>
      <c r="GO25" s="357"/>
      <c r="GP25" s="358"/>
      <c r="GQ25" s="357"/>
      <c r="GR25" s="359"/>
      <c r="GS25" s="360"/>
      <c r="GT25" s="362">
        <v>42898</v>
      </c>
      <c r="GU25" s="98"/>
      <c r="GV25" s="65"/>
      <c r="GW25" s="74"/>
      <c r="GX25" s="74"/>
      <c r="GY25" s="389" t="s">
        <v>554</v>
      </c>
      <c r="GZ25" s="535">
        <v>3526.4</v>
      </c>
    </row>
    <row r="26" spans="1:208" x14ac:dyDescent="0.25">
      <c r="D26" s="35"/>
      <c r="E26" s="36"/>
      <c r="F26" s="37"/>
      <c r="G26" s="38"/>
      <c r="H26" s="39"/>
      <c r="I26" s="40"/>
      <c r="J26" s="68" t="s">
        <v>33</v>
      </c>
      <c r="K26" s="407" t="s">
        <v>35</v>
      </c>
      <c r="L26" s="70">
        <v>11300</v>
      </c>
      <c r="M26" s="527">
        <v>42873</v>
      </c>
      <c r="N26" s="380" t="s">
        <v>472</v>
      </c>
      <c r="O26" s="72">
        <v>14215</v>
      </c>
      <c r="P26" s="113">
        <f t="shared" si="0"/>
        <v>2915</v>
      </c>
      <c r="Q26" s="64">
        <v>26</v>
      </c>
      <c r="R26" s="64"/>
      <c r="S26" s="64"/>
      <c r="T26" s="39">
        <f t="shared" si="1"/>
        <v>369590</v>
      </c>
      <c r="U26" s="363" t="s">
        <v>72</v>
      </c>
      <c r="V26" s="353">
        <v>42898</v>
      </c>
      <c r="W26" s="368">
        <v>9802</v>
      </c>
      <c r="X26" s="355"/>
      <c r="Y26" s="356"/>
      <c r="Z26" s="357"/>
      <c r="AA26" s="358"/>
      <c r="AB26" s="357"/>
      <c r="AC26" s="359"/>
      <c r="AD26" s="360"/>
      <c r="AE26" s="355"/>
      <c r="AF26" s="355"/>
      <c r="AG26" s="355"/>
      <c r="AH26" s="356"/>
      <c r="AI26" s="357"/>
      <c r="AJ26" s="358"/>
      <c r="AK26" s="357"/>
      <c r="AL26" s="359"/>
      <c r="AM26" s="360"/>
      <c r="AN26" s="355"/>
      <c r="AO26" s="355"/>
      <c r="AP26" s="355"/>
      <c r="AQ26" s="356"/>
      <c r="AR26" s="357"/>
      <c r="AS26" s="358"/>
      <c r="AT26" s="357"/>
      <c r="AU26" s="359"/>
      <c r="AV26" s="360"/>
      <c r="AW26" s="355"/>
      <c r="AX26" s="355"/>
      <c r="AY26" s="355"/>
      <c r="AZ26" s="356"/>
      <c r="BA26" s="357"/>
      <c r="BB26" s="358"/>
      <c r="BC26" s="357"/>
      <c r="BD26" s="359"/>
      <c r="BE26" s="360"/>
      <c r="BF26" s="355"/>
      <c r="BG26" s="355"/>
      <c r="BH26" s="355"/>
      <c r="BI26" s="356"/>
      <c r="BJ26" s="357"/>
      <c r="BK26" s="358"/>
      <c r="BL26" s="357"/>
      <c r="BM26" s="359"/>
      <c r="BN26" s="360"/>
      <c r="BO26" s="355"/>
      <c r="BP26" s="355"/>
      <c r="BQ26" s="355"/>
      <c r="BR26" s="356"/>
      <c r="BS26" s="357"/>
      <c r="BT26" s="358"/>
      <c r="BU26" s="357"/>
      <c r="BV26" s="359"/>
      <c r="BW26" s="360"/>
      <c r="BX26" s="355"/>
      <c r="BY26" s="355"/>
      <c r="BZ26" s="355"/>
      <c r="CA26" s="356"/>
      <c r="CB26" s="357"/>
      <c r="CC26" s="358"/>
      <c r="CD26" s="357"/>
      <c r="CE26" s="359"/>
      <c r="CF26" s="360"/>
      <c r="CG26" s="355"/>
      <c r="CH26" s="355"/>
      <c r="CI26" s="355"/>
      <c r="CJ26" s="356"/>
      <c r="CK26" s="357"/>
      <c r="CL26" s="358"/>
      <c r="CM26" s="357"/>
      <c r="CN26" s="359"/>
      <c r="CO26" s="360"/>
      <c r="CP26" s="355"/>
      <c r="CQ26" s="355"/>
      <c r="CR26" s="355"/>
      <c r="CS26" s="356"/>
      <c r="CT26" s="357"/>
      <c r="CU26" s="358"/>
      <c r="CV26" s="357"/>
      <c r="CW26" s="359"/>
      <c r="CX26" s="360"/>
      <c r="CY26" s="355"/>
      <c r="CZ26" s="355"/>
      <c r="DA26" s="355"/>
      <c r="DB26" s="356"/>
      <c r="DC26" s="357"/>
      <c r="DD26" s="358"/>
      <c r="DE26" s="357"/>
      <c r="DF26" s="359"/>
      <c r="DG26" s="360"/>
      <c r="DH26" s="355"/>
      <c r="DI26" s="355"/>
      <c r="DJ26" s="355"/>
      <c r="DK26" s="356"/>
      <c r="DL26" s="357"/>
      <c r="DM26" s="358"/>
      <c r="DN26" s="357"/>
      <c r="DO26" s="359"/>
      <c r="DP26" s="360"/>
      <c r="DQ26" s="355"/>
      <c r="DR26" s="355"/>
      <c r="DS26" s="355"/>
      <c r="DT26" s="356"/>
      <c r="DU26" s="357"/>
      <c r="DV26" s="358"/>
      <c r="DW26" s="357"/>
      <c r="DX26" s="359"/>
      <c r="DY26" s="360"/>
      <c r="DZ26" s="355"/>
      <c r="EA26" s="355"/>
      <c r="EB26" s="355"/>
      <c r="EC26" s="356"/>
      <c r="ED26" s="357"/>
      <c r="EE26" s="358"/>
      <c r="EF26" s="357"/>
      <c r="EG26" s="359"/>
      <c r="EH26" s="360"/>
      <c r="EI26" s="355"/>
      <c r="EJ26" s="355"/>
      <c r="EK26" s="355"/>
      <c r="EL26" s="356"/>
      <c r="EM26" s="357"/>
      <c r="EN26" s="358"/>
      <c r="EO26" s="357"/>
      <c r="EP26" s="359"/>
      <c r="EQ26" s="360"/>
      <c r="ER26" s="355"/>
      <c r="ES26" s="355"/>
      <c r="ET26" s="355"/>
      <c r="EU26" s="356"/>
      <c r="EV26" s="357"/>
      <c r="EW26" s="358"/>
      <c r="EX26" s="357"/>
      <c r="EY26" s="359"/>
      <c r="EZ26" s="360"/>
      <c r="FA26" s="355"/>
      <c r="FB26" s="355"/>
      <c r="FC26" s="355"/>
      <c r="FD26" s="356"/>
      <c r="FE26" s="357"/>
      <c r="FF26" s="358"/>
      <c r="FG26" s="357"/>
      <c r="FH26" s="359"/>
      <c r="FI26" s="360"/>
      <c r="FJ26" s="355"/>
      <c r="FK26" s="355"/>
      <c r="FL26" s="355"/>
      <c r="FM26" s="356"/>
      <c r="FN26" s="357"/>
      <c r="FO26" s="358"/>
      <c r="FP26" s="357"/>
      <c r="FQ26" s="359"/>
      <c r="FR26" s="360"/>
      <c r="FS26" s="355"/>
      <c r="FT26" s="355"/>
      <c r="FU26" s="355"/>
      <c r="FV26" s="356"/>
      <c r="FW26" s="357"/>
      <c r="FX26" s="358"/>
      <c r="FY26" s="357"/>
      <c r="FZ26" s="359"/>
      <c r="GA26" s="360"/>
      <c r="GB26" s="355"/>
      <c r="GC26" s="355"/>
      <c r="GD26" s="355"/>
      <c r="GE26" s="356"/>
      <c r="GF26" s="357"/>
      <c r="GG26" s="358"/>
      <c r="GH26" s="357"/>
      <c r="GI26" s="359"/>
      <c r="GJ26" s="360"/>
      <c r="GK26" s="355"/>
      <c r="GL26" s="355"/>
      <c r="GM26" s="355"/>
      <c r="GN26" s="356"/>
      <c r="GO26" s="357"/>
      <c r="GP26" s="358"/>
      <c r="GQ26" s="357"/>
      <c r="GR26" s="359"/>
      <c r="GS26" s="360"/>
      <c r="GT26" s="362">
        <v>42898</v>
      </c>
      <c r="GU26" s="98"/>
      <c r="GV26" s="65">
        <v>17584</v>
      </c>
      <c r="GW26" s="74" t="s">
        <v>447</v>
      </c>
      <c r="GX26" s="74"/>
      <c r="GY26" s="391" t="s">
        <v>554</v>
      </c>
      <c r="GZ26" s="535">
        <v>1856</v>
      </c>
    </row>
    <row r="27" spans="1:208" x14ac:dyDescent="0.25">
      <c r="D27" s="35"/>
      <c r="E27" s="36"/>
      <c r="F27" s="37"/>
      <c r="G27" s="38"/>
      <c r="H27" s="39"/>
      <c r="I27" s="40"/>
      <c r="J27" s="68" t="s">
        <v>38</v>
      </c>
      <c r="K27" s="407" t="s">
        <v>41</v>
      </c>
      <c r="L27" s="70">
        <v>22290</v>
      </c>
      <c r="M27" s="527">
        <v>42874</v>
      </c>
      <c r="N27" s="381" t="s">
        <v>473</v>
      </c>
      <c r="O27" s="72">
        <v>28000</v>
      </c>
      <c r="P27" s="113">
        <f t="shared" si="0"/>
        <v>5710</v>
      </c>
      <c r="Q27" s="117">
        <v>26</v>
      </c>
      <c r="R27" s="64"/>
      <c r="S27" s="120"/>
      <c r="T27" s="39">
        <f t="shared" si="1"/>
        <v>728000</v>
      </c>
      <c r="U27" s="363" t="s">
        <v>72</v>
      </c>
      <c r="V27" s="353">
        <v>42899</v>
      </c>
      <c r="W27" s="369">
        <v>18850</v>
      </c>
      <c r="X27" s="355"/>
      <c r="Y27" s="356"/>
      <c r="Z27" s="357"/>
      <c r="AA27" s="358"/>
      <c r="AB27" s="357"/>
      <c r="AC27" s="359"/>
      <c r="AD27" s="360"/>
      <c r="AE27" s="355"/>
      <c r="AF27" s="355"/>
      <c r="AG27" s="355"/>
      <c r="AH27" s="356"/>
      <c r="AI27" s="357"/>
      <c r="AJ27" s="358"/>
      <c r="AK27" s="357"/>
      <c r="AL27" s="359"/>
      <c r="AM27" s="360"/>
      <c r="AN27" s="355"/>
      <c r="AO27" s="355"/>
      <c r="AP27" s="355"/>
      <c r="AQ27" s="356"/>
      <c r="AR27" s="357"/>
      <c r="AS27" s="358"/>
      <c r="AT27" s="357"/>
      <c r="AU27" s="359"/>
      <c r="AV27" s="360"/>
      <c r="AW27" s="355"/>
      <c r="AX27" s="355"/>
      <c r="AY27" s="355"/>
      <c r="AZ27" s="356"/>
      <c r="BA27" s="357"/>
      <c r="BB27" s="358"/>
      <c r="BC27" s="357"/>
      <c r="BD27" s="359"/>
      <c r="BE27" s="360"/>
      <c r="BF27" s="355"/>
      <c r="BG27" s="355"/>
      <c r="BH27" s="355"/>
      <c r="BI27" s="356"/>
      <c r="BJ27" s="357"/>
      <c r="BK27" s="358"/>
      <c r="BL27" s="357"/>
      <c r="BM27" s="359"/>
      <c r="BN27" s="360"/>
      <c r="BO27" s="355"/>
      <c r="BP27" s="355"/>
      <c r="BQ27" s="355"/>
      <c r="BR27" s="356"/>
      <c r="BS27" s="357"/>
      <c r="BT27" s="358"/>
      <c r="BU27" s="357"/>
      <c r="BV27" s="359"/>
      <c r="BW27" s="360"/>
      <c r="BX27" s="355"/>
      <c r="BY27" s="355"/>
      <c r="BZ27" s="355"/>
      <c r="CA27" s="356"/>
      <c r="CB27" s="357"/>
      <c r="CC27" s="358"/>
      <c r="CD27" s="357"/>
      <c r="CE27" s="359"/>
      <c r="CF27" s="360"/>
      <c r="CG27" s="355"/>
      <c r="CH27" s="355"/>
      <c r="CI27" s="355"/>
      <c r="CJ27" s="356"/>
      <c r="CK27" s="357"/>
      <c r="CL27" s="358"/>
      <c r="CM27" s="357"/>
      <c r="CN27" s="359"/>
      <c r="CO27" s="360"/>
      <c r="CP27" s="355"/>
      <c r="CQ27" s="355"/>
      <c r="CR27" s="355"/>
      <c r="CS27" s="356"/>
      <c r="CT27" s="357"/>
      <c r="CU27" s="358"/>
      <c r="CV27" s="357"/>
      <c r="CW27" s="359"/>
      <c r="CX27" s="360"/>
      <c r="CY27" s="355"/>
      <c r="CZ27" s="355"/>
      <c r="DA27" s="355"/>
      <c r="DB27" s="356"/>
      <c r="DC27" s="357"/>
      <c r="DD27" s="358"/>
      <c r="DE27" s="357"/>
      <c r="DF27" s="359"/>
      <c r="DG27" s="360"/>
      <c r="DH27" s="355"/>
      <c r="DI27" s="355"/>
      <c r="DJ27" s="355"/>
      <c r="DK27" s="356"/>
      <c r="DL27" s="357"/>
      <c r="DM27" s="358"/>
      <c r="DN27" s="357"/>
      <c r="DO27" s="359"/>
      <c r="DP27" s="360"/>
      <c r="DQ27" s="355"/>
      <c r="DR27" s="355"/>
      <c r="DS27" s="355"/>
      <c r="DT27" s="356"/>
      <c r="DU27" s="357"/>
      <c r="DV27" s="358"/>
      <c r="DW27" s="357"/>
      <c r="DX27" s="359"/>
      <c r="DY27" s="360"/>
      <c r="DZ27" s="355"/>
      <c r="EA27" s="355"/>
      <c r="EB27" s="355"/>
      <c r="EC27" s="356"/>
      <c r="ED27" s="357"/>
      <c r="EE27" s="358"/>
      <c r="EF27" s="357"/>
      <c r="EG27" s="359"/>
      <c r="EH27" s="360"/>
      <c r="EI27" s="355"/>
      <c r="EJ27" s="355"/>
      <c r="EK27" s="355"/>
      <c r="EL27" s="356"/>
      <c r="EM27" s="357"/>
      <c r="EN27" s="358"/>
      <c r="EO27" s="357"/>
      <c r="EP27" s="359"/>
      <c r="EQ27" s="360"/>
      <c r="ER27" s="355"/>
      <c r="ES27" s="355"/>
      <c r="ET27" s="355"/>
      <c r="EU27" s="356"/>
      <c r="EV27" s="357"/>
      <c r="EW27" s="358"/>
      <c r="EX27" s="357"/>
      <c r="EY27" s="359"/>
      <c r="EZ27" s="360"/>
      <c r="FA27" s="355"/>
      <c r="FB27" s="355"/>
      <c r="FC27" s="355"/>
      <c r="FD27" s="356"/>
      <c r="FE27" s="357"/>
      <c r="FF27" s="358"/>
      <c r="FG27" s="357"/>
      <c r="FH27" s="359"/>
      <c r="FI27" s="360"/>
      <c r="FJ27" s="355"/>
      <c r="FK27" s="355"/>
      <c r="FL27" s="355"/>
      <c r="FM27" s="356"/>
      <c r="FN27" s="357"/>
      <c r="FO27" s="358"/>
      <c r="FP27" s="357"/>
      <c r="FQ27" s="359"/>
      <c r="FR27" s="360"/>
      <c r="FS27" s="355"/>
      <c r="FT27" s="355"/>
      <c r="FU27" s="355"/>
      <c r="FV27" s="356"/>
      <c r="FW27" s="357"/>
      <c r="FX27" s="358"/>
      <c r="FY27" s="357"/>
      <c r="FZ27" s="359"/>
      <c r="GA27" s="360"/>
      <c r="GB27" s="355"/>
      <c r="GC27" s="355"/>
      <c r="GD27" s="355"/>
      <c r="GE27" s="356"/>
      <c r="GF27" s="357"/>
      <c r="GG27" s="358"/>
      <c r="GH27" s="357"/>
      <c r="GI27" s="359"/>
      <c r="GJ27" s="360"/>
      <c r="GK27" s="355"/>
      <c r="GL27" s="355"/>
      <c r="GM27" s="355"/>
      <c r="GN27" s="356"/>
      <c r="GO27" s="357"/>
      <c r="GP27" s="358"/>
      <c r="GQ27" s="357"/>
      <c r="GR27" s="359"/>
      <c r="GS27" s="360"/>
      <c r="GT27" s="370">
        <v>42899</v>
      </c>
      <c r="GU27" s="98"/>
      <c r="GV27" s="84">
        <v>22176</v>
      </c>
      <c r="GW27" s="74" t="s">
        <v>448</v>
      </c>
      <c r="GX27" s="74"/>
      <c r="GY27" s="391" t="s">
        <v>554</v>
      </c>
      <c r="GZ27" s="535">
        <v>3526.4</v>
      </c>
    </row>
    <row r="28" spans="1:208" x14ac:dyDescent="0.25">
      <c r="D28" s="35"/>
      <c r="E28" s="36"/>
      <c r="F28" s="37"/>
      <c r="G28" s="38"/>
      <c r="H28" s="39"/>
      <c r="I28" s="40"/>
      <c r="J28" s="68" t="s">
        <v>33</v>
      </c>
      <c r="K28" s="451" t="s">
        <v>35</v>
      </c>
      <c r="L28" s="70">
        <v>11700</v>
      </c>
      <c r="M28" s="527">
        <v>42874</v>
      </c>
      <c r="N28" s="380" t="s">
        <v>474</v>
      </c>
      <c r="O28" s="72">
        <v>14755</v>
      </c>
      <c r="P28" s="113">
        <f t="shared" si="0"/>
        <v>3055</v>
      </c>
      <c r="Q28" s="117">
        <v>26</v>
      </c>
      <c r="R28" s="117"/>
      <c r="S28" s="89"/>
      <c r="T28" s="39">
        <f t="shared" si="1"/>
        <v>383630</v>
      </c>
      <c r="U28" s="363" t="s">
        <v>72</v>
      </c>
      <c r="V28" s="353">
        <v>42900</v>
      </c>
      <c r="W28" s="368">
        <v>9802</v>
      </c>
      <c r="X28" s="355"/>
      <c r="Y28" s="356"/>
      <c r="Z28" s="357"/>
      <c r="AA28" s="358"/>
      <c r="AB28" s="357"/>
      <c r="AC28" s="359"/>
      <c r="AD28" s="360"/>
      <c r="AE28" s="355"/>
      <c r="AF28" s="355"/>
      <c r="AG28" s="355"/>
      <c r="AH28" s="356"/>
      <c r="AI28" s="357"/>
      <c r="AJ28" s="358"/>
      <c r="AK28" s="357"/>
      <c r="AL28" s="359"/>
      <c r="AM28" s="360"/>
      <c r="AN28" s="355"/>
      <c r="AO28" s="355"/>
      <c r="AP28" s="355"/>
      <c r="AQ28" s="356"/>
      <c r="AR28" s="357"/>
      <c r="AS28" s="358"/>
      <c r="AT28" s="357"/>
      <c r="AU28" s="359"/>
      <c r="AV28" s="360"/>
      <c r="AW28" s="355"/>
      <c r="AX28" s="355"/>
      <c r="AY28" s="355"/>
      <c r="AZ28" s="356"/>
      <c r="BA28" s="357"/>
      <c r="BB28" s="358"/>
      <c r="BC28" s="357"/>
      <c r="BD28" s="359"/>
      <c r="BE28" s="360"/>
      <c r="BF28" s="355"/>
      <c r="BG28" s="355"/>
      <c r="BH28" s="355"/>
      <c r="BI28" s="356"/>
      <c r="BJ28" s="357"/>
      <c r="BK28" s="358"/>
      <c r="BL28" s="357"/>
      <c r="BM28" s="359"/>
      <c r="BN28" s="360"/>
      <c r="BO28" s="355"/>
      <c r="BP28" s="355"/>
      <c r="BQ28" s="355"/>
      <c r="BR28" s="356"/>
      <c r="BS28" s="357"/>
      <c r="BT28" s="358"/>
      <c r="BU28" s="357"/>
      <c r="BV28" s="359"/>
      <c r="BW28" s="360"/>
      <c r="BX28" s="355"/>
      <c r="BY28" s="355"/>
      <c r="BZ28" s="355"/>
      <c r="CA28" s="356"/>
      <c r="CB28" s="357"/>
      <c r="CC28" s="358"/>
      <c r="CD28" s="357"/>
      <c r="CE28" s="359"/>
      <c r="CF28" s="360"/>
      <c r="CG28" s="355"/>
      <c r="CH28" s="355"/>
      <c r="CI28" s="355"/>
      <c r="CJ28" s="356"/>
      <c r="CK28" s="357"/>
      <c r="CL28" s="358"/>
      <c r="CM28" s="357"/>
      <c r="CN28" s="359"/>
      <c r="CO28" s="360"/>
      <c r="CP28" s="355"/>
      <c r="CQ28" s="355"/>
      <c r="CR28" s="355"/>
      <c r="CS28" s="356"/>
      <c r="CT28" s="357"/>
      <c r="CU28" s="358"/>
      <c r="CV28" s="357"/>
      <c r="CW28" s="359"/>
      <c r="CX28" s="360"/>
      <c r="CY28" s="355"/>
      <c r="CZ28" s="355"/>
      <c r="DA28" s="355"/>
      <c r="DB28" s="356"/>
      <c r="DC28" s="357"/>
      <c r="DD28" s="358"/>
      <c r="DE28" s="357"/>
      <c r="DF28" s="359"/>
      <c r="DG28" s="360"/>
      <c r="DH28" s="355"/>
      <c r="DI28" s="355"/>
      <c r="DJ28" s="355"/>
      <c r="DK28" s="356"/>
      <c r="DL28" s="357"/>
      <c r="DM28" s="358"/>
      <c r="DN28" s="357"/>
      <c r="DO28" s="359"/>
      <c r="DP28" s="360"/>
      <c r="DQ28" s="355"/>
      <c r="DR28" s="355"/>
      <c r="DS28" s="355"/>
      <c r="DT28" s="356"/>
      <c r="DU28" s="357"/>
      <c r="DV28" s="358"/>
      <c r="DW28" s="357"/>
      <c r="DX28" s="359"/>
      <c r="DY28" s="360"/>
      <c r="DZ28" s="355"/>
      <c r="EA28" s="355"/>
      <c r="EB28" s="355"/>
      <c r="EC28" s="356"/>
      <c r="ED28" s="357"/>
      <c r="EE28" s="358"/>
      <c r="EF28" s="357"/>
      <c r="EG28" s="359"/>
      <c r="EH28" s="360"/>
      <c r="EI28" s="355"/>
      <c r="EJ28" s="355"/>
      <c r="EK28" s="355"/>
      <c r="EL28" s="356"/>
      <c r="EM28" s="357"/>
      <c r="EN28" s="358"/>
      <c r="EO28" s="357"/>
      <c r="EP28" s="359"/>
      <c r="EQ28" s="360"/>
      <c r="ER28" s="355"/>
      <c r="ES28" s="355"/>
      <c r="ET28" s="355"/>
      <c r="EU28" s="356"/>
      <c r="EV28" s="357"/>
      <c r="EW28" s="358"/>
      <c r="EX28" s="357"/>
      <c r="EY28" s="359"/>
      <c r="EZ28" s="360"/>
      <c r="FA28" s="355"/>
      <c r="FB28" s="355"/>
      <c r="FC28" s="355"/>
      <c r="FD28" s="356"/>
      <c r="FE28" s="357"/>
      <c r="FF28" s="358"/>
      <c r="FG28" s="357"/>
      <c r="FH28" s="359"/>
      <c r="FI28" s="360"/>
      <c r="FJ28" s="355"/>
      <c r="FK28" s="355"/>
      <c r="FL28" s="355"/>
      <c r="FM28" s="356"/>
      <c r="FN28" s="357"/>
      <c r="FO28" s="358"/>
      <c r="FP28" s="357"/>
      <c r="FQ28" s="359"/>
      <c r="FR28" s="360"/>
      <c r="FS28" s="355"/>
      <c r="FT28" s="355"/>
      <c r="FU28" s="355"/>
      <c r="FV28" s="356"/>
      <c r="FW28" s="357"/>
      <c r="FX28" s="358"/>
      <c r="FY28" s="357"/>
      <c r="FZ28" s="359"/>
      <c r="GA28" s="360"/>
      <c r="GB28" s="355"/>
      <c r="GC28" s="355"/>
      <c r="GD28" s="355"/>
      <c r="GE28" s="356"/>
      <c r="GF28" s="357"/>
      <c r="GG28" s="358"/>
      <c r="GH28" s="357"/>
      <c r="GI28" s="359"/>
      <c r="GJ28" s="360"/>
      <c r="GK28" s="355"/>
      <c r="GL28" s="355"/>
      <c r="GM28" s="355"/>
      <c r="GN28" s="356"/>
      <c r="GO28" s="357"/>
      <c r="GP28" s="358"/>
      <c r="GQ28" s="357"/>
      <c r="GR28" s="359"/>
      <c r="GS28" s="360"/>
      <c r="GT28" s="362">
        <v>42900</v>
      </c>
      <c r="GU28" s="98"/>
      <c r="GV28" s="65">
        <v>17584</v>
      </c>
      <c r="GW28" s="74" t="s">
        <v>449</v>
      </c>
      <c r="GX28" s="74"/>
      <c r="GY28" s="391" t="s">
        <v>554</v>
      </c>
      <c r="GZ28" s="535">
        <v>1856</v>
      </c>
    </row>
    <row r="29" spans="1:208" ht="31.5" customHeight="1" x14ac:dyDescent="0.25">
      <c r="D29" s="35"/>
      <c r="E29" s="36"/>
      <c r="F29" s="37"/>
      <c r="G29" s="38"/>
      <c r="H29" s="39"/>
      <c r="I29" s="40"/>
      <c r="J29" s="68" t="s">
        <v>33</v>
      </c>
      <c r="K29" s="393" t="s">
        <v>428</v>
      </c>
      <c r="L29" s="70">
        <v>17040</v>
      </c>
      <c r="M29" s="527">
        <v>42876</v>
      </c>
      <c r="N29" s="380" t="s">
        <v>475</v>
      </c>
      <c r="O29" s="72">
        <v>21905</v>
      </c>
      <c r="P29" s="113">
        <f t="shared" si="0"/>
        <v>4865</v>
      </c>
      <c r="Q29" s="117">
        <v>26</v>
      </c>
      <c r="R29" s="899" t="s">
        <v>477</v>
      </c>
      <c r="S29" s="900"/>
      <c r="T29" s="39">
        <f t="shared" si="1"/>
        <v>569530</v>
      </c>
      <c r="U29" s="363" t="s">
        <v>72</v>
      </c>
      <c r="V29" s="353">
        <v>42901</v>
      </c>
      <c r="W29" s="368">
        <v>15080</v>
      </c>
      <c r="X29" s="355"/>
      <c r="Y29" s="356"/>
      <c r="Z29" s="357"/>
      <c r="AA29" s="358"/>
      <c r="AB29" s="357"/>
      <c r="AC29" s="359"/>
      <c r="AD29" s="360"/>
      <c r="AE29" s="355"/>
      <c r="AF29" s="355"/>
      <c r="AG29" s="355"/>
      <c r="AH29" s="356"/>
      <c r="AI29" s="357"/>
      <c r="AJ29" s="358"/>
      <c r="AK29" s="357"/>
      <c r="AL29" s="359"/>
      <c r="AM29" s="360"/>
      <c r="AN29" s="355"/>
      <c r="AO29" s="355"/>
      <c r="AP29" s="355"/>
      <c r="AQ29" s="356"/>
      <c r="AR29" s="357"/>
      <c r="AS29" s="358"/>
      <c r="AT29" s="357"/>
      <c r="AU29" s="359"/>
      <c r="AV29" s="360"/>
      <c r="AW29" s="355"/>
      <c r="AX29" s="355"/>
      <c r="AY29" s="355"/>
      <c r="AZ29" s="356"/>
      <c r="BA29" s="357"/>
      <c r="BB29" s="358"/>
      <c r="BC29" s="357"/>
      <c r="BD29" s="359"/>
      <c r="BE29" s="360"/>
      <c r="BF29" s="355"/>
      <c r="BG29" s="355"/>
      <c r="BH29" s="355"/>
      <c r="BI29" s="356"/>
      <c r="BJ29" s="357"/>
      <c r="BK29" s="358"/>
      <c r="BL29" s="357"/>
      <c r="BM29" s="359"/>
      <c r="BN29" s="360"/>
      <c r="BO29" s="355"/>
      <c r="BP29" s="355"/>
      <c r="BQ29" s="355"/>
      <c r="BR29" s="356"/>
      <c r="BS29" s="357"/>
      <c r="BT29" s="358"/>
      <c r="BU29" s="357"/>
      <c r="BV29" s="359"/>
      <c r="BW29" s="360"/>
      <c r="BX29" s="355"/>
      <c r="BY29" s="355"/>
      <c r="BZ29" s="355"/>
      <c r="CA29" s="356"/>
      <c r="CB29" s="357"/>
      <c r="CC29" s="358"/>
      <c r="CD29" s="357"/>
      <c r="CE29" s="359"/>
      <c r="CF29" s="360"/>
      <c r="CG29" s="355"/>
      <c r="CH29" s="355"/>
      <c r="CI29" s="355"/>
      <c r="CJ29" s="356"/>
      <c r="CK29" s="357"/>
      <c r="CL29" s="358"/>
      <c r="CM29" s="357"/>
      <c r="CN29" s="359"/>
      <c r="CO29" s="360"/>
      <c r="CP29" s="355"/>
      <c r="CQ29" s="355"/>
      <c r="CR29" s="355"/>
      <c r="CS29" s="356"/>
      <c r="CT29" s="357"/>
      <c r="CU29" s="358"/>
      <c r="CV29" s="357"/>
      <c r="CW29" s="359"/>
      <c r="CX29" s="360"/>
      <c r="CY29" s="355"/>
      <c r="CZ29" s="355"/>
      <c r="DA29" s="355"/>
      <c r="DB29" s="356"/>
      <c r="DC29" s="357"/>
      <c r="DD29" s="358"/>
      <c r="DE29" s="357"/>
      <c r="DF29" s="359"/>
      <c r="DG29" s="360"/>
      <c r="DH29" s="355"/>
      <c r="DI29" s="355"/>
      <c r="DJ29" s="355"/>
      <c r="DK29" s="356"/>
      <c r="DL29" s="357"/>
      <c r="DM29" s="358"/>
      <c r="DN29" s="357"/>
      <c r="DO29" s="359"/>
      <c r="DP29" s="360"/>
      <c r="DQ29" s="355"/>
      <c r="DR29" s="355"/>
      <c r="DS29" s="355"/>
      <c r="DT29" s="356"/>
      <c r="DU29" s="357"/>
      <c r="DV29" s="358"/>
      <c r="DW29" s="357"/>
      <c r="DX29" s="359"/>
      <c r="DY29" s="360"/>
      <c r="DZ29" s="355"/>
      <c r="EA29" s="355"/>
      <c r="EB29" s="355"/>
      <c r="EC29" s="356"/>
      <c r="ED29" s="357"/>
      <c r="EE29" s="358"/>
      <c r="EF29" s="357"/>
      <c r="EG29" s="359"/>
      <c r="EH29" s="360"/>
      <c r="EI29" s="355"/>
      <c r="EJ29" s="355"/>
      <c r="EK29" s="355"/>
      <c r="EL29" s="356"/>
      <c r="EM29" s="357"/>
      <c r="EN29" s="358"/>
      <c r="EO29" s="357"/>
      <c r="EP29" s="359"/>
      <c r="EQ29" s="360"/>
      <c r="ER29" s="355"/>
      <c r="ES29" s="355"/>
      <c r="ET29" s="355"/>
      <c r="EU29" s="356"/>
      <c r="EV29" s="357"/>
      <c r="EW29" s="358"/>
      <c r="EX29" s="357"/>
      <c r="EY29" s="359"/>
      <c r="EZ29" s="360"/>
      <c r="FA29" s="355"/>
      <c r="FB29" s="355"/>
      <c r="FC29" s="355"/>
      <c r="FD29" s="356"/>
      <c r="FE29" s="357"/>
      <c r="FF29" s="358"/>
      <c r="FG29" s="357"/>
      <c r="FH29" s="359"/>
      <c r="FI29" s="360"/>
      <c r="FJ29" s="355"/>
      <c r="FK29" s="355"/>
      <c r="FL29" s="355"/>
      <c r="FM29" s="356"/>
      <c r="FN29" s="357"/>
      <c r="FO29" s="358"/>
      <c r="FP29" s="357"/>
      <c r="FQ29" s="359"/>
      <c r="FR29" s="360"/>
      <c r="FS29" s="355"/>
      <c r="FT29" s="355"/>
      <c r="FU29" s="355"/>
      <c r="FV29" s="356"/>
      <c r="FW29" s="357"/>
      <c r="FX29" s="358"/>
      <c r="FY29" s="357"/>
      <c r="FZ29" s="359"/>
      <c r="GA29" s="360"/>
      <c r="GB29" s="355"/>
      <c r="GC29" s="355"/>
      <c r="GD29" s="355"/>
      <c r="GE29" s="356"/>
      <c r="GF29" s="357"/>
      <c r="GG29" s="358"/>
      <c r="GH29" s="357"/>
      <c r="GI29" s="359"/>
      <c r="GJ29" s="360"/>
      <c r="GK29" s="355"/>
      <c r="GL29" s="355"/>
      <c r="GM29" s="355"/>
      <c r="GN29" s="356"/>
      <c r="GO29" s="357"/>
      <c r="GP29" s="358"/>
      <c r="GQ29" s="357"/>
      <c r="GR29" s="359"/>
      <c r="GS29" s="360"/>
      <c r="GT29" s="362">
        <v>42901</v>
      </c>
      <c r="GU29" s="98"/>
      <c r="GV29" s="65"/>
      <c r="GW29" s="74" t="s">
        <v>15</v>
      </c>
      <c r="GX29" s="74"/>
      <c r="GY29" s="391" t="s">
        <v>554</v>
      </c>
      <c r="GZ29" s="535">
        <v>3712</v>
      </c>
    </row>
    <row r="30" spans="1:208" x14ac:dyDescent="0.25">
      <c r="D30" s="35"/>
      <c r="E30" s="36"/>
      <c r="F30" s="37"/>
      <c r="G30" s="38"/>
      <c r="H30" s="39"/>
      <c r="I30" s="40"/>
      <c r="J30" s="68" t="s">
        <v>38</v>
      </c>
      <c r="K30" s="407" t="s">
        <v>67</v>
      </c>
      <c r="L30" s="70">
        <v>18210</v>
      </c>
      <c r="M30" s="527">
        <v>42877</v>
      </c>
      <c r="N30" s="380" t="s">
        <v>490</v>
      </c>
      <c r="O30" s="72">
        <v>22830</v>
      </c>
      <c r="P30" s="113">
        <f t="shared" si="0"/>
        <v>4620</v>
      </c>
      <c r="Q30" s="64">
        <v>26</v>
      </c>
      <c r="R30" s="124"/>
      <c r="S30" s="117"/>
      <c r="T30" s="39">
        <f t="shared" si="1"/>
        <v>593580</v>
      </c>
      <c r="U30" s="363" t="s">
        <v>72</v>
      </c>
      <c r="V30" s="353">
        <v>42902</v>
      </c>
      <c r="W30" s="371">
        <v>15004.6</v>
      </c>
      <c r="X30" s="355"/>
      <c r="Y30" s="356"/>
      <c r="Z30" s="357"/>
      <c r="AA30" s="358"/>
      <c r="AB30" s="357"/>
      <c r="AC30" s="359"/>
      <c r="AD30" s="360"/>
      <c r="AE30" s="355"/>
      <c r="AF30" s="355"/>
      <c r="AG30" s="355"/>
      <c r="AH30" s="356"/>
      <c r="AI30" s="357"/>
      <c r="AJ30" s="358"/>
      <c r="AK30" s="357"/>
      <c r="AL30" s="359"/>
      <c r="AM30" s="360"/>
      <c r="AN30" s="355"/>
      <c r="AO30" s="355"/>
      <c r="AP30" s="355"/>
      <c r="AQ30" s="356"/>
      <c r="AR30" s="357"/>
      <c r="AS30" s="358"/>
      <c r="AT30" s="357"/>
      <c r="AU30" s="359"/>
      <c r="AV30" s="360"/>
      <c r="AW30" s="355"/>
      <c r="AX30" s="355"/>
      <c r="AY30" s="355"/>
      <c r="AZ30" s="356"/>
      <c r="BA30" s="357"/>
      <c r="BB30" s="358"/>
      <c r="BC30" s="357"/>
      <c r="BD30" s="359"/>
      <c r="BE30" s="360"/>
      <c r="BF30" s="355"/>
      <c r="BG30" s="355"/>
      <c r="BH30" s="355"/>
      <c r="BI30" s="356"/>
      <c r="BJ30" s="357"/>
      <c r="BK30" s="358"/>
      <c r="BL30" s="357"/>
      <c r="BM30" s="359"/>
      <c r="BN30" s="360"/>
      <c r="BO30" s="355"/>
      <c r="BP30" s="355"/>
      <c r="BQ30" s="355"/>
      <c r="BR30" s="356"/>
      <c r="BS30" s="357"/>
      <c r="BT30" s="358"/>
      <c r="BU30" s="357"/>
      <c r="BV30" s="359"/>
      <c r="BW30" s="360"/>
      <c r="BX30" s="355"/>
      <c r="BY30" s="355"/>
      <c r="BZ30" s="355"/>
      <c r="CA30" s="356"/>
      <c r="CB30" s="357"/>
      <c r="CC30" s="358"/>
      <c r="CD30" s="357"/>
      <c r="CE30" s="359"/>
      <c r="CF30" s="360"/>
      <c r="CG30" s="355"/>
      <c r="CH30" s="355"/>
      <c r="CI30" s="355"/>
      <c r="CJ30" s="356"/>
      <c r="CK30" s="357"/>
      <c r="CL30" s="358"/>
      <c r="CM30" s="357"/>
      <c r="CN30" s="359"/>
      <c r="CO30" s="360"/>
      <c r="CP30" s="355"/>
      <c r="CQ30" s="355"/>
      <c r="CR30" s="355"/>
      <c r="CS30" s="356"/>
      <c r="CT30" s="357"/>
      <c r="CU30" s="358"/>
      <c r="CV30" s="357"/>
      <c r="CW30" s="359"/>
      <c r="CX30" s="360"/>
      <c r="CY30" s="355"/>
      <c r="CZ30" s="355"/>
      <c r="DA30" s="355"/>
      <c r="DB30" s="356"/>
      <c r="DC30" s="357"/>
      <c r="DD30" s="358"/>
      <c r="DE30" s="357"/>
      <c r="DF30" s="359"/>
      <c r="DG30" s="360"/>
      <c r="DH30" s="355"/>
      <c r="DI30" s="355"/>
      <c r="DJ30" s="355"/>
      <c r="DK30" s="356"/>
      <c r="DL30" s="357"/>
      <c r="DM30" s="358"/>
      <c r="DN30" s="357"/>
      <c r="DO30" s="359"/>
      <c r="DP30" s="360"/>
      <c r="DQ30" s="355"/>
      <c r="DR30" s="355"/>
      <c r="DS30" s="355"/>
      <c r="DT30" s="356"/>
      <c r="DU30" s="357"/>
      <c r="DV30" s="358"/>
      <c r="DW30" s="357"/>
      <c r="DX30" s="359"/>
      <c r="DY30" s="360"/>
      <c r="DZ30" s="355"/>
      <c r="EA30" s="355"/>
      <c r="EB30" s="355"/>
      <c r="EC30" s="356"/>
      <c r="ED30" s="357"/>
      <c r="EE30" s="358"/>
      <c r="EF30" s="357"/>
      <c r="EG30" s="359"/>
      <c r="EH30" s="360"/>
      <c r="EI30" s="355"/>
      <c r="EJ30" s="355"/>
      <c r="EK30" s="355"/>
      <c r="EL30" s="356"/>
      <c r="EM30" s="357"/>
      <c r="EN30" s="358"/>
      <c r="EO30" s="357"/>
      <c r="EP30" s="359"/>
      <c r="EQ30" s="360"/>
      <c r="ER30" s="355"/>
      <c r="ES30" s="355"/>
      <c r="ET30" s="355"/>
      <c r="EU30" s="356"/>
      <c r="EV30" s="357"/>
      <c r="EW30" s="358"/>
      <c r="EX30" s="357"/>
      <c r="EY30" s="359"/>
      <c r="EZ30" s="360"/>
      <c r="FA30" s="355"/>
      <c r="FB30" s="355"/>
      <c r="FC30" s="355"/>
      <c r="FD30" s="356"/>
      <c r="FE30" s="357"/>
      <c r="FF30" s="358"/>
      <c r="FG30" s="357"/>
      <c r="FH30" s="359"/>
      <c r="FI30" s="360"/>
      <c r="FJ30" s="355"/>
      <c r="FK30" s="355"/>
      <c r="FL30" s="355"/>
      <c r="FM30" s="356"/>
      <c r="FN30" s="357"/>
      <c r="FO30" s="358"/>
      <c r="FP30" s="357"/>
      <c r="FQ30" s="359"/>
      <c r="FR30" s="360"/>
      <c r="FS30" s="355"/>
      <c r="FT30" s="355"/>
      <c r="FU30" s="355"/>
      <c r="FV30" s="356"/>
      <c r="FW30" s="357"/>
      <c r="FX30" s="358"/>
      <c r="FY30" s="357"/>
      <c r="FZ30" s="359"/>
      <c r="GA30" s="360"/>
      <c r="GB30" s="355"/>
      <c r="GC30" s="355"/>
      <c r="GD30" s="355"/>
      <c r="GE30" s="356"/>
      <c r="GF30" s="357"/>
      <c r="GG30" s="358"/>
      <c r="GH30" s="357"/>
      <c r="GI30" s="359"/>
      <c r="GJ30" s="360"/>
      <c r="GK30" s="355"/>
      <c r="GL30" s="355"/>
      <c r="GM30" s="355"/>
      <c r="GN30" s="356"/>
      <c r="GO30" s="357"/>
      <c r="GP30" s="358"/>
      <c r="GQ30" s="357"/>
      <c r="GR30" s="359"/>
      <c r="GS30" s="360"/>
      <c r="GT30" s="370">
        <v>42902</v>
      </c>
      <c r="GU30" s="98"/>
      <c r="GV30" s="65">
        <v>22176</v>
      </c>
      <c r="GW30" s="528" t="s">
        <v>464</v>
      </c>
      <c r="GX30" s="74"/>
      <c r="GY30" s="391" t="s">
        <v>554</v>
      </c>
      <c r="GZ30" s="535">
        <v>3712</v>
      </c>
    </row>
    <row r="31" spans="1:208" ht="30" x14ac:dyDescent="0.25">
      <c r="D31" s="35"/>
      <c r="E31" s="36"/>
      <c r="F31" s="37"/>
      <c r="G31" s="38"/>
      <c r="H31" s="39"/>
      <c r="I31" s="40"/>
      <c r="J31" s="68" t="s">
        <v>33</v>
      </c>
      <c r="K31" s="407" t="s">
        <v>37</v>
      </c>
      <c r="L31" s="70">
        <v>18240</v>
      </c>
      <c r="M31" s="527">
        <v>42878</v>
      </c>
      <c r="N31" s="380" t="s">
        <v>476</v>
      </c>
      <c r="O31" s="72">
        <f>22770-219.06</f>
        <v>22550.94</v>
      </c>
      <c r="P31" s="113">
        <f t="shared" si="0"/>
        <v>4310.9399999999987</v>
      </c>
      <c r="Q31" s="64">
        <v>26</v>
      </c>
      <c r="R31" s="516"/>
      <c r="S31" s="517"/>
      <c r="T31" s="39">
        <f t="shared" si="1"/>
        <v>586324.43999999994</v>
      </c>
      <c r="U31" s="363" t="s">
        <v>72</v>
      </c>
      <c r="V31" s="353">
        <v>42901</v>
      </c>
      <c r="W31" s="371">
        <v>15080</v>
      </c>
      <c r="X31" s="355"/>
      <c r="Y31" s="356"/>
      <c r="Z31" s="357"/>
      <c r="AA31" s="358"/>
      <c r="AB31" s="357"/>
      <c r="AC31" s="359"/>
      <c r="AD31" s="360"/>
      <c r="AE31" s="355"/>
      <c r="AF31" s="355"/>
      <c r="AG31" s="355"/>
      <c r="AH31" s="356"/>
      <c r="AI31" s="357"/>
      <c r="AJ31" s="358"/>
      <c r="AK31" s="357"/>
      <c r="AL31" s="359"/>
      <c r="AM31" s="360"/>
      <c r="AN31" s="355"/>
      <c r="AO31" s="355"/>
      <c r="AP31" s="355"/>
      <c r="AQ31" s="356"/>
      <c r="AR31" s="357"/>
      <c r="AS31" s="358"/>
      <c r="AT31" s="357"/>
      <c r="AU31" s="359"/>
      <c r="AV31" s="360"/>
      <c r="AW31" s="355"/>
      <c r="AX31" s="355"/>
      <c r="AY31" s="355"/>
      <c r="AZ31" s="356"/>
      <c r="BA31" s="357"/>
      <c r="BB31" s="358"/>
      <c r="BC31" s="357"/>
      <c r="BD31" s="359"/>
      <c r="BE31" s="360"/>
      <c r="BF31" s="355"/>
      <c r="BG31" s="355"/>
      <c r="BH31" s="355"/>
      <c r="BI31" s="356"/>
      <c r="BJ31" s="357"/>
      <c r="BK31" s="358"/>
      <c r="BL31" s="357"/>
      <c r="BM31" s="359"/>
      <c r="BN31" s="360"/>
      <c r="BO31" s="355"/>
      <c r="BP31" s="355"/>
      <c r="BQ31" s="355"/>
      <c r="BR31" s="356"/>
      <c r="BS31" s="357"/>
      <c r="BT31" s="358"/>
      <c r="BU31" s="357"/>
      <c r="BV31" s="359"/>
      <c r="BW31" s="360"/>
      <c r="BX31" s="355"/>
      <c r="BY31" s="355"/>
      <c r="BZ31" s="355"/>
      <c r="CA31" s="356"/>
      <c r="CB31" s="357"/>
      <c r="CC31" s="358"/>
      <c r="CD31" s="357"/>
      <c r="CE31" s="359"/>
      <c r="CF31" s="360"/>
      <c r="CG31" s="355"/>
      <c r="CH31" s="355"/>
      <c r="CI31" s="355"/>
      <c r="CJ31" s="356"/>
      <c r="CK31" s="357"/>
      <c r="CL31" s="358"/>
      <c r="CM31" s="357"/>
      <c r="CN31" s="359"/>
      <c r="CO31" s="360"/>
      <c r="CP31" s="355"/>
      <c r="CQ31" s="355"/>
      <c r="CR31" s="355"/>
      <c r="CS31" s="356"/>
      <c r="CT31" s="357"/>
      <c r="CU31" s="358"/>
      <c r="CV31" s="357"/>
      <c r="CW31" s="359"/>
      <c r="CX31" s="360"/>
      <c r="CY31" s="355"/>
      <c r="CZ31" s="355"/>
      <c r="DA31" s="355"/>
      <c r="DB31" s="356"/>
      <c r="DC31" s="357"/>
      <c r="DD31" s="358"/>
      <c r="DE31" s="357"/>
      <c r="DF31" s="359"/>
      <c r="DG31" s="360"/>
      <c r="DH31" s="355"/>
      <c r="DI31" s="355"/>
      <c r="DJ31" s="355"/>
      <c r="DK31" s="356"/>
      <c r="DL31" s="357"/>
      <c r="DM31" s="358"/>
      <c r="DN31" s="357"/>
      <c r="DO31" s="359"/>
      <c r="DP31" s="360"/>
      <c r="DQ31" s="355"/>
      <c r="DR31" s="355"/>
      <c r="DS31" s="355"/>
      <c r="DT31" s="356"/>
      <c r="DU31" s="357"/>
      <c r="DV31" s="358"/>
      <c r="DW31" s="357"/>
      <c r="DX31" s="359"/>
      <c r="DY31" s="360"/>
      <c r="DZ31" s="355"/>
      <c r="EA31" s="355"/>
      <c r="EB31" s="355"/>
      <c r="EC31" s="356"/>
      <c r="ED31" s="357"/>
      <c r="EE31" s="358"/>
      <c r="EF31" s="357"/>
      <c r="EG31" s="359"/>
      <c r="EH31" s="360"/>
      <c r="EI31" s="355"/>
      <c r="EJ31" s="355"/>
      <c r="EK31" s="355"/>
      <c r="EL31" s="356"/>
      <c r="EM31" s="357"/>
      <c r="EN31" s="358"/>
      <c r="EO31" s="357"/>
      <c r="EP31" s="359"/>
      <c r="EQ31" s="360"/>
      <c r="ER31" s="355"/>
      <c r="ES31" s="355"/>
      <c r="ET31" s="355"/>
      <c r="EU31" s="356"/>
      <c r="EV31" s="357"/>
      <c r="EW31" s="358"/>
      <c r="EX31" s="357"/>
      <c r="EY31" s="359"/>
      <c r="EZ31" s="360"/>
      <c r="FA31" s="355"/>
      <c r="FB31" s="355"/>
      <c r="FC31" s="355"/>
      <c r="FD31" s="356"/>
      <c r="FE31" s="357"/>
      <c r="FF31" s="358"/>
      <c r="FG31" s="357"/>
      <c r="FH31" s="359"/>
      <c r="FI31" s="360"/>
      <c r="FJ31" s="355"/>
      <c r="FK31" s="355"/>
      <c r="FL31" s="355"/>
      <c r="FM31" s="356"/>
      <c r="FN31" s="357"/>
      <c r="FO31" s="358"/>
      <c r="FP31" s="357"/>
      <c r="FQ31" s="359"/>
      <c r="FR31" s="360"/>
      <c r="FS31" s="355"/>
      <c r="FT31" s="355"/>
      <c r="FU31" s="355"/>
      <c r="FV31" s="356"/>
      <c r="FW31" s="357"/>
      <c r="FX31" s="358"/>
      <c r="FY31" s="357"/>
      <c r="FZ31" s="359"/>
      <c r="GA31" s="360"/>
      <c r="GB31" s="355"/>
      <c r="GC31" s="355"/>
      <c r="GD31" s="355"/>
      <c r="GE31" s="356"/>
      <c r="GF31" s="357"/>
      <c r="GG31" s="358"/>
      <c r="GH31" s="357"/>
      <c r="GI31" s="359"/>
      <c r="GJ31" s="360"/>
      <c r="GK31" s="355"/>
      <c r="GL31" s="355"/>
      <c r="GM31" s="355"/>
      <c r="GN31" s="356"/>
      <c r="GO31" s="357"/>
      <c r="GP31" s="358"/>
      <c r="GQ31" s="357"/>
      <c r="GR31" s="359"/>
      <c r="GS31" s="360"/>
      <c r="GT31" s="370">
        <v>42901</v>
      </c>
      <c r="GU31" s="98"/>
      <c r="GV31" s="65"/>
      <c r="GW31" s="74"/>
      <c r="GX31" s="74"/>
      <c r="GY31" s="391" t="s">
        <v>554</v>
      </c>
      <c r="GZ31" s="535">
        <v>3712</v>
      </c>
    </row>
    <row r="32" spans="1:208" x14ac:dyDescent="0.25">
      <c r="A32"/>
      <c r="D32" s="35"/>
      <c r="E32" s="36"/>
      <c r="F32" s="37"/>
      <c r="G32" s="38"/>
      <c r="H32" s="39"/>
      <c r="I32" s="40"/>
      <c r="J32" s="68" t="s">
        <v>38</v>
      </c>
      <c r="K32" s="407" t="s">
        <v>37</v>
      </c>
      <c r="L32" s="70">
        <v>18190</v>
      </c>
      <c r="M32" s="527">
        <v>42879</v>
      </c>
      <c r="N32" s="380" t="s">
        <v>491</v>
      </c>
      <c r="O32" s="72">
        <v>23025</v>
      </c>
      <c r="P32" s="113">
        <f t="shared" si="0"/>
        <v>4835</v>
      </c>
      <c r="Q32" s="126">
        <v>26.5</v>
      </c>
      <c r="R32" s="127"/>
      <c r="S32" s="127"/>
      <c r="T32" s="39">
        <f t="shared" si="1"/>
        <v>610162.5</v>
      </c>
      <c r="U32" s="363" t="s">
        <v>72</v>
      </c>
      <c r="V32" s="353">
        <v>42902</v>
      </c>
      <c r="W32" s="368">
        <v>15080</v>
      </c>
      <c r="X32" s="355"/>
      <c r="Y32" s="356"/>
      <c r="Z32" s="357"/>
      <c r="AA32" s="358"/>
      <c r="AB32" s="357"/>
      <c r="AC32" s="359"/>
      <c r="AD32" s="360"/>
      <c r="AE32" s="355"/>
      <c r="AF32" s="355"/>
      <c r="AG32" s="355"/>
      <c r="AH32" s="356"/>
      <c r="AI32" s="357"/>
      <c r="AJ32" s="358"/>
      <c r="AK32" s="357"/>
      <c r="AL32" s="359"/>
      <c r="AM32" s="360"/>
      <c r="AN32" s="355"/>
      <c r="AO32" s="355"/>
      <c r="AP32" s="355"/>
      <c r="AQ32" s="356"/>
      <c r="AR32" s="357"/>
      <c r="AS32" s="358"/>
      <c r="AT32" s="357"/>
      <c r="AU32" s="359"/>
      <c r="AV32" s="360"/>
      <c r="AW32" s="355"/>
      <c r="AX32" s="355"/>
      <c r="AY32" s="355"/>
      <c r="AZ32" s="356"/>
      <c r="BA32" s="357"/>
      <c r="BB32" s="358"/>
      <c r="BC32" s="357"/>
      <c r="BD32" s="359"/>
      <c r="BE32" s="360"/>
      <c r="BF32" s="355"/>
      <c r="BG32" s="355"/>
      <c r="BH32" s="355"/>
      <c r="BI32" s="356"/>
      <c r="BJ32" s="357"/>
      <c r="BK32" s="358"/>
      <c r="BL32" s="357"/>
      <c r="BM32" s="359"/>
      <c r="BN32" s="360"/>
      <c r="BO32" s="355"/>
      <c r="BP32" s="355"/>
      <c r="BQ32" s="355"/>
      <c r="BR32" s="356"/>
      <c r="BS32" s="357"/>
      <c r="BT32" s="358"/>
      <c r="BU32" s="357"/>
      <c r="BV32" s="359"/>
      <c r="BW32" s="360"/>
      <c r="BX32" s="355"/>
      <c r="BY32" s="355"/>
      <c r="BZ32" s="355"/>
      <c r="CA32" s="356"/>
      <c r="CB32" s="357"/>
      <c r="CC32" s="358"/>
      <c r="CD32" s="357"/>
      <c r="CE32" s="359"/>
      <c r="CF32" s="360"/>
      <c r="CG32" s="355"/>
      <c r="CH32" s="355"/>
      <c r="CI32" s="355"/>
      <c r="CJ32" s="356"/>
      <c r="CK32" s="357"/>
      <c r="CL32" s="358"/>
      <c r="CM32" s="357"/>
      <c r="CN32" s="359"/>
      <c r="CO32" s="360"/>
      <c r="CP32" s="355"/>
      <c r="CQ32" s="355"/>
      <c r="CR32" s="355"/>
      <c r="CS32" s="356"/>
      <c r="CT32" s="357"/>
      <c r="CU32" s="358"/>
      <c r="CV32" s="357"/>
      <c r="CW32" s="359"/>
      <c r="CX32" s="360"/>
      <c r="CY32" s="355"/>
      <c r="CZ32" s="355"/>
      <c r="DA32" s="355"/>
      <c r="DB32" s="356"/>
      <c r="DC32" s="357"/>
      <c r="DD32" s="358"/>
      <c r="DE32" s="357"/>
      <c r="DF32" s="359"/>
      <c r="DG32" s="360"/>
      <c r="DH32" s="355"/>
      <c r="DI32" s="355"/>
      <c r="DJ32" s="355"/>
      <c r="DK32" s="356"/>
      <c r="DL32" s="357"/>
      <c r="DM32" s="358"/>
      <c r="DN32" s="357"/>
      <c r="DO32" s="359"/>
      <c r="DP32" s="360"/>
      <c r="DQ32" s="355"/>
      <c r="DR32" s="355"/>
      <c r="DS32" s="355"/>
      <c r="DT32" s="356"/>
      <c r="DU32" s="357"/>
      <c r="DV32" s="358"/>
      <c r="DW32" s="357"/>
      <c r="DX32" s="359"/>
      <c r="DY32" s="360"/>
      <c r="DZ32" s="355"/>
      <c r="EA32" s="355"/>
      <c r="EB32" s="355"/>
      <c r="EC32" s="356"/>
      <c r="ED32" s="357"/>
      <c r="EE32" s="358"/>
      <c r="EF32" s="357"/>
      <c r="EG32" s="359"/>
      <c r="EH32" s="360"/>
      <c r="EI32" s="355"/>
      <c r="EJ32" s="355"/>
      <c r="EK32" s="355"/>
      <c r="EL32" s="356"/>
      <c r="EM32" s="357"/>
      <c r="EN32" s="358"/>
      <c r="EO32" s="357"/>
      <c r="EP32" s="359"/>
      <c r="EQ32" s="360"/>
      <c r="ER32" s="355"/>
      <c r="ES32" s="355"/>
      <c r="ET32" s="355"/>
      <c r="EU32" s="356"/>
      <c r="EV32" s="357"/>
      <c r="EW32" s="358"/>
      <c r="EX32" s="357"/>
      <c r="EY32" s="359"/>
      <c r="EZ32" s="360"/>
      <c r="FA32" s="355"/>
      <c r="FB32" s="355"/>
      <c r="FC32" s="355"/>
      <c r="FD32" s="356"/>
      <c r="FE32" s="357"/>
      <c r="FF32" s="358"/>
      <c r="FG32" s="357"/>
      <c r="FH32" s="359"/>
      <c r="FI32" s="360"/>
      <c r="FJ32" s="355"/>
      <c r="FK32" s="355"/>
      <c r="FL32" s="355"/>
      <c r="FM32" s="356"/>
      <c r="FN32" s="357"/>
      <c r="FO32" s="358"/>
      <c r="FP32" s="357"/>
      <c r="FQ32" s="359"/>
      <c r="FR32" s="360"/>
      <c r="FS32" s="355"/>
      <c r="FT32" s="355"/>
      <c r="FU32" s="355"/>
      <c r="FV32" s="356"/>
      <c r="FW32" s="357"/>
      <c r="FX32" s="358"/>
      <c r="FY32" s="357"/>
      <c r="FZ32" s="359"/>
      <c r="GA32" s="360"/>
      <c r="GB32" s="355"/>
      <c r="GC32" s="355"/>
      <c r="GD32" s="355"/>
      <c r="GE32" s="356"/>
      <c r="GF32" s="357"/>
      <c r="GG32" s="358"/>
      <c r="GH32" s="357"/>
      <c r="GI32" s="359"/>
      <c r="GJ32" s="360"/>
      <c r="GK32" s="355"/>
      <c r="GL32" s="355"/>
      <c r="GM32" s="355"/>
      <c r="GN32" s="356"/>
      <c r="GO32" s="357"/>
      <c r="GP32" s="358"/>
      <c r="GQ32" s="357"/>
      <c r="GR32" s="359"/>
      <c r="GS32" s="360"/>
      <c r="GT32" s="430">
        <v>42902</v>
      </c>
      <c r="GU32" s="98"/>
      <c r="GV32" s="65">
        <v>22176</v>
      </c>
      <c r="GW32" s="528" t="s">
        <v>465</v>
      </c>
      <c r="GX32" s="74"/>
      <c r="GY32" s="391" t="s">
        <v>554</v>
      </c>
      <c r="GZ32" s="535">
        <v>3712</v>
      </c>
    </row>
    <row r="33" spans="1:208" x14ac:dyDescent="0.25">
      <c r="A33"/>
      <c r="D33" s="35"/>
      <c r="E33" s="36"/>
      <c r="F33" s="37"/>
      <c r="G33" s="38"/>
      <c r="H33" s="39"/>
      <c r="I33" s="40"/>
      <c r="J33" s="68" t="s">
        <v>33</v>
      </c>
      <c r="K33" s="407" t="s">
        <v>41</v>
      </c>
      <c r="L33" s="70">
        <v>22190</v>
      </c>
      <c r="M33" s="527">
        <v>42880</v>
      </c>
      <c r="N33" s="380" t="s">
        <v>500</v>
      </c>
      <c r="O33" s="72">
        <v>27650</v>
      </c>
      <c r="P33" s="113">
        <f t="shared" si="0"/>
        <v>5460</v>
      </c>
      <c r="Q33" s="117">
        <v>26.5</v>
      </c>
      <c r="R33" s="127"/>
      <c r="S33" s="127"/>
      <c r="T33" s="39">
        <f t="shared" si="1"/>
        <v>732725</v>
      </c>
      <c r="U33" s="363" t="s">
        <v>72</v>
      </c>
      <c r="V33" s="353">
        <v>42905</v>
      </c>
      <c r="W33" s="368">
        <v>18850</v>
      </c>
      <c r="X33" s="355"/>
      <c r="Y33" s="356"/>
      <c r="Z33" s="357"/>
      <c r="AA33" s="358"/>
      <c r="AB33" s="357"/>
      <c r="AC33" s="359"/>
      <c r="AD33" s="360"/>
      <c r="AE33" s="355"/>
      <c r="AF33" s="355"/>
      <c r="AG33" s="355"/>
      <c r="AH33" s="356"/>
      <c r="AI33" s="357"/>
      <c r="AJ33" s="358"/>
      <c r="AK33" s="357"/>
      <c r="AL33" s="359"/>
      <c r="AM33" s="360"/>
      <c r="AN33" s="355"/>
      <c r="AO33" s="355"/>
      <c r="AP33" s="355"/>
      <c r="AQ33" s="356"/>
      <c r="AR33" s="357"/>
      <c r="AS33" s="358"/>
      <c r="AT33" s="357"/>
      <c r="AU33" s="359"/>
      <c r="AV33" s="360"/>
      <c r="AW33" s="355"/>
      <c r="AX33" s="355"/>
      <c r="AY33" s="355"/>
      <c r="AZ33" s="356"/>
      <c r="BA33" s="357"/>
      <c r="BB33" s="358"/>
      <c r="BC33" s="357"/>
      <c r="BD33" s="359"/>
      <c r="BE33" s="360"/>
      <c r="BF33" s="355"/>
      <c r="BG33" s="355"/>
      <c r="BH33" s="355"/>
      <c r="BI33" s="356"/>
      <c r="BJ33" s="357"/>
      <c r="BK33" s="358"/>
      <c r="BL33" s="357"/>
      <c r="BM33" s="359"/>
      <c r="BN33" s="360"/>
      <c r="BO33" s="355"/>
      <c r="BP33" s="355"/>
      <c r="BQ33" s="355"/>
      <c r="BR33" s="356"/>
      <c r="BS33" s="357"/>
      <c r="BT33" s="358"/>
      <c r="BU33" s="357"/>
      <c r="BV33" s="359"/>
      <c r="BW33" s="360"/>
      <c r="BX33" s="355"/>
      <c r="BY33" s="355"/>
      <c r="BZ33" s="355"/>
      <c r="CA33" s="356"/>
      <c r="CB33" s="357"/>
      <c r="CC33" s="358"/>
      <c r="CD33" s="357"/>
      <c r="CE33" s="359"/>
      <c r="CF33" s="360"/>
      <c r="CG33" s="355"/>
      <c r="CH33" s="355"/>
      <c r="CI33" s="355"/>
      <c r="CJ33" s="356"/>
      <c r="CK33" s="357"/>
      <c r="CL33" s="358"/>
      <c r="CM33" s="357"/>
      <c r="CN33" s="359"/>
      <c r="CO33" s="360"/>
      <c r="CP33" s="355"/>
      <c r="CQ33" s="355"/>
      <c r="CR33" s="355"/>
      <c r="CS33" s="356"/>
      <c r="CT33" s="357"/>
      <c r="CU33" s="358"/>
      <c r="CV33" s="357"/>
      <c r="CW33" s="359"/>
      <c r="CX33" s="360"/>
      <c r="CY33" s="355"/>
      <c r="CZ33" s="355"/>
      <c r="DA33" s="355"/>
      <c r="DB33" s="356"/>
      <c r="DC33" s="357"/>
      <c r="DD33" s="358"/>
      <c r="DE33" s="357"/>
      <c r="DF33" s="359"/>
      <c r="DG33" s="360"/>
      <c r="DH33" s="355"/>
      <c r="DI33" s="355"/>
      <c r="DJ33" s="355"/>
      <c r="DK33" s="356"/>
      <c r="DL33" s="357"/>
      <c r="DM33" s="358"/>
      <c r="DN33" s="357"/>
      <c r="DO33" s="359"/>
      <c r="DP33" s="360"/>
      <c r="DQ33" s="355"/>
      <c r="DR33" s="355"/>
      <c r="DS33" s="355"/>
      <c r="DT33" s="356"/>
      <c r="DU33" s="357"/>
      <c r="DV33" s="358"/>
      <c r="DW33" s="357"/>
      <c r="DX33" s="359"/>
      <c r="DY33" s="360"/>
      <c r="DZ33" s="355"/>
      <c r="EA33" s="355"/>
      <c r="EB33" s="355"/>
      <c r="EC33" s="356"/>
      <c r="ED33" s="357"/>
      <c r="EE33" s="358"/>
      <c r="EF33" s="357"/>
      <c r="EG33" s="359"/>
      <c r="EH33" s="360"/>
      <c r="EI33" s="355"/>
      <c r="EJ33" s="355"/>
      <c r="EK33" s="355"/>
      <c r="EL33" s="356"/>
      <c r="EM33" s="357"/>
      <c r="EN33" s="358"/>
      <c r="EO33" s="357"/>
      <c r="EP33" s="359"/>
      <c r="EQ33" s="360"/>
      <c r="ER33" s="355"/>
      <c r="ES33" s="355"/>
      <c r="ET33" s="355"/>
      <c r="EU33" s="356"/>
      <c r="EV33" s="357"/>
      <c r="EW33" s="358"/>
      <c r="EX33" s="357"/>
      <c r="EY33" s="359"/>
      <c r="EZ33" s="360"/>
      <c r="FA33" s="355"/>
      <c r="FB33" s="355"/>
      <c r="FC33" s="355"/>
      <c r="FD33" s="356"/>
      <c r="FE33" s="357"/>
      <c r="FF33" s="358"/>
      <c r="FG33" s="357"/>
      <c r="FH33" s="359"/>
      <c r="FI33" s="360"/>
      <c r="FJ33" s="355"/>
      <c r="FK33" s="355"/>
      <c r="FL33" s="355"/>
      <c r="FM33" s="356"/>
      <c r="FN33" s="357"/>
      <c r="FO33" s="358"/>
      <c r="FP33" s="357"/>
      <c r="FQ33" s="359"/>
      <c r="FR33" s="360"/>
      <c r="FS33" s="355"/>
      <c r="FT33" s="355"/>
      <c r="FU33" s="355"/>
      <c r="FV33" s="356"/>
      <c r="FW33" s="357"/>
      <c r="FX33" s="358"/>
      <c r="FY33" s="357"/>
      <c r="FZ33" s="359"/>
      <c r="GA33" s="360"/>
      <c r="GB33" s="355"/>
      <c r="GC33" s="355"/>
      <c r="GD33" s="355"/>
      <c r="GE33" s="356"/>
      <c r="GF33" s="357"/>
      <c r="GG33" s="358"/>
      <c r="GH33" s="357"/>
      <c r="GI33" s="359"/>
      <c r="GJ33" s="360"/>
      <c r="GK33" s="355"/>
      <c r="GL33" s="355"/>
      <c r="GM33" s="355"/>
      <c r="GN33" s="356"/>
      <c r="GO33" s="357"/>
      <c r="GP33" s="358"/>
      <c r="GQ33" s="357"/>
      <c r="GR33" s="359"/>
      <c r="GS33" s="360"/>
      <c r="GT33" s="362">
        <v>42905</v>
      </c>
      <c r="GU33" s="98"/>
      <c r="GV33" s="65"/>
      <c r="GW33" s="74"/>
      <c r="GX33" s="74"/>
      <c r="GY33" s="391" t="s">
        <v>554</v>
      </c>
      <c r="GZ33" s="535">
        <v>3712</v>
      </c>
    </row>
    <row r="34" spans="1:208" x14ac:dyDescent="0.25">
      <c r="A34"/>
      <c r="D34" s="35"/>
      <c r="E34" s="36"/>
      <c r="F34" s="37"/>
      <c r="G34" s="38"/>
      <c r="H34" s="39"/>
      <c r="I34" s="40"/>
      <c r="J34" s="68" t="s">
        <v>153</v>
      </c>
      <c r="K34" s="407" t="s">
        <v>35</v>
      </c>
      <c r="L34" s="70">
        <v>11710</v>
      </c>
      <c r="M34" s="527">
        <v>42880</v>
      </c>
      <c r="N34" s="380" t="s">
        <v>501</v>
      </c>
      <c r="O34" s="72">
        <v>14765</v>
      </c>
      <c r="P34" s="113">
        <f t="shared" si="0"/>
        <v>3055</v>
      </c>
      <c r="Q34" s="117">
        <v>26.5</v>
      </c>
      <c r="R34" s="117"/>
      <c r="S34" s="117"/>
      <c r="T34" s="39">
        <f>Q34*O34</f>
        <v>391272.5</v>
      </c>
      <c r="U34" s="363" t="s">
        <v>72</v>
      </c>
      <c r="V34" s="353">
        <v>42905</v>
      </c>
      <c r="W34" s="368">
        <v>9802</v>
      </c>
      <c r="X34" s="355"/>
      <c r="Y34" s="356"/>
      <c r="Z34" s="357"/>
      <c r="AA34" s="358"/>
      <c r="AB34" s="357"/>
      <c r="AC34" s="359"/>
      <c r="AD34" s="360"/>
      <c r="AE34" s="355"/>
      <c r="AF34" s="355"/>
      <c r="AG34" s="355"/>
      <c r="AH34" s="356"/>
      <c r="AI34" s="357"/>
      <c r="AJ34" s="358"/>
      <c r="AK34" s="357"/>
      <c r="AL34" s="359"/>
      <c r="AM34" s="360"/>
      <c r="AN34" s="355"/>
      <c r="AO34" s="355"/>
      <c r="AP34" s="355"/>
      <c r="AQ34" s="356"/>
      <c r="AR34" s="357"/>
      <c r="AS34" s="358"/>
      <c r="AT34" s="357"/>
      <c r="AU34" s="359"/>
      <c r="AV34" s="360"/>
      <c r="AW34" s="355"/>
      <c r="AX34" s="355"/>
      <c r="AY34" s="355"/>
      <c r="AZ34" s="356"/>
      <c r="BA34" s="357"/>
      <c r="BB34" s="358"/>
      <c r="BC34" s="357"/>
      <c r="BD34" s="359"/>
      <c r="BE34" s="360"/>
      <c r="BF34" s="355"/>
      <c r="BG34" s="355"/>
      <c r="BH34" s="355"/>
      <c r="BI34" s="356"/>
      <c r="BJ34" s="357"/>
      <c r="BK34" s="358"/>
      <c r="BL34" s="357"/>
      <c r="BM34" s="359"/>
      <c r="BN34" s="360"/>
      <c r="BO34" s="355"/>
      <c r="BP34" s="355"/>
      <c r="BQ34" s="355"/>
      <c r="BR34" s="356"/>
      <c r="BS34" s="357"/>
      <c r="BT34" s="358"/>
      <c r="BU34" s="357"/>
      <c r="BV34" s="359"/>
      <c r="BW34" s="360"/>
      <c r="BX34" s="355"/>
      <c r="BY34" s="355"/>
      <c r="BZ34" s="355"/>
      <c r="CA34" s="356"/>
      <c r="CB34" s="357"/>
      <c r="CC34" s="358"/>
      <c r="CD34" s="357"/>
      <c r="CE34" s="359"/>
      <c r="CF34" s="360"/>
      <c r="CG34" s="355"/>
      <c r="CH34" s="355"/>
      <c r="CI34" s="355"/>
      <c r="CJ34" s="356"/>
      <c r="CK34" s="357"/>
      <c r="CL34" s="358"/>
      <c r="CM34" s="357"/>
      <c r="CN34" s="359"/>
      <c r="CO34" s="360"/>
      <c r="CP34" s="355"/>
      <c r="CQ34" s="355"/>
      <c r="CR34" s="355"/>
      <c r="CS34" s="356"/>
      <c r="CT34" s="357"/>
      <c r="CU34" s="358"/>
      <c r="CV34" s="357"/>
      <c r="CW34" s="359"/>
      <c r="CX34" s="360"/>
      <c r="CY34" s="355"/>
      <c r="CZ34" s="355"/>
      <c r="DA34" s="355"/>
      <c r="DB34" s="356"/>
      <c r="DC34" s="357"/>
      <c r="DD34" s="358"/>
      <c r="DE34" s="357"/>
      <c r="DF34" s="359"/>
      <c r="DG34" s="360"/>
      <c r="DH34" s="355"/>
      <c r="DI34" s="355"/>
      <c r="DJ34" s="355"/>
      <c r="DK34" s="356"/>
      <c r="DL34" s="357"/>
      <c r="DM34" s="358"/>
      <c r="DN34" s="357"/>
      <c r="DO34" s="359"/>
      <c r="DP34" s="360"/>
      <c r="DQ34" s="355"/>
      <c r="DR34" s="355"/>
      <c r="DS34" s="355"/>
      <c r="DT34" s="356"/>
      <c r="DU34" s="357"/>
      <c r="DV34" s="358"/>
      <c r="DW34" s="357"/>
      <c r="DX34" s="359"/>
      <c r="DY34" s="360"/>
      <c r="DZ34" s="355"/>
      <c r="EA34" s="355"/>
      <c r="EB34" s="355"/>
      <c r="EC34" s="356"/>
      <c r="ED34" s="357"/>
      <c r="EE34" s="358"/>
      <c r="EF34" s="357"/>
      <c r="EG34" s="359"/>
      <c r="EH34" s="360"/>
      <c r="EI34" s="355"/>
      <c r="EJ34" s="355"/>
      <c r="EK34" s="355"/>
      <c r="EL34" s="356"/>
      <c r="EM34" s="357"/>
      <c r="EN34" s="358"/>
      <c r="EO34" s="357"/>
      <c r="EP34" s="359"/>
      <c r="EQ34" s="360"/>
      <c r="ER34" s="355"/>
      <c r="ES34" s="355"/>
      <c r="ET34" s="355"/>
      <c r="EU34" s="356"/>
      <c r="EV34" s="357"/>
      <c r="EW34" s="358"/>
      <c r="EX34" s="357"/>
      <c r="EY34" s="359"/>
      <c r="EZ34" s="360"/>
      <c r="FA34" s="355"/>
      <c r="FB34" s="355"/>
      <c r="FC34" s="355"/>
      <c r="FD34" s="356"/>
      <c r="FE34" s="357"/>
      <c r="FF34" s="358"/>
      <c r="FG34" s="357"/>
      <c r="FH34" s="359"/>
      <c r="FI34" s="360"/>
      <c r="FJ34" s="355"/>
      <c r="FK34" s="355"/>
      <c r="FL34" s="355"/>
      <c r="FM34" s="356"/>
      <c r="FN34" s="357"/>
      <c r="FO34" s="358"/>
      <c r="FP34" s="357"/>
      <c r="FQ34" s="359"/>
      <c r="FR34" s="360"/>
      <c r="FS34" s="355"/>
      <c r="FT34" s="355"/>
      <c r="FU34" s="355"/>
      <c r="FV34" s="356"/>
      <c r="FW34" s="357"/>
      <c r="FX34" s="358"/>
      <c r="FY34" s="357"/>
      <c r="FZ34" s="359"/>
      <c r="GA34" s="360"/>
      <c r="GB34" s="355"/>
      <c r="GC34" s="355"/>
      <c r="GD34" s="355"/>
      <c r="GE34" s="356"/>
      <c r="GF34" s="357"/>
      <c r="GG34" s="358"/>
      <c r="GH34" s="357"/>
      <c r="GI34" s="359"/>
      <c r="GJ34" s="360"/>
      <c r="GK34" s="355"/>
      <c r="GL34" s="355"/>
      <c r="GM34" s="355"/>
      <c r="GN34" s="356"/>
      <c r="GO34" s="357"/>
      <c r="GP34" s="358"/>
      <c r="GQ34" s="357"/>
      <c r="GR34" s="359"/>
      <c r="GS34" s="360"/>
      <c r="GT34" s="384">
        <v>42905</v>
      </c>
      <c r="GU34" s="98"/>
      <c r="GV34" s="65">
        <v>17584</v>
      </c>
      <c r="GW34" s="528" t="s">
        <v>466</v>
      </c>
      <c r="GX34" s="74"/>
      <c r="GY34" s="391" t="s">
        <v>554</v>
      </c>
      <c r="GZ34" s="535">
        <v>2088</v>
      </c>
    </row>
    <row r="35" spans="1:208" x14ac:dyDescent="0.25">
      <c r="A35"/>
      <c r="D35" s="35"/>
      <c r="E35" s="36"/>
      <c r="F35" s="37"/>
      <c r="G35" s="38"/>
      <c r="H35" s="39"/>
      <c r="I35" s="40"/>
      <c r="J35" s="68" t="s">
        <v>33</v>
      </c>
      <c r="K35" s="407" t="s">
        <v>59</v>
      </c>
      <c r="L35" s="70">
        <v>17410</v>
      </c>
      <c r="M35" s="527">
        <v>42881</v>
      </c>
      <c r="N35" s="380" t="s">
        <v>502</v>
      </c>
      <c r="O35" s="72">
        <v>25160</v>
      </c>
      <c r="P35" s="113">
        <f t="shared" si="0"/>
        <v>7750</v>
      </c>
      <c r="Q35" s="117">
        <v>26.5</v>
      </c>
      <c r="R35" s="117"/>
      <c r="S35" s="117"/>
      <c r="T35" s="39">
        <f>Q35*O35</f>
        <v>666740</v>
      </c>
      <c r="U35" s="363" t="s">
        <v>72</v>
      </c>
      <c r="V35" s="353">
        <v>42905</v>
      </c>
      <c r="W35" s="368">
        <v>17342</v>
      </c>
      <c r="X35" s="355"/>
      <c r="Y35" s="356"/>
      <c r="Z35" s="357"/>
      <c r="AA35" s="358"/>
      <c r="AB35" s="357"/>
      <c r="AC35" s="359"/>
      <c r="AD35" s="360"/>
      <c r="AE35" s="355"/>
      <c r="AF35" s="355"/>
      <c r="AG35" s="355"/>
      <c r="AH35" s="356"/>
      <c r="AI35" s="357"/>
      <c r="AJ35" s="358"/>
      <c r="AK35" s="357"/>
      <c r="AL35" s="359"/>
      <c r="AM35" s="360"/>
      <c r="AN35" s="355"/>
      <c r="AO35" s="355"/>
      <c r="AP35" s="355"/>
      <c r="AQ35" s="356"/>
      <c r="AR35" s="357"/>
      <c r="AS35" s="358"/>
      <c r="AT35" s="357"/>
      <c r="AU35" s="359"/>
      <c r="AV35" s="360"/>
      <c r="AW35" s="355"/>
      <c r="AX35" s="355"/>
      <c r="AY35" s="355"/>
      <c r="AZ35" s="356"/>
      <c r="BA35" s="357"/>
      <c r="BB35" s="358"/>
      <c r="BC35" s="357"/>
      <c r="BD35" s="359"/>
      <c r="BE35" s="360"/>
      <c r="BF35" s="355"/>
      <c r="BG35" s="355"/>
      <c r="BH35" s="355"/>
      <c r="BI35" s="356"/>
      <c r="BJ35" s="357"/>
      <c r="BK35" s="358"/>
      <c r="BL35" s="357"/>
      <c r="BM35" s="359"/>
      <c r="BN35" s="360"/>
      <c r="BO35" s="355"/>
      <c r="BP35" s="355"/>
      <c r="BQ35" s="355"/>
      <c r="BR35" s="356"/>
      <c r="BS35" s="357"/>
      <c r="BT35" s="358"/>
      <c r="BU35" s="357"/>
      <c r="BV35" s="359"/>
      <c r="BW35" s="360"/>
      <c r="BX35" s="355"/>
      <c r="BY35" s="355"/>
      <c r="BZ35" s="355"/>
      <c r="CA35" s="356"/>
      <c r="CB35" s="357"/>
      <c r="CC35" s="358"/>
      <c r="CD35" s="357"/>
      <c r="CE35" s="359"/>
      <c r="CF35" s="360"/>
      <c r="CG35" s="355"/>
      <c r="CH35" s="355"/>
      <c r="CI35" s="355"/>
      <c r="CJ35" s="356"/>
      <c r="CK35" s="357"/>
      <c r="CL35" s="358"/>
      <c r="CM35" s="357"/>
      <c r="CN35" s="359"/>
      <c r="CO35" s="360"/>
      <c r="CP35" s="355"/>
      <c r="CQ35" s="355"/>
      <c r="CR35" s="355"/>
      <c r="CS35" s="356"/>
      <c r="CT35" s="357"/>
      <c r="CU35" s="358"/>
      <c r="CV35" s="357"/>
      <c r="CW35" s="359"/>
      <c r="CX35" s="360"/>
      <c r="CY35" s="355"/>
      <c r="CZ35" s="355"/>
      <c r="DA35" s="355"/>
      <c r="DB35" s="356"/>
      <c r="DC35" s="357"/>
      <c r="DD35" s="358"/>
      <c r="DE35" s="357"/>
      <c r="DF35" s="359"/>
      <c r="DG35" s="360"/>
      <c r="DH35" s="355"/>
      <c r="DI35" s="355"/>
      <c r="DJ35" s="355"/>
      <c r="DK35" s="356"/>
      <c r="DL35" s="357"/>
      <c r="DM35" s="358"/>
      <c r="DN35" s="357"/>
      <c r="DO35" s="359"/>
      <c r="DP35" s="360"/>
      <c r="DQ35" s="355"/>
      <c r="DR35" s="355"/>
      <c r="DS35" s="355"/>
      <c r="DT35" s="356"/>
      <c r="DU35" s="357"/>
      <c r="DV35" s="358"/>
      <c r="DW35" s="357"/>
      <c r="DX35" s="359"/>
      <c r="DY35" s="360"/>
      <c r="DZ35" s="355"/>
      <c r="EA35" s="355"/>
      <c r="EB35" s="355"/>
      <c r="EC35" s="356"/>
      <c r="ED35" s="357"/>
      <c r="EE35" s="358"/>
      <c r="EF35" s="357"/>
      <c r="EG35" s="359"/>
      <c r="EH35" s="360"/>
      <c r="EI35" s="355"/>
      <c r="EJ35" s="355"/>
      <c r="EK35" s="355"/>
      <c r="EL35" s="356"/>
      <c r="EM35" s="357"/>
      <c r="EN35" s="358"/>
      <c r="EO35" s="357"/>
      <c r="EP35" s="359"/>
      <c r="EQ35" s="360"/>
      <c r="ER35" s="355"/>
      <c r="ES35" s="355"/>
      <c r="ET35" s="355"/>
      <c r="EU35" s="356"/>
      <c r="EV35" s="357"/>
      <c r="EW35" s="358"/>
      <c r="EX35" s="357"/>
      <c r="EY35" s="359"/>
      <c r="EZ35" s="360"/>
      <c r="FA35" s="355"/>
      <c r="FB35" s="355"/>
      <c r="FC35" s="355"/>
      <c r="FD35" s="356"/>
      <c r="FE35" s="357"/>
      <c r="FF35" s="358"/>
      <c r="FG35" s="357"/>
      <c r="FH35" s="359"/>
      <c r="FI35" s="360"/>
      <c r="FJ35" s="355"/>
      <c r="FK35" s="355"/>
      <c r="FL35" s="355"/>
      <c r="FM35" s="356"/>
      <c r="FN35" s="357"/>
      <c r="FO35" s="358"/>
      <c r="FP35" s="357"/>
      <c r="FQ35" s="359"/>
      <c r="FR35" s="360"/>
      <c r="FS35" s="355"/>
      <c r="FT35" s="355"/>
      <c r="FU35" s="355"/>
      <c r="FV35" s="356"/>
      <c r="FW35" s="357"/>
      <c r="FX35" s="358"/>
      <c r="FY35" s="357"/>
      <c r="FZ35" s="359"/>
      <c r="GA35" s="360"/>
      <c r="GB35" s="355"/>
      <c r="GC35" s="355"/>
      <c r="GD35" s="355"/>
      <c r="GE35" s="356"/>
      <c r="GF35" s="357"/>
      <c r="GG35" s="358"/>
      <c r="GH35" s="357"/>
      <c r="GI35" s="359"/>
      <c r="GJ35" s="360"/>
      <c r="GK35" s="355"/>
      <c r="GL35" s="355"/>
      <c r="GM35" s="355"/>
      <c r="GN35" s="356"/>
      <c r="GO35" s="357"/>
      <c r="GP35" s="358"/>
      <c r="GQ35" s="357"/>
      <c r="GR35" s="359"/>
      <c r="GS35" s="360"/>
      <c r="GT35" s="362">
        <v>42905</v>
      </c>
      <c r="GU35" s="98"/>
      <c r="GV35" s="65">
        <v>22176</v>
      </c>
      <c r="GW35" s="528" t="s">
        <v>468</v>
      </c>
      <c r="GX35" s="74"/>
      <c r="GY35" s="391" t="s">
        <v>554</v>
      </c>
      <c r="GZ35" s="535">
        <v>3712</v>
      </c>
    </row>
    <row r="36" spans="1:208" x14ac:dyDescent="0.25">
      <c r="A36"/>
      <c r="D36" s="35"/>
      <c r="E36" s="36"/>
      <c r="F36" s="37"/>
      <c r="G36" s="38"/>
      <c r="H36" s="39"/>
      <c r="I36" s="40"/>
      <c r="J36" s="68" t="s">
        <v>435</v>
      </c>
      <c r="K36" s="451" t="s">
        <v>46</v>
      </c>
      <c r="L36" s="70">
        <v>11010</v>
      </c>
      <c r="M36" s="527">
        <v>42881</v>
      </c>
      <c r="N36" s="380" t="s">
        <v>508</v>
      </c>
      <c r="O36" s="72">
        <v>10675</v>
      </c>
      <c r="P36" s="113">
        <f t="shared" si="0"/>
        <v>-335</v>
      </c>
      <c r="Q36" s="64">
        <v>26.5</v>
      </c>
      <c r="R36" s="117"/>
      <c r="S36" s="117"/>
      <c r="T36" s="39">
        <f>Q36*O36</f>
        <v>282887.5</v>
      </c>
      <c r="U36" s="363" t="s">
        <v>72</v>
      </c>
      <c r="V36" s="353">
        <v>42905</v>
      </c>
      <c r="W36" s="368">
        <v>7540</v>
      </c>
      <c r="X36" s="355"/>
      <c r="Y36" s="356"/>
      <c r="Z36" s="357"/>
      <c r="AA36" s="358"/>
      <c r="AB36" s="357"/>
      <c r="AC36" s="359"/>
      <c r="AD36" s="360"/>
      <c r="AE36" s="355"/>
      <c r="AF36" s="355"/>
      <c r="AG36" s="355"/>
      <c r="AH36" s="356"/>
      <c r="AI36" s="357"/>
      <c r="AJ36" s="358"/>
      <c r="AK36" s="357"/>
      <c r="AL36" s="359"/>
      <c r="AM36" s="360"/>
      <c r="AN36" s="355"/>
      <c r="AO36" s="355"/>
      <c r="AP36" s="355"/>
      <c r="AQ36" s="356"/>
      <c r="AR36" s="357"/>
      <c r="AS36" s="358"/>
      <c r="AT36" s="357"/>
      <c r="AU36" s="359"/>
      <c r="AV36" s="360"/>
      <c r="AW36" s="355"/>
      <c r="AX36" s="355"/>
      <c r="AY36" s="355"/>
      <c r="AZ36" s="356"/>
      <c r="BA36" s="357"/>
      <c r="BB36" s="358"/>
      <c r="BC36" s="357"/>
      <c r="BD36" s="359"/>
      <c r="BE36" s="360"/>
      <c r="BF36" s="355"/>
      <c r="BG36" s="355"/>
      <c r="BH36" s="355"/>
      <c r="BI36" s="356"/>
      <c r="BJ36" s="357"/>
      <c r="BK36" s="358"/>
      <c r="BL36" s="357"/>
      <c r="BM36" s="359"/>
      <c r="BN36" s="360"/>
      <c r="BO36" s="355"/>
      <c r="BP36" s="355"/>
      <c r="BQ36" s="355"/>
      <c r="BR36" s="356"/>
      <c r="BS36" s="357"/>
      <c r="BT36" s="358"/>
      <c r="BU36" s="357"/>
      <c r="BV36" s="359"/>
      <c r="BW36" s="360"/>
      <c r="BX36" s="355"/>
      <c r="BY36" s="355"/>
      <c r="BZ36" s="355"/>
      <c r="CA36" s="356"/>
      <c r="CB36" s="357"/>
      <c r="CC36" s="358"/>
      <c r="CD36" s="357"/>
      <c r="CE36" s="359"/>
      <c r="CF36" s="360"/>
      <c r="CG36" s="355"/>
      <c r="CH36" s="355"/>
      <c r="CI36" s="355"/>
      <c r="CJ36" s="356"/>
      <c r="CK36" s="357"/>
      <c r="CL36" s="358"/>
      <c r="CM36" s="357"/>
      <c r="CN36" s="359"/>
      <c r="CO36" s="360"/>
      <c r="CP36" s="355"/>
      <c r="CQ36" s="355"/>
      <c r="CR36" s="355"/>
      <c r="CS36" s="356"/>
      <c r="CT36" s="357"/>
      <c r="CU36" s="358"/>
      <c r="CV36" s="357"/>
      <c r="CW36" s="359"/>
      <c r="CX36" s="360"/>
      <c r="CY36" s="355"/>
      <c r="CZ36" s="355"/>
      <c r="DA36" s="355"/>
      <c r="DB36" s="356"/>
      <c r="DC36" s="357"/>
      <c r="DD36" s="358"/>
      <c r="DE36" s="357"/>
      <c r="DF36" s="359"/>
      <c r="DG36" s="360"/>
      <c r="DH36" s="355"/>
      <c r="DI36" s="355"/>
      <c r="DJ36" s="355"/>
      <c r="DK36" s="356"/>
      <c r="DL36" s="357"/>
      <c r="DM36" s="358"/>
      <c r="DN36" s="357"/>
      <c r="DO36" s="359"/>
      <c r="DP36" s="360"/>
      <c r="DQ36" s="355"/>
      <c r="DR36" s="355"/>
      <c r="DS36" s="355"/>
      <c r="DT36" s="356"/>
      <c r="DU36" s="357"/>
      <c r="DV36" s="358"/>
      <c r="DW36" s="357"/>
      <c r="DX36" s="359"/>
      <c r="DY36" s="360"/>
      <c r="DZ36" s="355"/>
      <c r="EA36" s="355"/>
      <c r="EB36" s="355"/>
      <c r="EC36" s="356"/>
      <c r="ED36" s="357"/>
      <c r="EE36" s="358"/>
      <c r="EF36" s="357"/>
      <c r="EG36" s="359"/>
      <c r="EH36" s="360"/>
      <c r="EI36" s="355"/>
      <c r="EJ36" s="355"/>
      <c r="EK36" s="355"/>
      <c r="EL36" s="356"/>
      <c r="EM36" s="357"/>
      <c r="EN36" s="358"/>
      <c r="EO36" s="357"/>
      <c r="EP36" s="359"/>
      <c r="EQ36" s="360"/>
      <c r="ER36" s="355"/>
      <c r="ES36" s="355"/>
      <c r="ET36" s="355"/>
      <c r="EU36" s="356"/>
      <c r="EV36" s="357"/>
      <c r="EW36" s="358"/>
      <c r="EX36" s="357"/>
      <c r="EY36" s="359"/>
      <c r="EZ36" s="360"/>
      <c r="FA36" s="355"/>
      <c r="FB36" s="355"/>
      <c r="FC36" s="355"/>
      <c r="FD36" s="356"/>
      <c r="FE36" s="357"/>
      <c r="FF36" s="358"/>
      <c r="FG36" s="357"/>
      <c r="FH36" s="359"/>
      <c r="FI36" s="360"/>
      <c r="FJ36" s="355"/>
      <c r="FK36" s="355"/>
      <c r="FL36" s="355"/>
      <c r="FM36" s="356"/>
      <c r="FN36" s="357"/>
      <c r="FO36" s="358"/>
      <c r="FP36" s="357"/>
      <c r="FQ36" s="359"/>
      <c r="FR36" s="360"/>
      <c r="FS36" s="355"/>
      <c r="FT36" s="355"/>
      <c r="FU36" s="355"/>
      <c r="FV36" s="356"/>
      <c r="FW36" s="357"/>
      <c r="FX36" s="358"/>
      <c r="FY36" s="357"/>
      <c r="FZ36" s="359"/>
      <c r="GA36" s="360"/>
      <c r="GB36" s="355"/>
      <c r="GC36" s="355"/>
      <c r="GD36" s="355"/>
      <c r="GE36" s="356"/>
      <c r="GF36" s="357"/>
      <c r="GG36" s="358"/>
      <c r="GH36" s="357"/>
      <c r="GI36" s="359"/>
      <c r="GJ36" s="360"/>
      <c r="GK36" s="355"/>
      <c r="GL36" s="355"/>
      <c r="GM36" s="355"/>
      <c r="GN36" s="356"/>
      <c r="GO36" s="357"/>
      <c r="GP36" s="358"/>
      <c r="GQ36" s="357"/>
      <c r="GR36" s="359"/>
      <c r="GS36" s="360"/>
      <c r="GT36" s="414">
        <v>42905</v>
      </c>
      <c r="GU36" s="98"/>
      <c r="GV36" s="129">
        <v>17584</v>
      </c>
      <c r="GW36" s="528" t="s">
        <v>467</v>
      </c>
      <c r="GX36" s="74"/>
      <c r="GY36" s="391" t="s">
        <v>554</v>
      </c>
      <c r="GZ36" s="535">
        <v>2088</v>
      </c>
    </row>
    <row r="37" spans="1:208" ht="26.25" x14ac:dyDescent="0.25">
      <c r="A37"/>
      <c r="D37" s="35"/>
      <c r="E37" s="36"/>
      <c r="F37" s="37"/>
      <c r="G37" s="38"/>
      <c r="H37" s="39"/>
      <c r="I37" s="40"/>
      <c r="J37" s="68" t="s">
        <v>436</v>
      </c>
      <c r="K37" s="407" t="s">
        <v>46</v>
      </c>
      <c r="L37" s="70">
        <v>19030</v>
      </c>
      <c r="M37" s="527">
        <v>42883</v>
      </c>
      <c r="N37" s="381" t="s">
        <v>510</v>
      </c>
      <c r="O37" s="72">
        <v>10635</v>
      </c>
      <c r="P37" s="113">
        <v>0</v>
      </c>
      <c r="Q37" s="117">
        <v>27.5</v>
      </c>
      <c r="R37" s="117"/>
      <c r="S37" s="111"/>
      <c r="T37" s="39">
        <f>Q37*O37+S37-5849.25</f>
        <v>286613.25</v>
      </c>
      <c r="U37" s="363" t="s">
        <v>72</v>
      </c>
      <c r="V37" s="353">
        <v>42906</v>
      </c>
      <c r="W37" s="368">
        <v>7540</v>
      </c>
      <c r="X37" s="355"/>
      <c r="Y37" s="356"/>
      <c r="Z37" s="357"/>
      <c r="AA37" s="358"/>
      <c r="AB37" s="357"/>
      <c r="AC37" s="359"/>
      <c r="AD37" s="360"/>
      <c r="AE37" s="355"/>
      <c r="AF37" s="355"/>
      <c r="AG37" s="355"/>
      <c r="AH37" s="356"/>
      <c r="AI37" s="357"/>
      <c r="AJ37" s="358"/>
      <c r="AK37" s="357"/>
      <c r="AL37" s="359"/>
      <c r="AM37" s="360"/>
      <c r="AN37" s="355"/>
      <c r="AO37" s="355"/>
      <c r="AP37" s="355"/>
      <c r="AQ37" s="356"/>
      <c r="AR37" s="357"/>
      <c r="AS37" s="358"/>
      <c r="AT37" s="357"/>
      <c r="AU37" s="359"/>
      <c r="AV37" s="360"/>
      <c r="AW37" s="355"/>
      <c r="AX37" s="355"/>
      <c r="AY37" s="355"/>
      <c r="AZ37" s="356"/>
      <c r="BA37" s="357"/>
      <c r="BB37" s="358"/>
      <c r="BC37" s="357"/>
      <c r="BD37" s="359"/>
      <c r="BE37" s="360"/>
      <c r="BF37" s="355"/>
      <c r="BG37" s="355"/>
      <c r="BH37" s="355"/>
      <c r="BI37" s="356"/>
      <c r="BJ37" s="357"/>
      <c r="BK37" s="358"/>
      <c r="BL37" s="357"/>
      <c r="BM37" s="359"/>
      <c r="BN37" s="360"/>
      <c r="BO37" s="355"/>
      <c r="BP37" s="355"/>
      <c r="BQ37" s="355"/>
      <c r="BR37" s="356"/>
      <c r="BS37" s="357"/>
      <c r="BT37" s="358"/>
      <c r="BU37" s="357"/>
      <c r="BV37" s="359"/>
      <c r="BW37" s="360"/>
      <c r="BX37" s="355"/>
      <c r="BY37" s="355"/>
      <c r="BZ37" s="355"/>
      <c r="CA37" s="356"/>
      <c r="CB37" s="357"/>
      <c r="CC37" s="358"/>
      <c r="CD37" s="357"/>
      <c r="CE37" s="359"/>
      <c r="CF37" s="360"/>
      <c r="CG37" s="355"/>
      <c r="CH37" s="355"/>
      <c r="CI37" s="355"/>
      <c r="CJ37" s="356"/>
      <c r="CK37" s="357"/>
      <c r="CL37" s="358"/>
      <c r="CM37" s="357"/>
      <c r="CN37" s="359"/>
      <c r="CO37" s="360"/>
      <c r="CP37" s="355"/>
      <c r="CQ37" s="355"/>
      <c r="CR37" s="355"/>
      <c r="CS37" s="356"/>
      <c r="CT37" s="357"/>
      <c r="CU37" s="358"/>
      <c r="CV37" s="357"/>
      <c r="CW37" s="359"/>
      <c r="CX37" s="360"/>
      <c r="CY37" s="355"/>
      <c r="CZ37" s="355"/>
      <c r="DA37" s="355"/>
      <c r="DB37" s="356"/>
      <c r="DC37" s="357"/>
      <c r="DD37" s="358"/>
      <c r="DE37" s="357"/>
      <c r="DF37" s="359"/>
      <c r="DG37" s="360"/>
      <c r="DH37" s="355"/>
      <c r="DI37" s="355"/>
      <c r="DJ37" s="355"/>
      <c r="DK37" s="356"/>
      <c r="DL37" s="357"/>
      <c r="DM37" s="358"/>
      <c r="DN37" s="357"/>
      <c r="DO37" s="359"/>
      <c r="DP37" s="360"/>
      <c r="DQ37" s="355"/>
      <c r="DR37" s="355"/>
      <c r="DS37" s="355"/>
      <c r="DT37" s="356"/>
      <c r="DU37" s="357"/>
      <c r="DV37" s="358"/>
      <c r="DW37" s="357"/>
      <c r="DX37" s="359"/>
      <c r="DY37" s="360"/>
      <c r="DZ37" s="355"/>
      <c r="EA37" s="355"/>
      <c r="EB37" s="355"/>
      <c r="EC37" s="356"/>
      <c r="ED37" s="357"/>
      <c r="EE37" s="358"/>
      <c r="EF37" s="357"/>
      <c r="EG37" s="359"/>
      <c r="EH37" s="360"/>
      <c r="EI37" s="355"/>
      <c r="EJ37" s="355"/>
      <c r="EK37" s="355"/>
      <c r="EL37" s="356"/>
      <c r="EM37" s="357"/>
      <c r="EN37" s="358"/>
      <c r="EO37" s="357"/>
      <c r="EP37" s="359"/>
      <c r="EQ37" s="360"/>
      <c r="ER37" s="355"/>
      <c r="ES37" s="355"/>
      <c r="ET37" s="355"/>
      <c r="EU37" s="356"/>
      <c r="EV37" s="357"/>
      <c r="EW37" s="358"/>
      <c r="EX37" s="357"/>
      <c r="EY37" s="359"/>
      <c r="EZ37" s="360"/>
      <c r="FA37" s="355"/>
      <c r="FB37" s="355"/>
      <c r="FC37" s="355"/>
      <c r="FD37" s="356"/>
      <c r="FE37" s="357"/>
      <c r="FF37" s="358"/>
      <c r="FG37" s="357"/>
      <c r="FH37" s="359"/>
      <c r="FI37" s="360"/>
      <c r="FJ37" s="355"/>
      <c r="FK37" s="355"/>
      <c r="FL37" s="355"/>
      <c r="FM37" s="356"/>
      <c r="FN37" s="357"/>
      <c r="FO37" s="358"/>
      <c r="FP37" s="357"/>
      <c r="FQ37" s="359"/>
      <c r="FR37" s="360"/>
      <c r="FS37" s="355"/>
      <c r="FT37" s="355"/>
      <c r="FU37" s="355"/>
      <c r="FV37" s="356"/>
      <c r="FW37" s="357"/>
      <c r="FX37" s="358"/>
      <c r="FY37" s="357"/>
      <c r="FZ37" s="359"/>
      <c r="GA37" s="360"/>
      <c r="GB37" s="355"/>
      <c r="GC37" s="355"/>
      <c r="GD37" s="355"/>
      <c r="GE37" s="356"/>
      <c r="GF37" s="357"/>
      <c r="GG37" s="358"/>
      <c r="GH37" s="357"/>
      <c r="GI37" s="359"/>
      <c r="GJ37" s="360"/>
      <c r="GK37" s="355"/>
      <c r="GL37" s="355"/>
      <c r="GM37" s="355"/>
      <c r="GN37" s="356"/>
      <c r="GO37" s="357"/>
      <c r="GP37" s="358"/>
      <c r="GQ37" s="357"/>
      <c r="GR37" s="359"/>
      <c r="GS37" s="360"/>
      <c r="GT37" s="362">
        <v>42906</v>
      </c>
      <c r="GU37" s="98"/>
      <c r="GV37" s="130"/>
      <c r="GW37" s="74"/>
      <c r="GX37" s="74"/>
      <c r="GY37" s="391" t="s">
        <v>554</v>
      </c>
      <c r="GZ37" s="535">
        <v>1726</v>
      </c>
    </row>
    <row r="38" spans="1:208" ht="26.25" x14ac:dyDescent="0.25">
      <c r="A38"/>
      <c r="D38" s="35"/>
      <c r="E38" s="36"/>
      <c r="F38" s="37"/>
      <c r="G38" s="38"/>
      <c r="H38" s="39"/>
      <c r="I38" s="40"/>
      <c r="J38" s="68" t="s">
        <v>153</v>
      </c>
      <c r="K38" s="407" t="s">
        <v>437</v>
      </c>
      <c r="L38" s="70"/>
      <c r="M38" s="527">
        <v>42883</v>
      </c>
      <c r="N38" s="381" t="s">
        <v>509</v>
      </c>
      <c r="O38" s="72">
        <v>14080</v>
      </c>
      <c r="P38" s="113">
        <f>O38+O37-L37</f>
        <v>5685</v>
      </c>
      <c r="Q38" s="117">
        <v>27.5</v>
      </c>
      <c r="R38" s="117"/>
      <c r="S38" s="111"/>
      <c r="T38" s="39">
        <f>Q38*O38+S38-6507.56</f>
        <v>380692.44</v>
      </c>
      <c r="U38" s="363" t="s">
        <v>72</v>
      </c>
      <c r="V38" s="353">
        <v>42906</v>
      </c>
      <c r="W38" s="368">
        <v>8972.5</v>
      </c>
      <c r="X38" s="355"/>
      <c r="Y38" s="356"/>
      <c r="Z38" s="357"/>
      <c r="AA38" s="358"/>
      <c r="AB38" s="357"/>
      <c r="AC38" s="359"/>
      <c r="AD38" s="360"/>
      <c r="AE38" s="355"/>
      <c r="AF38" s="355"/>
      <c r="AG38" s="355"/>
      <c r="AH38" s="356"/>
      <c r="AI38" s="357"/>
      <c r="AJ38" s="358"/>
      <c r="AK38" s="357"/>
      <c r="AL38" s="359"/>
      <c r="AM38" s="360"/>
      <c r="AN38" s="355"/>
      <c r="AO38" s="355"/>
      <c r="AP38" s="355"/>
      <c r="AQ38" s="356"/>
      <c r="AR38" s="357"/>
      <c r="AS38" s="358"/>
      <c r="AT38" s="357"/>
      <c r="AU38" s="359"/>
      <c r="AV38" s="360"/>
      <c r="AW38" s="355"/>
      <c r="AX38" s="355"/>
      <c r="AY38" s="355"/>
      <c r="AZ38" s="356"/>
      <c r="BA38" s="357"/>
      <c r="BB38" s="358"/>
      <c r="BC38" s="357"/>
      <c r="BD38" s="359"/>
      <c r="BE38" s="360"/>
      <c r="BF38" s="355"/>
      <c r="BG38" s="355"/>
      <c r="BH38" s="355"/>
      <c r="BI38" s="356"/>
      <c r="BJ38" s="357"/>
      <c r="BK38" s="358"/>
      <c r="BL38" s="357"/>
      <c r="BM38" s="359"/>
      <c r="BN38" s="360"/>
      <c r="BO38" s="355"/>
      <c r="BP38" s="355"/>
      <c r="BQ38" s="355"/>
      <c r="BR38" s="356"/>
      <c r="BS38" s="357"/>
      <c r="BT38" s="358"/>
      <c r="BU38" s="357"/>
      <c r="BV38" s="359"/>
      <c r="BW38" s="360"/>
      <c r="BX38" s="355"/>
      <c r="BY38" s="355"/>
      <c r="BZ38" s="355"/>
      <c r="CA38" s="356"/>
      <c r="CB38" s="357"/>
      <c r="CC38" s="358"/>
      <c r="CD38" s="357"/>
      <c r="CE38" s="359"/>
      <c r="CF38" s="360"/>
      <c r="CG38" s="355"/>
      <c r="CH38" s="355"/>
      <c r="CI38" s="355"/>
      <c r="CJ38" s="356"/>
      <c r="CK38" s="357"/>
      <c r="CL38" s="358"/>
      <c r="CM38" s="357"/>
      <c r="CN38" s="359"/>
      <c r="CO38" s="360"/>
      <c r="CP38" s="355"/>
      <c r="CQ38" s="355"/>
      <c r="CR38" s="355"/>
      <c r="CS38" s="356"/>
      <c r="CT38" s="357"/>
      <c r="CU38" s="358"/>
      <c r="CV38" s="357"/>
      <c r="CW38" s="359"/>
      <c r="CX38" s="360"/>
      <c r="CY38" s="355"/>
      <c r="CZ38" s="355"/>
      <c r="DA38" s="355"/>
      <c r="DB38" s="356"/>
      <c r="DC38" s="357"/>
      <c r="DD38" s="358"/>
      <c r="DE38" s="357"/>
      <c r="DF38" s="359"/>
      <c r="DG38" s="360"/>
      <c r="DH38" s="355"/>
      <c r="DI38" s="355"/>
      <c r="DJ38" s="355"/>
      <c r="DK38" s="356"/>
      <c r="DL38" s="357"/>
      <c r="DM38" s="358"/>
      <c r="DN38" s="357"/>
      <c r="DO38" s="359"/>
      <c r="DP38" s="360"/>
      <c r="DQ38" s="355"/>
      <c r="DR38" s="355"/>
      <c r="DS38" s="355"/>
      <c r="DT38" s="356"/>
      <c r="DU38" s="357"/>
      <c r="DV38" s="358"/>
      <c r="DW38" s="357"/>
      <c r="DX38" s="359"/>
      <c r="DY38" s="360"/>
      <c r="DZ38" s="355"/>
      <c r="EA38" s="355"/>
      <c r="EB38" s="355"/>
      <c r="EC38" s="356"/>
      <c r="ED38" s="357"/>
      <c r="EE38" s="358"/>
      <c r="EF38" s="357"/>
      <c r="EG38" s="359"/>
      <c r="EH38" s="360"/>
      <c r="EI38" s="355"/>
      <c r="EJ38" s="355"/>
      <c r="EK38" s="355"/>
      <c r="EL38" s="356"/>
      <c r="EM38" s="357"/>
      <c r="EN38" s="358"/>
      <c r="EO38" s="357"/>
      <c r="EP38" s="359"/>
      <c r="EQ38" s="360"/>
      <c r="ER38" s="355"/>
      <c r="ES38" s="355"/>
      <c r="ET38" s="355"/>
      <c r="EU38" s="356"/>
      <c r="EV38" s="357"/>
      <c r="EW38" s="358"/>
      <c r="EX38" s="357"/>
      <c r="EY38" s="359"/>
      <c r="EZ38" s="360"/>
      <c r="FA38" s="355"/>
      <c r="FB38" s="355"/>
      <c r="FC38" s="355"/>
      <c r="FD38" s="356"/>
      <c r="FE38" s="357"/>
      <c r="FF38" s="358"/>
      <c r="FG38" s="357"/>
      <c r="FH38" s="359"/>
      <c r="FI38" s="360"/>
      <c r="FJ38" s="355"/>
      <c r="FK38" s="355"/>
      <c r="FL38" s="355"/>
      <c r="FM38" s="356"/>
      <c r="FN38" s="357"/>
      <c r="FO38" s="358"/>
      <c r="FP38" s="357"/>
      <c r="FQ38" s="359"/>
      <c r="FR38" s="360"/>
      <c r="FS38" s="355"/>
      <c r="FT38" s="355"/>
      <c r="FU38" s="355"/>
      <c r="FV38" s="356"/>
      <c r="FW38" s="357"/>
      <c r="FX38" s="358"/>
      <c r="FY38" s="357"/>
      <c r="FZ38" s="359"/>
      <c r="GA38" s="360"/>
      <c r="GB38" s="355"/>
      <c r="GC38" s="355"/>
      <c r="GD38" s="355"/>
      <c r="GE38" s="356"/>
      <c r="GF38" s="357"/>
      <c r="GG38" s="358"/>
      <c r="GH38" s="357"/>
      <c r="GI38" s="359"/>
      <c r="GJ38" s="360"/>
      <c r="GK38" s="355"/>
      <c r="GL38" s="355"/>
      <c r="GM38" s="355"/>
      <c r="GN38" s="356"/>
      <c r="GO38" s="357"/>
      <c r="GP38" s="358"/>
      <c r="GQ38" s="357"/>
      <c r="GR38" s="359"/>
      <c r="GS38" s="360"/>
      <c r="GT38" s="362">
        <v>42906</v>
      </c>
      <c r="GU38" s="131"/>
      <c r="GV38" s="130"/>
      <c r="GW38" s="74"/>
      <c r="GX38" s="74"/>
      <c r="GY38" s="391" t="s">
        <v>554</v>
      </c>
      <c r="GZ38" s="535">
        <v>1986</v>
      </c>
    </row>
    <row r="39" spans="1:208" ht="26.25" x14ac:dyDescent="0.25">
      <c r="A39"/>
      <c r="D39" s="35"/>
      <c r="E39" s="36"/>
      <c r="F39" s="37"/>
      <c r="G39" s="38"/>
      <c r="H39" s="39"/>
      <c r="I39" s="40"/>
      <c r="J39" s="68" t="s">
        <v>33</v>
      </c>
      <c r="K39" s="407" t="s">
        <v>438</v>
      </c>
      <c r="L39" s="70">
        <v>16950</v>
      </c>
      <c r="M39" s="527">
        <v>42884</v>
      </c>
      <c r="N39" s="381" t="s">
        <v>511</v>
      </c>
      <c r="O39" s="72">
        <v>21511.61</v>
      </c>
      <c r="P39" s="113">
        <f t="shared" si="0"/>
        <v>4561.6100000000006</v>
      </c>
      <c r="Q39" s="117">
        <v>27.5</v>
      </c>
      <c r="R39" s="893"/>
      <c r="S39" s="894"/>
      <c r="T39" s="39">
        <f>Q39*O39</f>
        <v>591569.27500000002</v>
      </c>
      <c r="U39" s="363" t="s">
        <v>72</v>
      </c>
      <c r="V39" s="353">
        <v>42907</v>
      </c>
      <c r="W39" s="368">
        <v>15004.6</v>
      </c>
      <c r="X39" s="355"/>
      <c r="Y39" s="356"/>
      <c r="Z39" s="357"/>
      <c r="AA39" s="358"/>
      <c r="AB39" s="357"/>
      <c r="AC39" s="359"/>
      <c r="AD39" s="360"/>
      <c r="AE39" s="355"/>
      <c r="AF39" s="355"/>
      <c r="AG39" s="355"/>
      <c r="AH39" s="356"/>
      <c r="AI39" s="357"/>
      <c r="AJ39" s="358"/>
      <c r="AK39" s="357"/>
      <c r="AL39" s="359"/>
      <c r="AM39" s="360"/>
      <c r="AN39" s="355"/>
      <c r="AO39" s="355"/>
      <c r="AP39" s="355"/>
      <c r="AQ39" s="356"/>
      <c r="AR39" s="357"/>
      <c r="AS39" s="358"/>
      <c r="AT39" s="357"/>
      <c r="AU39" s="359"/>
      <c r="AV39" s="360"/>
      <c r="AW39" s="355"/>
      <c r="AX39" s="355"/>
      <c r="AY39" s="355"/>
      <c r="AZ39" s="356"/>
      <c r="BA39" s="357"/>
      <c r="BB39" s="358"/>
      <c r="BC39" s="357"/>
      <c r="BD39" s="359"/>
      <c r="BE39" s="360"/>
      <c r="BF39" s="355"/>
      <c r="BG39" s="355"/>
      <c r="BH39" s="355"/>
      <c r="BI39" s="356"/>
      <c r="BJ39" s="357"/>
      <c r="BK39" s="358"/>
      <c r="BL39" s="357"/>
      <c r="BM39" s="359"/>
      <c r="BN39" s="360"/>
      <c r="BO39" s="355"/>
      <c r="BP39" s="355"/>
      <c r="BQ39" s="355"/>
      <c r="BR39" s="356"/>
      <c r="BS39" s="357"/>
      <c r="BT39" s="358"/>
      <c r="BU39" s="357"/>
      <c r="BV39" s="359"/>
      <c r="BW39" s="360"/>
      <c r="BX39" s="355"/>
      <c r="BY39" s="355"/>
      <c r="BZ39" s="355"/>
      <c r="CA39" s="356"/>
      <c r="CB39" s="357"/>
      <c r="CC39" s="358"/>
      <c r="CD39" s="357"/>
      <c r="CE39" s="359"/>
      <c r="CF39" s="360"/>
      <c r="CG39" s="355"/>
      <c r="CH39" s="355"/>
      <c r="CI39" s="355"/>
      <c r="CJ39" s="356"/>
      <c r="CK39" s="357"/>
      <c r="CL39" s="358"/>
      <c r="CM39" s="357"/>
      <c r="CN39" s="359"/>
      <c r="CO39" s="360"/>
      <c r="CP39" s="355"/>
      <c r="CQ39" s="355"/>
      <c r="CR39" s="355"/>
      <c r="CS39" s="356"/>
      <c r="CT39" s="357"/>
      <c r="CU39" s="358"/>
      <c r="CV39" s="357"/>
      <c r="CW39" s="359"/>
      <c r="CX39" s="360"/>
      <c r="CY39" s="355"/>
      <c r="CZ39" s="355"/>
      <c r="DA39" s="355"/>
      <c r="DB39" s="356"/>
      <c r="DC39" s="357"/>
      <c r="DD39" s="358"/>
      <c r="DE39" s="357"/>
      <c r="DF39" s="359"/>
      <c r="DG39" s="360"/>
      <c r="DH39" s="355"/>
      <c r="DI39" s="355"/>
      <c r="DJ39" s="355"/>
      <c r="DK39" s="356"/>
      <c r="DL39" s="357"/>
      <c r="DM39" s="358"/>
      <c r="DN39" s="357"/>
      <c r="DO39" s="359"/>
      <c r="DP39" s="360"/>
      <c r="DQ39" s="355"/>
      <c r="DR39" s="355"/>
      <c r="DS39" s="355"/>
      <c r="DT39" s="356"/>
      <c r="DU39" s="357"/>
      <c r="DV39" s="358"/>
      <c r="DW39" s="357"/>
      <c r="DX39" s="359"/>
      <c r="DY39" s="360"/>
      <c r="DZ39" s="355"/>
      <c r="EA39" s="355"/>
      <c r="EB39" s="355"/>
      <c r="EC39" s="356"/>
      <c r="ED39" s="357"/>
      <c r="EE39" s="358"/>
      <c r="EF39" s="357"/>
      <c r="EG39" s="359"/>
      <c r="EH39" s="360"/>
      <c r="EI39" s="355"/>
      <c r="EJ39" s="355"/>
      <c r="EK39" s="355"/>
      <c r="EL39" s="356"/>
      <c r="EM39" s="357"/>
      <c r="EN39" s="358"/>
      <c r="EO39" s="357"/>
      <c r="EP39" s="359"/>
      <c r="EQ39" s="360"/>
      <c r="ER39" s="355"/>
      <c r="ES39" s="355"/>
      <c r="ET39" s="355"/>
      <c r="EU39" s="356"/>
      <c r="EV39" s="357"/>
      <c r="EW39" s="358"/>
      <c r="EX39" s="357"/>
      <c r="EY39" s="359"/>
      <c r="EZ39" s="360"/>
      <c r="FA39" s="355"/>
      <c r="FB39" s="355"/>
      <c r="FC39" s="355"/>
      <c r="FD39" s="356"/>
      <c r="FE39" s="357"/>
      <c r="FF39" s="358"/>
      <c r="FG39" s="357"/>
      <c r="FH39" s="359"/>
      <c r="FI39" s="360"/>
      <c r="FJ39" s="355"/>
      <c r="FK39" s="355"/>
      <c r="FL39" s="355"/>
      <c r="FM39" s="356"/>
      <c r="FN39" s="357"/>
      <c r="FO39" s="358"/>
      <c r="FP39" s="357"/>
      <c r="FQ39" s="359"/>
      <c r="FR39" s="360"/>
      <c r="FS39" s="355"/>
      <c r="FT39" s="355"/>
      <c r="FU39" s="355"/>
      <c r="FV39" s="356"/>
      <c r="FW39" s="357"/>
      <c r="FX39" s="358"/>
      <c r="FY39" s="357"/>
      <c r="FZ39" s="359"/>
      <c r="GA39" s="360"/>
      <c r="GB39" s="355"/>
      <c r="GC39" s="355"/>
      <c r="GD39" s="355"/>
      <c r="GE39" s="356"/>
      <c r="GF39" s="357"/>
      <c r="GG39" s="358"/>
      <c r="GH39" s="357"/>
      <c r="GI39" s="359"/>
      <c r="GJ39" s="360"/>
      <c r="GK39" s="355"/>
      <c r="GL39" s="355"/>
      <c r="GM39" s="355"/>
      <c r="GN39" s="356"/>
      <c r="GO39" s="357"/>
      <c r="GP39" s="358"/>
      <c r="GQ39" s="357"/>
      <c r="GR39" s="359"/>
      <c r="GS39" s="360"/>
      <c r="GT39" s="362">
        <v>42907</v>
      </c>
      <c r="GU39" s="131"/>
      <c r="GV39" s="130">
        <v>22176</v>
      </c>
      <c r="GW39" s="528" t="s">
        <v>478</v>
      </c>
      <c r="GX39" s="74"/>
      <c r="GY39" s="391" t="s">
        <v>554</v>
      </c>
      <c r="GZ39" s="535">
        <v>3712</v>
      </c>
    </row>
    <row r="40" spans="1:208" ht="30" x14ac:dyDescent="0.25">
      <c r="A40"/>
      <c r="D40" s="35"/>
      <c r="E40" s="36"/>
      <c r="F40" s="37"/>
      <c r="G40" s="38"/>
      <c r="H40" s="39"/>
      <c r="I40" s="40"/>
      <c r="J40" s="68" t="s">
        <v>45</v>
      </c>
      <c r="K40" s="407" t="s">
        <v>37</v>
      </c>
      <c r="L40" s="70">
        <v>18240</v>
      </c>
      <c r="M40" s="527">
        <v>42885</v>
      </c>
      <c r="N40" s="380" t="s">
        <v>518</v>
      </c>
      <c r="O40" s="72">
        <v>22665</v>
      </c>
      <c r="P40" s="113">
        <f t="shared" si="0"/>
        <v>4425</v>
      </c>
      <c r="Q40" s="117">
        <v>27.5</v>
      </c>
      <c r="R40" s="117"/>
      <c r="S40" s="117"/>
      <c r="T40" s="39">
        <f>Q40*O40+S40-9348.9</f>
        <v>613938.6</v>
      </c>
      <c r="U40" s="363" t="s">
        <v>72</v>
      </c>
      <c r="V40" s="353">
        <v>42908</v>
      </c>
      <c r="W40" s="368">
        <v>15080</v>
      </c>
      <c r="X40" s="355"/>
      <c r="Y40" s="356"/>
      <c r="Z40" s="357"/>
      <c r="AA40" s="358"/>
      <c r="AB40" s="357"/>
      <c r="AC40" s="359"/>
      <c r="AD40" s="360"/>
      <c r="AE40" s="355"/>
      <c r="AF40" s="355"/>
      <c r="AG40" s="355"/>
      <c r="AH40" s="356"/>
      <c r="AI40" s="357"/>
      <c r="AJ40" s="358"/>
      <c r="AK40" s="357"/>
      <c r="AL40" s="359"/>
      <c r="AM40" s="360"/>
      <c r="AN40" s="355"/>
      <c r="AO40" s="355"/>
      <c r="AP40" s="355"/>
      <c r="AQ40" s="356"/>
      <c r="AR40" s="357"/>
      <c r="AS40" s="358"/>
      <c r="AT40" s="357"/>
      <c r="AU40" s="359"/>
      <c r="AV40" s="360"/>
      <c r="AW40" s="355"/>
      <c r="AX40" s="355"/>
      <c r="AY40" s="355"/>
      <c r="AZ40" s="356"/>
      <c r="BA40" s="357"/>
      <c r="BB40" s="358"/>
      <c r="BC40" s="357"/>
      <c r="BD40" s="359"/>
      <c r="BE40" s="360"/>
      <c r="BF40" s="355"/>
      <c r="BG40" s="355"/>
      <c r="BH40" s="355"/>
      <c r="BI40" s="356"/>
      <c r="BJ40" s="357"/>
      <c r="BK40" s="358"/>
      <c r="BL40" s="357"/>
      <c r="BM40" s="359"/>
      <c r="BN40" s="360"/>
      <c r="BO40" s="355"/>
      <c r="BP40" s="355"/>
      <c r="BQ40" s="355"/>
      <c r="BR40" s="356"/>
      <c r="BS40" s="357"/>
      <c r="BT40" s="358"/>
      <c r="BU40" s="357"/>
      <c r="BV40" s="359"/>
      <c r="BW40" s="360"/>
      <c r="BX40" s="355"/>
      <c r="BY40" s="355"/>
      <c r="BZ40" s="355"/>
      <c r="CA40" s="356"/>
      <c r="CB40" s="357"/>
      <c r="CC40" s="358"/>
      <c r="CD40" s="357"/>
      <c r="CE40" s="359"/>
      <c r="CF40" s="360"/>
      <c r="CG40" s="355"/>
      <c r="CH40" s="355"/>
      <c r="CI40" s="355"/>
      <c r="CJ40" s="356"/>
      <c r="CK40" s="357"/>
      <c r="CL40" s="358"/>
      <c r="CM40" s="357"/>
      <c r="CN40" s="359"/>
      <c r="CO40" s="360"/>
      <c r="CP40" s="355"/>
      <c r="CQ40" s="355"/>
      <c r="CR40" s="355"/>
      <c r="CS40" s="356"/>
      <c r="CT40" s="357"/>
      <c r="CU40" s="358"/>
      <c r="CV40" s="357"/>
      <c r="CW40" s="359"/>
      <c r="CX40" s="360"/>
      <c r="CY40" s="355"/>
      <c r="CZ40" s="355"/>
      <c r="DA40" s="355"/>
      <c r="DB40" s="356"/>
      <c r="DC40" s="357"/>
      <c r="DD40" s="358"/>
      <c r="DE40" s="357"/>
      <c r="DF40" s="359"/>
      <c r="DG40" s="360"/>
      <c r="DH40" s="355"/>
      <c r="DI40" s="355"/>
      <c r="DJ40" s="355"/>
      <c r="DK40" s="356"/>
      <c r="DL40" s="357"/>
      <c r="DM40" s="358"/>
      <c r="DN40" s="357"/>
      <c r="DO40" s="359"/>
      <c r="DP40" s="360"/>
      <c r="DQ40" s="355"/>
      <c r="DR40" s="355"/>
      <c r="DS40" s="355"/>
      <c r="DT40" s="356"/>
      <c r="DU40" s="357"/>
      <c r="DV40" s="358"/>
      <c r="DW40" s="357"/>
      <c r="DX40" s="359"/>
      <c r="DY40" s="360"/>
      <c r="DZ40" s="355"/>
      <c r="EA40" s="355"/>
      <c r="EB40" s="355"/>
      <c r="EC40" s="356"/>
      <c r="ED40" s="357"/>
      <c r="EE40" s="358"/>
      <c r="EF40" s="357"/>
      <c r="EG40" s="359"/>
      <c r="EH40" s="360"/>
      <c r="EI40" s="355"/>
      <c r="EJ40" s="355"/>
      <c r="EK40" s="355"/>
      <c r="EL40" s="356"/>
      <c r="EM40" s="357"/>
      <c r="EN40" s="358"/>
      <c r="EO40" s="357"/>
      <c r="EP40" s="359"/>
      <c r="EQ40" s="360"/>
      <c r="ER40" s="355"/>
      <c r="ES40" s="355"/>
      <c r="ET40" s="355"/>
      <c r="EU40" s="356"/>
      <c r="EV40" s="357"/>
      <c r="EW40" s="358"/>
      <c r="EX40" s="357"/>
      <c r="EY40" s="359"/>
      <c r="EZ40" s="360"/>
      <c r="FA40" s="355"/>
      <c r="FB40" s="355"/>
      <c r="FC40" s="355"/>
      <c r="FD40" s="356"/>
      <c r="FE40" s="357"/>
      <c r="FF40" s="358"/>
      <c r="FG40" s="357"/>
      <c r="FH40" s="359"/>
      <c r="FI40" s="360"/>
      <c r="FJ40" s="355"/>
      <c r="FK40" s="355"/>
      <c r="FL40" s="355"/>
      <c r="FM40" s="356"/>
      <c r="FN40" s="357"/>
      <c r="FO40" s="358"/>
      <c r="FP40" s="357"/>
      <c r="FQ40" s="359"/>
      <c r="FR40" s="360"/>
      <c r="FS40" s="355"/>
      <c r="FT40" s="355"/>
      <c r="FU40" s="355"/>
      <c r="FV40" s="356"/>
      <c r="FW40" s="357"/>
      <c r="FX40" s="358"/>
      <c r="FY40" s="357"/>
      <c r="FZ40" s="359"/>
      <c r="GA40" s="360"/>
      <c r="GB40" s="355"/>
      <c r="GC40" s="355"/>
      <c r="GD40" s="355"/>
      <c r="GE40" s="356"/>
      <c r="GF40" s="357"/>
      <c r="GG40" s="358"/>
      <c r="GH40" s="357"/>
      <c r="GI40" s="359"/>
      <c r="GJ40" s="360"/>
      <c r="GK40" s="355"/>
      <c r="GL40" s="355"/>
      <c r="GM40" s="355"/>
      <c r="GN40" s="356"/>
      <c r="GO40" s="357"/>
      <c r="GP40" s="358"/>
      <c r="GQ40" s="357"/>
      <c r="GR40" s="359"/>
      <c r="GS40" s="360"/>
      <c r="GT40" s="362">
        <v>42908</v>
      </c>
      <c r="GU40" s="98"/>
      <c r="GV40" s="130"/>
      <c r="GW40" s="74"/>
      <c r="GX40" s="132"/>
      <c r="GY40" s="391" t="s">
        <v>554</v>
      </c>
      <c r="GZ40" s="535">
        <v>3712</v>
      </c>
    </row>
    <row r="41" spans="1:208" x14ac:dyDescent="0.25">
      <c r="A41"/>
      <c r="D41" s="35"/>
      <c r="E41" s="36"/>
      <c r="F41" s="37"/>
      <c r="G41" s="38"/>
      <c r="H41" s="39"/>
      <c r="I41" s="40"/>
      <c r="J41" s="68" t="s">
        <v>38</v>
      </c>
      <c r="K41" s="407" t="s">
        <v>439</v>
      </c>
      <c r="L41" s="70">
        <v>17980</v>
      </c>
      <c r="M41" s="527">
        <v>42886</v>
      </c>
      <c r="N41" s="380" t="s">
        <v>521</v>
      </c>
      <c r="O41" s="72">
        <v>23050</v>
      </c>
      <c r="P41" s="113">
        <f t="shared" si="0"/>
        <v>5070</v>
      </c>
      <c r="Q41" s="117">
        <v>27.5</v>
      </c>
      <c r="R41" s="901" t="s">
        <v>520</v>
      </c>
      <c r="S41" s="902"/>
      <c r="T41" s="39">
        <f t="shared" ref="T41:T47" si="2">Q41*O41+S41+0</f>
        <v>633875</v>
      </c>
      <c r="U41" s="363" t="s">
        <v>72</v>
      </c>
      <c r="V41" s="353">
        <v>42909</v>
      </c>
      <c r="W41" s="368">
        <v>15080</v>
      </c>
      <c r="X41" s="355"/>
      <c r="Y41" s="356"/>
      <c r="Z41" s="357"/>
      <c r="AA41" s="358"/>
      <c r="AB41" s="357"/>
      <c r="AC41" s="359"/>
      <c r="AD41" s="360"/>
      <c r="AE41" s="355"/>
      <c r="AF41" s="355"/>
      <c r="AG41" s="355"/>
      <c r="AH41" s="356"/>
      <c r="AI41" s="357"/>
      <c r="AJ41" s="358"/>
      <c r="AK41" s="357"/>
      <c r="AL41" s="359"/>
      <c r="AM41" s="360"/>
      <c r="AN41" s="355"/>
      <c r="AO41" s="355"/>
      <c r="AP41" s="355"/>
      <c r="AQ41" s="356"/>
      <c r="AR41" s="357"/>
      <c r="AS41" s="358"/>
      <c r="AT41" s="357"/>
      <c r="AU41" s="359"/>
      <c r="AV41" s="360"/>
      <c r="AW41" s="355"/>
      <c r="AX41" s="355"/>
      <c r="AY41" s="355"/>
      <c r="AZ41" s="356"/>
      <c r="BA41" s="357"/>
      <c r="BB41" s="358"/>
      <c r="BC41" s="357"/>
      <c r="BD41" s="359"/>
      <c r="BE41" s="360"/>
      <c r="BF41" s="355"/>
      <c r="BG41" s="355"/>
      <c r="BH41" s="355"/>
      <c r="BI41" s="356"/>
      <c r="BJ41" s="357"/>
      <c r="BK41" s="358"/>
      <c r="BL41" s="357"/>
      <c r="BM41" s="359"/>
      <c r="BN41" s="360"/>
      <c r="BO41" s="355"/>
      <c r="BP41" s="355"/>
      <c r="BQ41" s="355"/>
      <c r="BR41" s="356"/>
      <c r="BS41" s="357"/>
      <c r="BT41" s="358"/>
      <c r="BU41" s="357"/>
      <c r="BV41" s="359"/>
      <c r="BW41" s="360"/>
      <c r="BX41" s="355"/>
      <c r="BY41" s="355"/>
      <c r="BZ41" s="355"/>
      <c r="CA41" s="356"/>
      <c r="CB41" s="357"/>
      <c r="CC41" s="358"/>
      <c r="CD41" s="357"/>
      <c r="CE41" s="359"/>
      <c r="CF41" s="360"/>
      <c r="CG41" s="355"/>
      <c r="CH41" s="355"/>
      <c r="CI41" s="355"/>
      <c r="CJ41" s="356"/>
      <c r="CK41" s="357"/>
      <c r="CL41" s="358"/>
      <c r="CM41" s="357"/>
      <c r="CN41" s="359"/>
      <c r="CO41" s="360"/>
      <c r="CP41" s="355"/>
      <c r="CQ41" s="355"/>
      <c r="CR41" s="355"/>
      <c r="CS41" s="356"/>
      <c r="CT41" s="357"/>
      <c r="CU41" s="358"/>
      <c r="CV41" s="357"/>
      <c r="CW41" s="359"/>
      <c r="CX41" s="360"/>
      <c r="CY41" s="355"/>
      <c r="CZ41" s="355"/>
      <c r="DA41" s="355"/>
      <c r="DB41" s="356"/>
      <c r="DC41" s="357"/>
      <c r="DD41" s="358"/>
      <c r="DE41" s="357"/>
      <c r="DF41" s="359"/>
      <c r="DG41" s="360"/>
      <c r="DH41" s="355"/>
      <c r="DI41" s="355"/>
      <c r="DJ41" s="355"/>
      <c r="DK41" s="356"/>
      <c r="DL41" s="357"/>
      <c r="DM41" s="358"/>
      <c r="DN41" s="357"/>
      <c r="DO41" s="359"/>
      <c r="DP41" s="360"/>
      <c r="DQ41" s="355"/>
      <c r="DR41" s="355"/>
      <c r="DS41" s="355"/>
      <c r="DT41" s="356"/>
      <c r="DU41" s="357"/>
      <c r="DV41" s="358"/>
      <c r="DW41" s="357"/>
      <c r="DX41" s="359"/>
      <c r="DY41" s="360"/>
      <c r="DZ41" s="355"/>
      <c r="EA41" s="355"/>
      <c r="EB41" s="355"/>
      <c r="EC41" s="356"/>
      <c r="ED41" s="357"/>
      <c r="EE41" s="358"/>
      <c r="EF41" s="357"/>
      <c r="EG41" s="359"/>
      <c r="EH41" s="360"/>
      <c r="EI41" s="355"/>
      <c r="EJ41" s="355"/>
      <c r="EK41" s="355"/>
      <c r="EL41" s="356"/>
      <c r="EM41" s="357"/>
      <c r="EN41" s="358"/>
      <c r="EO41" s="357"/>
      <c r="EP41" s="359"/>
      <c r="EQ41" s="360"/>
      <c r="ER41" s="355"/>
      <c r="ES41" s="355"/>
      <c r="ET41" s="355"/>
      <c r="EU41" s="356"/>
      <c r="EV41" s="357"/>
      <c r="EW41" s="358"/>
      <c r="EX41" s="357"/>
      <c r="EY41" s="359"/>
      <c r="EZ41" s="360"/>
      <c r="FA41" s="355"/>
      <c r="FB41" s="355"/>
      <c r="FC41" s="355"/>
      <c r="FD41" s="356"/>
      <c r="FE41" s="357"/>
      <c r="FF41" s="358"/>
      <c r="FG41" s="357"/>
      <c r="FH41" s="359"/>
      <c r="FI41" s="360"/>
      <c r="FJ41" s="355"/>
      <c r="FK41" s="355"/>
      <c r="FL41" s="355"/>
      <c r="FM41" s="356"/>
      <c r="FN41" s="357"/>
      <c r="FO41" s="358"/>
      <c r="FP41" s="357"/>
      <c r="FQ41" s="359"/>
      <c r="FR41" s="360"/>
      <c r="FS41" s="355"/>
      <c r="FT41" s="355"/>
      <c r="FU41" s="355"/>
      <c r="FV41" s="356"/>
      <c r="FW41" s="357"/>
      <c r="FX41" s="358"/>
      <c r="FY41" s="357"/>
      <c r="FZ41" s="359"/>
      <c r="GA41" s="360"/>
      <c r="GB41" s="355"/>
      <c r="GC41" s="355"/>
      <c r="GD41" s="355"/>
      <c r="GE41" s="356"/>
      <c r="GF41" s="357"/>
      <c r="GG41" s="358"/>
      <c r="GH41" s="357"/>
      <c r="GI41" s="359"/>
      <c r="GJ41" s="360"/>
      <c r="GK41" s="355"/>
      <c r="GL41" s="355"/>
      <c r="GM41" s="355"/>
      <c r="GN41" s="356"/>
      <c r="GO41" s="357"/>
      <c r="GP41" s="358"/>
      <c r="GQ41" s="357"/>
      <c r="GR41" s="359"/>
      <c r="GS41" s="360"/>
      <c r="GT41" s="362">
        <v>42909</v>
      </c>
      <c r="GU41" s="98"/>
      <c r="GV41" s="130">
        <v>22176</v>
      </c>
      <c r="GW41" s="528" t="s">
        <v>479</v>
      </c>
      <c r="GX41" s="132"/>
      <c r="GY41" s="391" t="s">
        <v>554</v>
      </c>
      <c r="GZ41" s="535">
        <v>3712</v>
      </c>
    </row>
    <row r="42" spans="1:208" x14ac:dyDescent="0.25">
      <c r="A42"/>
      <c r="D42" s="35"/>
      <c r="E42" s="36"/>
      <c r="F42" s="37"/>
      <c r="G42" s="38"/>
      <c r="H42" s="39"/>
      <c r="I42" s="40"/>
      <c r="J42" s="68"/>
      <c r="K42" s="407"/>
      <c r="L42" s="70"/>
      <c r="M42" s="71"/>
      <c r="N42" s="56"/>
      <c r="O42" s="72"/>
      <c r="P42" s="113">
        <f t="shared" si="0"/>
        <v>0</v>
      </c>
      <c r="Q42" s="117"/>
      <c r="R42" s="903"/>
      <c r="S42" s="904"/>
      <c r="T42" s="39">
        <f t="shared" si="2"/>
        <v>0</v>
      </c>
      <c r="U42" s="115"/>
      <c r="V42" s="112"/>
      <c r="W42" s="377"/>
      <c r="X42" s="146"/>
      <c r="Y42" s="147"/>
      <c r="Z42" s="148"/>
      <c r="AA42" s="149"/>
      <c r="AB42" s="148"/>
      <c r="AC42" s="150"/>
      <c r="AD42" s="151"/>
      <c r="AE42" s="146"/>
      <c r="AF42" s="146"/>
      <c r="AG42" s="146"/>
      <c r="AH42" s="147"/>
      <c r="AI42" s="148"/>
      <c r="AJ42" s="149"/>
      <c r="AK42" s="148"/>
      <c r="AL42" s="150"/>
      <c r="AM42" s="151"/>
      <c r="AN42" s="146"/>
      <c r="AO42" s="146"/>
      <c r="AP42" s="146"/>
      <c r="AQ42" s="147"/>
      <c r="AR42" s="148"/>
      <c r="AS42" s="149"/>
      <c r="AT42" s="148"/>
      <c r="AU42" s="150"/>
      <c r="AV42" s="151"/>
      <c r="AW42" s="146"/>
      <c r="AX42" s="146"/>
      <c r="AY42" s="146"/>
      <c r="AZ42" s="147"/>
      <c r="BA42" s="148"/>
      <c r="BB42" s="149"/>
      <c r="BC42" s="148"/>
      <c r="BD42" s="150"/>
      <c r="BE42" s="151"/>
      <c r="BF42" s="146"/>
      <c r="BG42" s="146"/>
      <c r="BH42" s="146"/>
      <c r="BI42" s="147"/>
      <c r="BJ42" s="148"/>
      <c r="BK42" s="149"/>
      <c r="BL42" s="148"/>
      <c r="BM42" s="150"/>
      <c r="BN42" s="151"/>
      <c r="BO42" s="146"/>
      <c r="BP42" s="146"/>
      <c r="BQ42" s="146"/>
      <c r="BR42" s="147"/>
      <c r="BS42" s="148"/>
      <c r="BT42" s="149"/>
      <c r="BU42" s="148"/>
      <c r="BV42" s="150"/>
      <c r="BW42" s="151"/>
      <c r="BX42" s="146"/>
      <c r="BY42" s="146"/>
      <c r="BZ42" s="146"/>
      <c r="CA42" s="147"/>
      <c r="CB42" s="148"/>
      <c r="CC42" s="149"/>
      <c r="CD42" s="148"/>
      <c r="CE42" s="150"/>
      <c r="CF42" s="151"/>
      <c r="CG42" s="146"/>
      <c r="CH42" s="146"/>
      <c r="CI42" s="146"/>
      <c r="CJ42" s="147"/>
      <c r="CK42" s="148"/>
      <c r="CL42" s="149"/>
      <c r="CM42" s="148"/>
      <c r="CN42" s="150"/>
      <c r="CO42" s="151"/>
      <c r="CP42" s="146"/>
      <c r="CQ42" s="146"/>
      <c r="CR42" s="146"/>
      <c r="CS42" s="147"/>
      <c r="CT42" s="148"/>
      <c r="CU42" s="149"/>
      <c r="CV42" s="148"/>
      <c r="CW42" s="150"/>
      <c r="CX42" s="151"/>
      <c r="CY42" s="146"/>
      <c r="CZ42" s="146"/>
      <c r="DA42" s="146"/>
      <c r="DB42" s="147"/>
      <c r="DC42" s="148"/>
      <c r="DD42" s="149"/>
      <c r="DE42" s="148"/>
      <c r="DF42" s="150"/>
      <c r="DG42" s="151"/>
      <c r="DH42" s="146"/>
      <c r="DI42" s="146"/>
      <c r="DJ42" s="146"/>
      <c r="DK42" s="147"/>
      <c r="DL42" s="148"/>
      <c r="DM42" s="149"/>
      <c r="DN42" s="148"/>
      <c r="DO42" s="150"/>
      <c r="DP42" s="151"/>
      <c r="DQ42" s="146"/>
      <c r="DR42" s="146"/>
      <c r="DS42" s="146"/>
      <c r="DT42" s="147"/>
      <c r="DU42" s="148"/>
      <c r="DV42" s="149"/>
      <c r="DW42" s="148"/>
      <c r="DX42" s="150"/>
      <c r="DY42" s="151"/>
      <c r="DZ42" s="146"/>
      <c r="EA42" s="146"/>
      <c r="EB42" s="146"/>
      <c r="EC42" s="147"/>
      <c r="ED42" s="148"/>
      <c r="EE42" s="149"/>
      <c r="EF42" s="148"/>
      <c r="EG42" s="150"/>
      <c r="EH42" s="151"/>
      <c r="EI42" s="146"/>
      <c r="EJ42" s="146"/>
      <c r="EK42" s="146"/>
      <c r="EL42" s="147"/>
      <c r="EM42" s="148"/>
      <c r="EN42" s="149"/>
      <c r="EO42" s="148"/>
      <c r="EP42" s="150"/>
      <c r="EQ42" s="151"/>
      <c r="ER42" s="146"/>
      <c r="ES42" s="146"/>
      <c r="ET42" s="146"/>
      <c r="EU42" s="147"/>
      <c r="EV42" s="148"/>
      <c r="EW42" s="149"/>
      <c r="EX42" s="148"/>
      <c r="EY42" s="150"/>
      <c r="EZ42" s="151"/>
      <c r="FA42" s="146"/>
      <c r="FB42" s="146"/>
      <c r="FC42" s="146"/>
      <c r="FD42" s="147"/>
      <c r="FE42" s="148"/>
      <c r="FF42" s="149"/>
      <c r="FG42" s="148"/>
      <c r="FH42" s="150"/>
      <c r="FI42" s="151"/>
      <c r="FJ42" s="146"/>
      <c r="FK42" s="146"/>
      <c r="FL42" s="146"/>
      <c r="FM42" s="147"/>
      <c r="FN42" s="148"/>
      <c r="FO42" s="149"/>
      <c r="FP42" s="148"/>
      <c r="FQ42" s="150"/>
      <c r="FR42" s="151"/>
      <c r="FS42" s="146"/>
      <c r="FT42" s="146"/>
      <c r="FU42" s="146"/>
      <c r="FV42" s="147"/>
      <c r="FW42" s="148"/>
      <c r="FX42" s="149"/>
      <c r="FY42" s="148"/>
      <c r="FZ42" s="150"/>
      <c r="GA42" s="151"/>
      <c r="GB42" s="146"/>
      <c r="GC42" s="146"/>
      <c r="GD42" s="146"/>
      <c r="GE42" s="147"/>
      <c r="GF42" s="148"/>
      <c r="GG42" s="149"/>
      <c r="GH42" s="148"/>
      <c r="GI42" s="150"/>
      <c r="GJ42" s="151"/>
      <c r="GK42" s="146"/>
      <c r="GL42" s="146"/>
      <c r="GM42" s="146"/>
      <c r="GN42" s="147"/>
      <c r="GO42" s="148"/>
      <c r="GP42" s="149"/>
      <c r="GQ42" s="148"/>
      <c r="GR42" s="150"/>
      <c r="GS42" s="151"/>
      <c r="GT42" s="152"/>
      <c r="GU42" s="98"/>
      <c r="GV42" s="130"/>
      <c r="GW42" s="74"/>
      <c r="GX42" s="132"/>
      <c r="GY42" s="167"/>
      <c r="GZ42" s="536">
        <v>3804.8</v>
      </c>
    </row>
    <row r="43" spans="1:208" x14ac:dyDescent="0.25">
      <c r="A43"/>
      <c r="D43" s="35"/>
      <c r="E43" s="36"/>
      <c r="F43" s="37"/>
      <c r="G43" s="38"/>
      <c r="H43" s="39"/>
      <c r="I43" s="40"/>
      <c r="J43" s="68"/>
      <c r="K43" s="407"/>
      <c r="L43" s="70"/>
      <c r="M43" s="71"/>
      <c r="N43" s="56"/>
      <c r="O43" s="72"/>
      <c r="P43" s="113">
        <f t="shared" si="0"/>
        <v>0</v>
      </c>
      <c r="Q43" s="117"/>
      <c r="R43" s="117"/>
      <c r="S43" s="117"/>
      <c r="T43" s="39">
        <f t="shared" si="2"/>
        <v>0</v>
      </c>
      <c r="U43" s="115"/>
      <c r="V43" s="112"/>
      <c r="W43" s="377"/>
      <c r="X43" s="146"/>
      <c r="Y43" s="147"/>
      <c r="Z43" s="148"/>
      <c r="AA43" s="149"/>
      <c r="AB43" s="148"/>
      <c r="AC43" s="150"/>
      <c r="AD43" s="151"/>
      <c r="AE43" s="146"/>
      <c r="AF43" s="146"/>
      <c r="AG43" s="146"/>
      <c r="AH43" s="147"/>
      <c r="AI43" s="148"/>
      <c r="AJ43" s="149"/>
      <c r="AK43" s="148"/>
      <c r="AL43" s="150"/>
      <c r="AM43" s="151"/>
      <c r="AN43" s="146"/>
      <c r="AO43" s="146"/>
      <c r="AP43" s="146"/>
      <c r="AQ43" s="147"/>
      <c r="AR43" s="148"/>
      <c r="AS43" s="149"/>
      <c r="AT43" s="148"/>
      <c r="AU43" s="150"/>
      <c r="AV43" s="151"/>
      <c r="AW43" s="146"/>
      <c r="AX43" s="146"/>
      <c r="AY43" s="146"/>
      <c r="AZ43" s="147"/>
      <c r="BA43" s="148"/>
      <c r="BB43" s="149"/>
      <c r="BC43" s="148"/>
      <c r="BD43" s="150"/>
      <c r="BE43" s="151"/>
      <c r="BF43" s="146"/>
      <c r="BG43" s="146"/>
      <c r="BH43" s="146"/>
      <c r="BI43" s="147"/>
      <c r="BJ43" s="148"/>
      <c r="BK43" s="149"/>
      <c r="BL43" s="148"/>
      <c r="BM43" s="150"/>
      <c r="BN43" s="151"/>
      <c r="BO43" s="146"/>
      <c r="BP43" s="146"/>
      <c r="BQ43" s="146"/>
      <c r="BR43" s="147"/>
      <c r="BS43" s="148"/>
      <c r="BT43" s="149"/>
      <c r="BU43" s="148"/>
      <c r="BV43" s="150"/>
      <c r="BW43" s="151"/>
      <c r="BX43" s="146"/>
      <c r="BY43" s="146"/>
      <c r="BZ43" s="146"/>
      <c r="CA43" s="147"/>
      <c r="CB43" s="148"/>
      <c r="CC43" s="149"/>
      <c r="CD43" s="148"/>
      <c r="CE43" s="150"/>
      <c r="CF43" s="151"/>
      <c r="CG43" s="146"/>
      <c r="CH43" s="146"/>
      <c r="CI43" s="146"/>
      <c r="CJ43" s="147"/>
      <c r="CK43" s="148"/>
      <c r="CL43" s="149"/>
      <c r="CM43" s="148"/>
      <c r="CN43" s="150"/>
      <c r="CO43" s="151"/>
      <c r="CP43" s="146"/>
      <c r="CQ43" s="146"/>
      <c r="CR43" s="146"/>
      <c r="CS43" s="147"/>
      <c r="CT43" s="148"/>
      <c r="CU43" s="149"/>
      <c r="CV43" s="148"/>
      <c r="CW43" s="150"/>
      <c r="CX43" s="151"/>
      <c r="CY43" s="146"/>
      <c r="CZ43" s="146"/>
      <c r="DA43" s="146"/>
      <c r="DB43" s="147"/>
      <c r="DC43" s="148"/>
      <c r="DD43" s="149"/>
      <c r="DE43" s="148"/>
      <c r="DF43" s="150"/>
      <c r="DG43" s="151"/>
      <c r="DH43" s="146"/>
      <c r="DI43" s="146"/>
      <c r="DJ43" s="146"/>
      <c r="DK43" s="147"/>
      <c r="DL43" s="148"/>
      <c r="DM43" s="149"/>
      <c r="DN43" s="148"/>
      <c r="DO43" s="150"/>
      <c r="DP43" s="151"/>
      <c r="DQ43" s="146"/>
      <c r="DR43" s="146"/>
      <c r="DS43" s="146"/>
      <c r="DT43" s="147"/>
      <c r="DU43" s="148"/>
      <c r="DV43" s="149"/>
      <c r="DW43" s="148"/>
      <c r="DX43" s="150"/>
      <c r="DY43" s="151"/>
      <c r="DZ43" s="146"/>
      <c r="EA43" s="146"/>
      <c r="EB43" s="146"/>
      <c r="EC43" s="147"/>
      <c r="ED43" s="148"/>
      <c r="EE43" s="149"/>
      <c r="EF43" s="148"/>
      <c r="EG43" s="150"/>
      <c r="EH43" s="151"/>
      <c r="EI43" s="146"/>
      <c r="EJ43" s="146"/>
      <c r="EK43" s="146"/>
      <c r="EL43" s="147"/>
      <c r="EM43" s="148"/>
      <c r="EN43" s="149"/>
      <c r="EO43" s="148"/>
      <c r="EP43" s="150"/>
      <c r="EQ43" s="151"/>
      <c r="ER43" s="146"/>
      <c r="ES43" s="146"/>
      <c r="ET43" s="146"/>
      <c r="EU43" s="147"/>
      <c r="EV43" s="148"/>
      <c r="EW43" s="149"/>
      <c r="EX43" s="148"/>
      <c r="EY43" s="150"/>
      <c r="EZ43" s="151"/>
      <c r="FA43" s="146"/>
      <c r="FB43" s="146"/>
      <c r="FC43" s="146"/>
      <c r="FD43" s="147"/>
      <c r="FE43" s="148"/>
      <c r="FF43" s="149"/>
      <c r="FG43" s="148"/>
      <c r="FH43" s="150"/>
      <c r="FI43" s="151"/>
      <c r="FJ43" s="146"/>
      <c r="FK43" s="146"/>
      <c r="FL43" s="146"/>
      <c r="FM43" s="147"/>
      <c r="FN43" s="148"/>
      <c r="FO43" s="149"/>
      <c r="FP43" s="148"/>
      <c r="FQ43" s="150"/>
      <c r="FR43" s="151"/>
      <c r="FS43" s="146"/>
      <c r="FT43" s="146"/>
      <c r="FU43" s="146"/>
      <c r="FV43" s="147"/>
      <c r="FW43" s="148"/>
      <c r="FX43" s="149"/>
      <c r="FY43" s="148"/>
      <c r="FZ43" s="150"/>
      <c r="GA43" s="151"/>
      <c r="GB43" s="146"/>
      <c r="GC43" s="146"/>
      <c r="GD43" s="146"/>
      <c r="GE43" s="147"/>
      <c r="GF43" s="148"/>
      <c r="GG43" s="149"/>
      <c r="GH43" s="148"/>
      <c r="GI43" s="150"/>
      <c r="GJ43" s="151"/>
      <c r="GK43" s="146"/>
      <c r="GL43" s="146"/>
      <c r="GM43" s="146"/>
      <c r="GN43" s="147"/>
      <c r="GO43" s="148"/>
      <c r="GP43" s="149"/>
      <c r="GQ43" s="148"/>
      <c r="GR43" s="150"/>
      <c r="GS43" s="151"/>
      <c r="GT43" s="152"/>
      <c r="GU43" s="98"/>
      <c r="GV43" s="130"/>
      <c r="GW43" s="74"/>
      <c r="GX43" s="132"/>
      <c r="GY43" s="167"/>
      <c r="GZ43" s="86">
        <v>0</v>
      </c>
    </row>
    <row r="44" spans="1:208" x14ac:dyDescent="0.25">
      <c r="A44"/>
      <c r="D44" s="35"/>
      <c r="E44" s="36"/>
      <c r="F44" s="37"/>
      <c r="G44" s="38"/>
      <c r="H44" s="39"/>
      <c r="I44" s="40"/>
      <c r="J44" s="68"/>
      <c r="K44" s="407"/>
      <c r="L44" s="70"/>
      <c r="M44" s="71"/>
      <c r="N44" s="56"/>
      <c r="O44" s="72"/>
      <c r="P44" s="113">
        <f t="shared" si="0"/>
        <v>0</v>
      </c>
      <c r="Q44" s="117"/>
      <c r="R44" s="117"/>
      <c r="S44" s="117"/>
      <c r="T44" s="39">
        <f t="shared" si="2"/>
        <v>0</v>
      </c>
      <c r="U44" s="115"/>
      <c r="V44" s="112"/>
      <c r="W44" s="377"/>
      <c r="X44" s="146"/>
      <c r="Y44" s="147"/>
      <c r="Z44" s="148"/>
      <c r="AA44" s="149"/>
      <c r="AB44" s="148"/>
      <c r="AC44" s="150"/>
      <c r="AD44" s="151"/>
      <c r="AE44" s="146"/>
      <c r="AF44" s="146"/>
      <c r="AG44" s="146"/>
      <c r="AH44" s="147"/>
      <c r="AI44" s="148"/>
      <c r="AJ44" s="149"/>
      <c r="AK44" s="148"/>
      <c r="AL44" s="150"/>
      <c r="AM44" s="151"/>
      <c r="AN44" s="146"/>
      <c r="AO44" s="146"/>
      <c r="AP44" s="146"/>
      <c r="AQ44" s="147"/>
      <c r="AR44" s="148"/>
      <c r="AS44" s="149"/>
      <c r="AT44" s="148"/>
      <c r="AU44" s="150"/>
      <c r="AV44" s="151"/>
      <c r="AW44" s="146"/>
      <c r="AX44" s="146"/>
      <c r="AY44" s="146"/>
      <c r="AZ44" s="147"/>
      <c r="BA44" s="148"/>
      <c r="BB44" s="149"/>
      <c r="BC44" s="148"/>
      <c r="BD44" s="150"/>
      <c r="BE44" s="151"/>
      <c r="BF44" s="146"/>
      <c r="BG44" s="146"/>
      <c r="BH44" s="146"/>
      <c r="BI44" s="147"/>
      <c r="BJ44" s="148"/>
      <c r="BK44" s="149"/>
      <c r="BL44" s="148"/>
      <c r="BM44" s="150"/>
      <c r="BN44" s="151"/>
      <c r="BO44" s="146"/>
      <c r="BP44" s="146"/>
      <c r="BQ44" s="146"/>
      <c r="BR44" s="147"/>
      <c r="BS44" s="148"/>
      <c r="BT44" s="149"/>
      <c r="BU44" s="148"/>
      <c r="BV44" s="150"/>
      <c r="BW44" s="151"/>
      <c r="BX44" s="146"/>
      <c r="BY44" s="146"/>
      <c r="BZ44" s="146"/>
      <c r="CA44" s="147"/>
      <c r="CB44" s="148"/>
      <c r="CC44" s="149"/>
      <c r="CD44" s="148"/>
      <c r="CE44" s="150"/>
      <c r="CF44" s="151"/>
      <c r="CG44" s="146"/>
      <c r="CH44" s="146"/>
      <c r="CI44" s="146"/>
      <c r="CJ44" s="147"/>
      <c r="CK44" s="148"/>
      <c r="CL44" s="149"/>
      <c r="CM44" s="148"/>
      <c r="CN44" s="150"/>
      <c r="CO44" s="151"/>
      <c r="CP44" s="146"/>
      <c r="CQ44" s="146"/>
      <c r="CR44" s="146"/>
      <c r="CS44" s="147"/>
      <c r="CT44" s="148"/>
      <c r="CU44" s="149"/>
      <c r="CV44" s="148"/>
      <c r="CW44" s="150"/>
      <c r="CX44" s="151"/>
      <c r="CY44" s="146"/>
      <c r="CZ44" s="146"/>
      <c r="DA44" s="146"/>
      <c r="DB44" s="147"/>
      <c r="DC44" s="148"/>
      <c r="DD44" s="149"/>
      <c r="DE44" s="148"/>
      <c r="DF44" s="150"/>
      <c r="DG44" s="151"/>
      <c r="DH44" s="146"/>
      <c r="DI44" s="146"/>
      <c r="DJ44" s="146"/>
      <c r="DK44" s="147"/>
      <c r="DL44" s="148"/>
      <c r="DM44" s="149"/>
      <c r="DN44" s="148"/>
      <c r="DO44" s="150"/>
      <c r="DP44" s="151"/>
      <c r="DQ44" s="146"/>
      <c r="DR44" s="146"/>
      <c r="DS44" s="146"/>
      <c r="DT44" s="147"/>
      <c r="DU44" s="148"/>
      <c r="DV44" s="149"/>
      <c r="DW44" s="148"/>
      <c r="DX44" s="150"/>
      <c r="DY44" s="151"/>
      <c r="DZ44" s="146"/>
      <c r="EA44" s="146"/>
      <c r="EB44" s="146"/>
      <c r="EC44" s="147"/>
      <c r="ED44" s="148"/>
      <c r="EE44" s="149"/>
      <c r="EF44" s="148"/>
      <c r="EG44" s="150"/>
      <c r="EH44" s="151"/>
      <c r="EI44" s="146"/>
      <c r="EJ44" s="146"/>
      <c r="EK44" s="146"/>
      <c r="EL44" s="147"/>
      <c r="EM44" s="148"/>
      <c r="EN44" s="149"/>
      <c r="EO44" s="148"/>
      <c r="EP44" s="150"/>
      <c r="EQ44" s="151"/>
      <c r="ER44" s="146"/>
      <c r="ES44" s="146"/>
      <c r="ET44" s="146"/>
      <c r="EU44" s="147"/>
      <c r="EV44" s="148"/>
      <c r="EW44" s="149"/>
      <c r="EX44" s="148"/>
      <c r="EY44" s="150"/>
      <c r="EZ44" s="151"/>
      <c r="FA44" s="146"/>
      <c r="FB44" s="146"/>
      <c r="FC44" s="146"/>
      <c r="FD44" s="147"/>
      <c r="FE44" s="148"/>
      <c r="FF44" s="149"/>
      <c r="FG44" s="148"/>
      <c r="FH44" s="150"/>
      <c r="FI44" s="151"/>
      <c r="FJ44" s="146"/>
      <c r="FK44" s="146"/>
      <c r="FL44" s="146"/>
      <c r="FM44" s="147"/>
      <c r="FN44" s="148"/>
      <c r="FO44" s="149"/>
      <c r="FP44" s="148"/>
      <c r="FQ44" s="150"/>
      <c r="FR44" s="151"/>
      <c r="FS44" s="146"/>
      <c r="FT44" s="146"/>
      <c r="FU44" s="146"/>
      <c r="FV44" s="147"/>
      <c r="FW44" s="148"/>
      <c r="FX44" s="149"/>
      <c r="FY44" s="148"/>
      <c r="FZ44" s="150"/>
      <c r="GA44" s="151"/>
      <c r="GB44" s="146"/>
      <c r="GC44" s="146"/>
      <c r="GD44" s="146"/>
      <c r="GE44" s="147"/>
      <c r="GF44" s="148"/>
      <c r="GG44" s="149"/>
      <c r="GH44" s="148"/>
      <c r="GI44" s="150"/>
      <c r="GJ44" s="151"/>
      <c r="GK44" s="146"/>
      <c r="GL44" s="146"/>
      <c r="GM44" s="146"/>
      <c r="GN44" s="147"/>
      <c r="GO44" s="148"/>
      <c r="GP44" s="149"/>
      <c r="GQ44" s="148"/>
      <c r="GR44" s="150"/>
      <c r="GS44" s="151"/>
      <c r="GT44" s="152"/>
      <c r="GU44" s="98"/>
      <c r="GV44" s="130"/>
      <c r="GW44" s="74"/>
      <c r="GX44" s="132"/>
      <c r="GY44" s="167"/>
      <c r="GZ44" s="86">
        <f>SUM(GZ23:GZ43)</f>
        <v>62918.400000000001</v>
      </c>
    </row>
    <row r="45" spans="1:208" x14ac:dyDescent="0.25">
      <c r="A45"/>
      <c r="D45" s="35"/>
      <c r="E45" s="36"/>
      <c r="F45" s="37"/>
      <c r="G45" s="38"/>
      <c r="H45" s="39"/>
      <c r="I45" s="40"/>
      <c r="J45" s="76"/>
      <c r="K45" s="407"/>
      <c r="L45" s="70"/>
      <c r="M45" s="71"/>
      <c r="N45" s="119"/>
      <c r="O45" s="72"/>
      <c r="P45" s="113">
        <f t="shared" si="0"/>
        <v>0</v>
      </c>
      <c r="Q45" s="117"/>
      <c r="R45" s="117"/>
      <c r="S45" s="117"/>
      <c r="T45" s="39">
        <f t="shared" si="2"/>
        <v>0</v>
      </c>
      <c r="U45" s="375"/>
      <c r="V45" s="144"/>
      <c r="W45" s="377"/>
      <c r="X45" s="146"/>
      <c r="Y45" s="147"/>
      <c r="Z45" s="148"/>
      <c r="AA45" s="149"/>
      <c r="AB45" s="148"/>
      <c r="AC45" s="150"/>
      <c r="AD45" s="151"/>
      <c r="AE45" s="146"/>
      <c r="AF45" s="146"/>
      <c r="AG45" s="146"/>
      <c r="AH45" s="147"/>
      <c r="AI45" s="148"/>
      <c r="AJ45" s="149"/>
      <c r="AK45" s="148"/>
      <c r="AL45" s="150"/>
      <c r="AM45" s="151"/>
      <c r="AN45" s="146"/>
      <c r="AO45" s="146"/>
      <c r="AP45" s="146"/>
      <c r="AQ45" s="147"/>
      <c r="AR45" s="148"/>
      <c r="AS45" s="149"/>
      <c r="AT45" s="148"/>
      <c r="AU45" s="150"/>
      <c r="AV45" s="151"/>
      <c r="AW45" s="146"/>
      <c r="AX45" s="146"/>
      <c r="AY45" s="146"/>
      <c r="AZ45" s="147"/>
      <c r="BA45" s="148"/>
      <c r="BB45" s="149"/>
      <c r="BC45" s="148"/>
      <c r="BD45" s="150"/>
      <c r="BE45" s="151"/>
      <c r="BF45" s="146"/>
      <c r="BG45" s="146"/>
      <c r="BH45" s="146"/>
      <c r="BI45" s="147"/>
      <c r="BJ45" s="148"/>
      <c r="BK45" s="149"/>
      <c r="BL45" s="148"/>
      <c r="BM45" s="150"/>
      <c r="BN45" s="151"/>
      <c r="BO45" s="146"/>
      <c r="BP45" s="146"/>
      <c r="BQ45" s="146"/>
      <c r="BR45" s="147"/>
      <c r="BS45" s="148"/>
      <c r="BT45" s="149"/>
      <c r="BU45" s="148"/>
      <c r="BV45" s="150"/>
      <c r="BW45" s="151"/>
      <c r="BX45" s="146"/>
      <c r="BY45" s="146"/>
      <c r="BZ45" s="146"/>
      <c r="CA45" s="147"/>
      <c r="CB45" s="148"/>
      <c r="CC45" s="149"/>
      <c r="CD45" s="148"/>
      <c r="CE45" s="150"/>
      <c r="CF45" s="151"/>
      <c r="CG45" s="146"/>
      <c r="CH45" s="146"/>
      <c r="CI45" s="146"/>
      <c r="CJ45" s="147"/>
      <c r="CK45" s="148"/>
      <c r="CL45" s="149"/>
      <c r="CM45" s="148"/>
      <c r="CN45" s="150"/>
      <c r="CO45" s="151"/>
      <c r="CP45" s="146"/>
      <c r="CQ45" s="146"/>
      <c r="CR45" s="146"/>
      <c r="CS45" s="147"/>
      <c r="CT45" s="148"/>
      <c r="CU45" s="149"/>
      <c r="CV45" s="148"/>
      <c r="CW45" s="150"/>
      <c r="CX45" s="151"/>
      <c r="CY45" s="146"/>
      <c r="CZ45" s="146"/>
      <c r="DA45" s="146"/>
      <c r="DB45" s="147"/>
      <c r="DC45" s="148"/>
      <c r="DD45" s="149"/>
      <c r="DE45" s="148"/>
      <c r="DF45" s="150"/>
      <c r="DG45" s="151"/>
      <c r="DH45" s="146"/>
      <c r="DI45" s="146"/>
      <c r="DJ45" s="146"/>
      <c r="DK45" s="147"/>
      <c r="DL45" s="148"/>
      <c r="DM45" s="149"/>
      <c r="DN45" s="148"/>
      <c r="DO45" s="150"/>
      <c r="DP45" s="151"/>
      <c r="DQ45" s="146"/>
      <c r="DR45" s="146"/>
      <c r="DS45" s="146"/>
      <c r="DT45" s="147"/>
      <c r="DU45" s="148"/>
      <c r="DV45" s="149"/>
      <c r="DW45" s="148"/>
      <c r="DX45" s="150"/>
      <c r="DY45" s="151"/>
      <c r="DZ45" s="146"/>
      <c r="EA45" s="146"/>
      <c r="EB45" s="146"/>
      <c r="EC45" s="147"/>
      <c r="ED45" s="148"/>
      <c r="EE45" s="149"/>
      <c r="EF45" s="148"/>
      <c r="EG45" s="150"/>
      <c r="EH45" s="151"/>
      <c r="EI45" s="146"/>
      <c r="EJ45" s="146"/>
      <c r="EK45" s="146"/>
      <c r="EL45" s="147"/>
      <c r="EM45" s="148"/>
      <c r="EN45" s="149"/>
      <c r="EO45" s="148"/>
      <c r="EP45" s="150"/>
      <c r="EQ45" s="151"/>
      <c r="ER45" s="146"/>
      <c r="ES45" s="146"/>
      <c r="ET45" s="146"/>
      <c r="EU45" s="147"/>
      <c r="EV45" s="148"/>
      <c r="EW45" s="149"/>
      <c r="EX45" s="148"/>
      <c r="EY45" s="150"/>
      <c r="EZ45" s="151"/>
      <c r="FA45" s="146"/>
      <c r="FB45" s="146"/>
      <c r="FC45" s="146"/>
      <c r="FD45" s="147"/>
      <c r="FE45" s="148"/>
      <c r="FF45" s="149"/>
      <c r="FG45" s="148"/>
      <c r="FH45" s="150"/>
      <c r="FI45" s="151"/>
      <c r="FJ45" s="146"/>
      <c r="FK45" s="146"/>
      <c r="FL45" s="146"/>
      <c r="FM45" s="147"/>
      <c r="FN45" s="148"/>
      <c r="FO45" s="149"/>
      <c r="FP45" s="148"/>
      <c r="FQ45" s="150"/>
      <c r="FR45" s="151"/>
      <c r="FS45" s="146"/>
      <c r="FT45" s="146"/>
      <c r="FU45" s="146"/>
      <c r="FV45" s="147"/>
      <c r="FW45" s="148"/>
      <c r="FX45" s="149"/>
      <c r="FY45" s="148"/>
      <c r="FZ45" s="150"/>
      <c r="GA45" s="151"/>
      <c r="GB45" s="146"/>
      <c r="GC45" s="146"/>
      <c r="GD45" s="146"/>
      <c r="GE45" s="147"/>
      <c r="GF45" s="148"/>
      <c r="GG45" s="149"/>
      <c r="GH45" s="148"/>
      <c r="GI45" s="150"/>
      <c r="GJ45" s="151"/>
      <c r="GK45" s="146"/>
      <c r="GL45" s="146"/>
      <c r="GM45" s="146"/>
      <c r="GN45" s="147"/>
      <c r="GO45" s="148"/>
      <c r="GP45" s="149"/>
      <c r="GQ45" s="148"/>
      <c r="GR45" s="150"/>
      <c r="GS45" s="151"/>
      <c r="GT45" s="378"/>
      <c r="GU45" s="98"/>
      <c r="GV45" s="130"/>
      <c r="GW45" s="74"/>
      <c r="GX45" s="74"/>
      <c r="GY45" s="167"/>
      <c r="GZ45" s="86"/>
    </row>
    <row r="46" spans="1:208" x14ac:dyDescent="0.25">
      <c r="A46"/>
      <c r="D46" s="35"/>
      <c r="E46" s="36"/>
      <c r="F46" s="37"/>
      <c r="G46" s="38"/>
      <c r="H46" s="39"/>
      <c r="I46" s="40"/>
      <c r="J46" s="76"/>
      <c r="K46" s="451"/>
      <c r="L46" s="70"/>
      <c r="M46" s="71"/>
      <c r="N46" s="119"/>
      <c r="O46" s="72"/>
      <c r="P46" s="113">
        <f t="shared" si="0"/>
        <v>0</v>
      </c>
      <c r="Q46" s="117"/>
      <c r="R46" s="117"/>
      <c r="S46" s="117"/>
      <c r="T46" s="39">
        <f t="shared" si="2"/>
        <v>0</v>
      </c>
      <c r="U46" s="375"/>
      <c r="V46" s="144"/>
      <c r="W46" s="377"/>
      <c r="X46" s="146"/>
      <c r="Y46" s="147"/>
      <c r="Z46" s="148"/>
      <c r="AA46" s="149"/>
      <c r="AB46" s="148"/>
      <c r="AC46" s="150"/>
      <c r="AD46" s="151"/>
      <c r="AE46" s="146"/>
      <c r="AF46" s="146"/>
      <c r="AG46" s="146"/>
      <c r="AH46" s="147"/>
      <c r="AI46" s="148"/>
      <c r="AJ46" s="149"/>
      <c r="AK46" s="148"/>
      <c r="AL46" s="150"/>
      <c r="AM46" s="151"/>
      <c r="AN46" s="146"/>
      <c r="AO46" s="146"/>
      <c r="AP46" s="146"/>
      <c r="AQ46" s="147"/>
      <c r="AR46" s="148"/>
      <c r="AS46" s="149"/>
      <c r="AT46" s="148"/>
      <c r="AU46" s="150"/>
      <c r="AV46" s="151"/>
      <c r="AW46" s="146"/>
      <c r="AX46" s="146"/>
      <c r="AY46" s="146"/>
      <c r="AZ46" s="147"/>
      <c r="BA46" s="148"/>
      <c r="BB46" s="149"/>
      <c r="BC46" s="148"/>
      <c r="BD46" s="150"/>
      <c r="BE46" s="151"/>
      <c r="BF46" s="146"/>
      <c r="BG46" s="146"/>
      <c r="BH46" s="146"/>
      <c r="BI46" s="147"/>
      <c r="BJ46" s="148"/>
      <c r="BK46" s="149"/>
      <c r="BL46" s="148"/>
      <c r="BM46" s="150"/>
      <c r="BN46" s="151"/>
      <c r="BO46" s="146"/>
      <c r="BP46" s="146"/>
      <c r="BQ46" s="146"/>
      <c r="BR46" s="147"/>
      <c r="BS46" s="148"/>
      <c r="BT46" s="149"/>
      <c r="BU46" s="148"/>
      <c r="BV46" s="150"/>
      <c r="BW46" s="151"/>
      <c r="BX46" s="146"/>
      <c r="BY46" s="146"/>
      <c r="BZ46" s="146"/>
      <c r="CA46" s="147"/>
      <c r="CB46" s="148"/>
      <c r="CC46" s="149"/>
      <c r="CD46" s="148"/>
      <c r="CE46" s="150"/>
      <c r="CF46" s="151"/>
      <c r="CG46" s="146"/>
      <c r="CH46" s="146"/>
      <c r="CI46" s="146"/>
      <c r="CJ46" s="147"/>
      <c r="CK46" s="148"/>
      <c r="CL46" s="149"/>
      <c r="CM46" s="148"/>
      <c r="CN46" s="150"/>
      <c r="CO46" s="151"/>
      <c r="CP46" s="146"/>
      <c r="CQ46" s="146"/>
      <c r="CR46" s="146"/>
      <c r="CS46" s="147"/>
      <c r="CT46" s="148"/>
      <c r="CU46" s="149"/>
      <c r="CV46" s="148"/>
      <c r="CW46" s="150"/>
      <c r="CX46" s="151"/>
      <c r="CY46" s="146"/>
      <c r="CZ46" s="146"/>
      <c r="DA46" s="146"/>
      <c r="DB46" s="147"/>
      <c r="DC46" s="148"/>
      <c r="DD46" s="149"/>
      <c r="DE46" s="148"/>
      <c r="DF46" s="150"/>
      <c r="DG46" s="151"/>
      <c r="DH46" s="146"/>
      <c r="DI46" s="146"/>
      <c r="DJ46" s="146"/>
      <c r="DK46" s="147"/>
      <c r="DL46" s="148"/>
      <c r="DM46" s="149"/>
      <c r="DN46" s="148"/>
      <c r="DO46" s="150"/>
      <c r="DP46" s="151"/>
      <c r="DQ46" s="146"/>
      <c r="DR46" s="146"/>
      <c r="DS46" s="146"/>
      <c r="DT46" s="147"/>
      <c r="DU46" s="148"/>
      <c r="DV46" s="149"/>
      <c r="DW46" s="148"/>
      <c r="DX46" s="150"/>
      <c r="DY46" s="151"/>
      <c r="DZ46" s="146"/>
      <c r="EA46" s="146"/>
      <c r="EB46" s="146"/>
      <c r="EC46" s="147"/>
      <c r="ED46" s="148"/>
      <c r="EE46" s="149"/>
      <c r="EF46" s="148"/>
      <c r="EG46" s="150"/>
      <c r="EH46" s="151"/>
      <c r="EI46" s="146"/>
      <c r="EJ46" s="146"/>
      <c r="EK46" s="146"/>
      <c r="EL46" s="147"/>
      <c r="EM46" s="148"/>
      <c r="EN46" s="149"/>
      <c r="EO46" s="148"/>
      <c r="EP46" s="150"/>
      <c r="EQ46" s="151"/>
      <c r="ER46" s="146"/>
      <c r="ES46" s="146"/>
      <c r="ET46" s="146"/>
      <c r="EU46" s="147"/>
      <c r="EV46" s="148"/>
      <c r="EW46" s="149"/>
      <c r="EX46" s="148"/>
      <c r="EY46" s="150"/>
      <c r="EZ46" s="151"/>
      <c r="FA46" s="146"/>
      <c r="FB46" s="146"/>
      <c r="FC46" s="146"/>
      <c r="FD46" s="147"/>
      <c r="FE46" s="148"/>
      <c r="FF46" s="149"/>
      <c r="FG46" s="148"/>
      <c r="FH46" s="150"/>
      <c r="FI46" s="151"/>
      <c r="FJ46" s="146"/>
      <c r="FK46" s="146"/>
      <c r="FL46" s="146"/>
      <c r="FM46" s="147"/>
      <c r="FN46" s="148"/>
      <c r="FO46" s="149"/>
      <c r="FP46" s="148"/>
      <c r="FQ46" s="150"/>
      <c r="FR46" s="151"/>
      <c r="FS46" s="146"/>
      <c r="FT46" s="146"/>
      <c r="FU46" s="146"/>
      <c r="FV46" s="147"/>
      <c r="FW46" s="148"/>
      <c r="FX46" s="149"/>
      <c r="FY46" s="148"/>
      <c r="FZ46" s="150"/>
      <c r="GA46" s="151"/>
      <c r="GB46" s="146"/>
      <c r="GC46" s="146"/>
      <c r="GD46" s="146"/>
      <c r="GE46" s="147"/>
      <c r="GF46" s="148"/>
      <c r="GG46" s="149"/>
      <c r="GH46" s="148"/>
      <c r="GI46" s="150"/>
      <c r="GJ46" s="151"/>
      <c r="GK46" s="146"/>
      <c r="GL46" s="146"/>
      <c r="GM46" s="146"/>
      <c r="GN46" s="147"/>
      <c r="GO46" s="148"/>
      <c r="GP46" s="149"/>
      <c r="GQ46" s="148"/>
      <c r="GR46" s="150"/>
      <c r="GS46" s="151"/>
      <c r="GT46" s="378"/>
      <c r="GU46" s="98"/>
      <c r="GV46" s="133"/>
      <c r="GW46" s="134"/>
      <c r="GX46" s="134"/>
      <c r="GY46" s="167"/>
      <c r="GZ46" s="86"/>
    </row>
    <row r="47" spans="1:208" x14ac:dyDescent="0.25">
      <c r="A47"/>
      <c r="D47" s="35"/>
      <c r="E47" s="36"/>
      <c r="F47" s="37"/>
      <c r="G47" s="38"/>
      <c r="H47" s="39"/>
      <c r="I47" s="40"/>
      <c r="J47" s="68"/>
      <c r="K47" s="407"/>
      <c r="L47" s="70"/>
      <c r="M47" s="71"/>
      <c r="N47" s="119"/>
      <c r="O47" s="72"/>
      <c r="P47" s="113">
        <f t="shared" si="0"/>
        <v>0</v>
      </c>
      <c r="Q47" s="117"/>
      <c r="R47" s="117"/>
      <c r="S47" s="117"/>
      <c r="T47" s="39">
        <f t="shared" si="2"/>
        <v>0</v>
      </c>
      <c r="U47" s="115"/>
      <c r="V47" s="112"/>
      <c r="W47" s="118"/>
      <c r="X47" s="17"/>
      <c r="Y47" s="20"/>
      <c r="Z47" s="92"/>
      <c r="AA47" s="93"/>
      <c r="AB47" s="92"/>
      <c r="AC47" s="94"/>
      <c r="AD47" s="95"/>
      <c r="AE47" s="17"/>
      <c r="AF47" s="17"/>
      <c r="AG47" s="17"/>
      <c r="AH47" s="20"/>
      <c r="AI47" s="92"/>
      <c r="AJ47" s="93"/>
      <c r="AK47" s="92"/>
      <c r="AL47" s="94"/>
      <c r="AM47" s="95"/>
      <c r="AN47" s="17"/>
      <c r="AO47" s="17"/>
      <c r="AP47" s="17"/>
      <c r="AQ47" s="20"/>
      <c r="AR47" s="92"/>
      <c r="AS47" s="93"/>
      <c r="AT47" s="92"/>
      <c r="AU47" s="94"/>
      <c r="AV47" s="95"/>
      <c r="AW47" s="17"/>
      <c r="AX47" s="17"/>
      <c r="AY47" s="17"/>
      <c r="AZ47" s="20"/>
      <c r="BA47" s="92"/>
      <c r="BB47" s="93"/>
      <c r="BC47" s="92"/>
      <c r="BD47" s="94"/>
      <c r="BE47" s="95"/>
      <c r="BF47" s="17"/>
      <c r="BG47" s="17"/>
      <c r="BH47" s="17"/>
      <c r="BI47" s="20"/>
      <c r="BJ47" s="92"/>
      <c r="BK47" s="93"/>
      <c r="BL47" s="92"/>
      <c r="BM47" s="94"/>
      <c r="BN47" s="95"/>
      <c r="BO47" s="17"/>
      <c r="BP47" s="17"/>
      <c r="BQ47" s="17"/>
      <c r="BR47" s="20"/>
      <c r="BS47" s="92"/>
      <c r="BT47" s="93"/>
      <c r="BU47" s="92"/>
      <c r="BV47" s="94"/>
      <c r="BW47" s="95"/>
      <c r="BX47" s="17"/>
      <c r="BY47" s="17"/>
      <c r="BZ47" s="17"/>
      <c r="CA47" s="20"/>
      <c r="CB47" s="92"/>
      <c r="CC47" s="93"/>
      <c r="CD47" s="92"/>
      <c r="CE47" s="94"/>
      <c r="CF47" s="95"/>
      <c r="CG47" s="17"/>
      <c r="CH47" s="17"/>
      <c r="CI47" s="17"/>
      <c r="CJ47" s="20"/>
      <c r="CK47" s="92"/>
      <c r="CL47" s="93"/>
      <c r="CM47" s="92"/>
      <c r="CN47" s="94"/>
      <c r="CO47" s="95"/>
      <c r="CP47" s="17"/>
      <c r="CQ47" s="17"/>
      <c r="CR47" s="17"/>
      <c r="CS47" s="20"/>
      <c r="CT47" s="92"/>
      <c r="CU47" s="93"/>
      <c r="CV47" s="92"/>
      <c r="CW47" s="94"/>
      <c r="CX47" s="95"/>
      <c r="CY47" s="17"/>
      <c r="CZ47" s="17"/>
      <c r="DA47" s="17"/>
      <c r="DB47" s="20"/>
      <c r="DC47" s="92"/>
      <c r="DD47" s="93"/>
      <c r="DE47" s="92"/>
      <c r="DF47" s="94"/>
      <c r="DG47" s="95"/>
      <c r="DH47" s="17"/>
      <c r="DI47" s="17"/>
      <c r="DJ47" s="17"/>
      <c r="DK47" s="20"/>
      <c r="DL47" s="92"/>
      <c r="DM47" s="93"/>
      <c r="DN47" s="92"/>
      <c r="DO47" s="94"/>
      <c r="DP47" s="95"/>
      <c r="DQ47" s="17"/>
      <c r="DR47" s="17"/>
      <c r="DS47" s="17"/>
      <c r="DT47" s="20"/>
      <c r="DU47" s="92"/>
      <c r="DV47" s="93"/>
      <c r="DW47" s="92"/>
      <c r="DX47" s="94"/>
      <c r="DY47" s="95"/>
      <c r="DZ47" s="17"/>
      <c r="EA47" s="17"/>
      <c r="EB47" s="17"/>
      <c r="EC47" s="20"/>
      <c r="ED47" s="92"/>
      <c r="EE47" s="93"/>
      <c r="EF47" s="92"/>
      <c r="EG47" s="94"/>
      <c r="EH47" s="95"/>
      <c r="EI47" s="17"/>
      <c r="EJ47" s="17"/>
      <c r="EK47" s="17"/>
      <c r="EL47" s="20"/>
      <c r="EM47" s="92"/>
      <c r="EN47" s="93"/>
      <c r="EO47" s="92"/>
      <c r="EP47" s="94"/>
      <c r="EQ47" s="95"/>
      <c r="ER47" s="17"/>
      <c r="ES47" s="17"/>
      <c r="ET47" s="17"/>
      <c r="EU47" s="20"/>
      <c r="EV47" s="92"/>
      <c r="EW47" s="93"/>
      <c r="EX47" s="92"/>
      <c r="EY47" s="94"/>
      <c r="EZ47" s="95"/>
      <c r="FA47" s="17"/>
      <c r="FB47" s="17"/>
      <c r="FC47" s="17"/>
      <c r="FD47" s="20"/>
      <c r="FE47" s="92"/>
      <c r="FF47" s="93"/>
      <c r="FG47" s="92"/>
      <c r="FH47" s="94"/>
      <c r="FI47" s="95"/>
      <c r="FJ47" s="17"/>
      <c r="FK47" s="17"/>
      <c r="FL47" s="17"/>
      <c r="FM47" s="20"/>
      <c r="FN47" s="92"/>
      <c r="FO47" s="93"/>
      <c r="FP47" s="92"/>
      <c r="FQ47" s="94"/>
      <c r="FR47" s="95"/>
      <c r="FS47" s="17"/>
      <c r="FT47" s="17"/>
      <c r="FU47" s="17"/>
      <c r="FV47" s="20"/>
      <c r="FW47" s="92"/>
      <c r="FX47" s="93"/>
      <c r="FY47" s="92"/>
      <c r="FZ47" s="94"/>
      <c r="GA47" s="95"/>
      <c r="GB47" s="17"/>
      <c r="GC47" s="17"/>
      <c r="GD47" s="17"/>
      <c r="GE47" s="20"/>
      <c r="GF47" s="92"/>
      <c r="GG47" s="93"/>
      <c r="GH47" s="92"/>
      <c r="GI47" s="94"/>
      <c r="GJ47" s="95"/>
      <c r="GK47" s="17"/>
      <c r="GL47" s="17"/>
      <c r="GM47" s="17"/>
      <c r="GN47" s="20"/>
      <c r="GO47" s="92"/>
      <c r="GP47" s="93"/>
      <c r="GQ47" s="92"/>
      <c r="GR47" s="94"/>
      <c r="GS47" s="95"/>
      <c r="GT47" s="122"/>
      <c r="GU47" s="98"/>
      <c r="GV47" s="133"/>
      <c r="GW47" s="134"/>
      <c r="GX47" s="134"/>
      <c r="GY47" s="167"/>
      <c r="GZ47" s="86"/>
    </row>
    <row r="48" spans="1:208" x14ac:dyDescent="0.25">
      <c r="A48"/>
      <c r="D48" s="35"/>
      <c r="E48" s="36"/>
      <c r="F48" s="37"/>
      <c r="G48" s="38"/>
      <c r="H48" s="39"/>
      <c r="I48" s="40"/>
      <c r="J48" s="68"/>
      <c r="K48" s="407"/>
      <c r="L48" s="70"/>
      <c r="M48" s="71"/>
      <c r="N48" s="56"/>
      <c r="O48" s="72"/>
      <c r="P48" s="113">
        <f t="shared" si="0"/>
        <v>0</v>
      </c>
      <c r="Q48" s="117"/>
      <c r="R48" s="117"/>
      <c r="S48" s="117"/>
      <c r="T48" s="39">
        <f t="shared" ref="T48" si="3">Q48*O48</f>
        <v>0</v>
      </c>
      <c r="U48" s="115"/>
      <c r="V48" s="112"/>
      <c r="W48" s="118"/>
      <c r="X48" s="17"/>
      <c r="Y48" s="20"/>
      <c r="Z48" s="92"/>
      <c r="AA48" s="93"/>
      <c r="AB48" s="92"/>
      <c r="AC48" s="94"/>
      <c r="AD48" s="95"/>
      <c r="AE48" s="17"/>
      <c r="AF48" s="17"/>
      <c r="AG48" s="17"/>
      <c r="AH48" s="20"/>
      <c r="AI48" s="92"/>
      <c r="AJ48" s="93"/>
      <c r="AK48" s="92"/>
      <c r="AL48" s="94"/>
      <c r="AM48" s="95"/>
      <c r="AN48" s="17"/>
      <c r="AO48" s="17"/>
      <c r="AP48" s="17"/>
      <c r="AQ48" s="20"/>
      <c r="AR48" s="92"/>
      <c r="AS48" s="93"/>
      <c r="AT48" s="92"/>
      <c r="AU48" s="94"/>
      <c r="AV48" s="95"/>
      <c r="AW48" s="17"/>
      <c r="AX48" s="17"/>
      <c r="AY48" s="17"/>
      <c r="AZ48" s="20"/>
      <c r="BA48" s="92"/>
      <c r="BB48" s="93"/>
      <c r="BC48" s="92"/>
      <c r="BD48" s="94"/>
      <c r="BE48" s="95"/>
      <c r="BF48" s="17"/>
      <c r="BG48" s="17"/>
      <c r="BH48" s="17"/>
      <c r="BI48" s="20"/>
      <c r="BJ48" s="92"/>
      <c r="BK48" s="93"/>
      <c r="BL48" s="92"/>
      <c r="BM48" s="94"/>
      <c r="BN48" s="95"/>
      <c r="BO48" s="17"/>
      <c r="BP48" s="17"/>
      <c r="BQ48" s="17"/>
      <c r="BR48" s="20"/>
      <c r="BS48" s="92"/>
      <c r="BT48" s="93"/>
      <c r="BU48" s="92"/>
      <c r="BV48" s="94"/>
      <c r="BW48" s="95"/>
      <c r="BX48" s="17"/>
      <c r="BY48" s="17"/>
      <c r="BZ48" s="17"/>
      <c r="CA48" s="20"/>
      <c r="CB48" s="92"/>
      <c r="CC48" s="93"/>
      <c r="CD48" s="92"/>
      <c r="CE48" s="94"/>
      <c r="CF48" s="95"/>
      <c r="CG48" s="17"/>
      <c r="CH48" s="17"/>
      <c r="CI48" s="17"/>
      <c r="CJ48" s="20"/>
      <c r="CK48" s="92"/>
      <c r="CL48" s="93"/>
      <c r="CM48" s="92"/>
      <c r="CN48" s="94"/>
      <c r="CO48" s="95"/>
      <c r="CP48" s="17"/>
      <c r="CQ48" s="17"/>
      <c r="CR48" s="17"/>
      <c r="CS48" s="20"/>
      <c r="CT48" s="92"/>
      <c r="CU48" s="93"/>
      <c r="CV48" s="92"/>
      <c r="CW48" s="94"/>
      <c r="CX48" s="95"/>
      <c r="CY48" s="17"/>
      <c r="CZ48" s="17"/>
      <c r="DA48" s="17"/>
      <c r="DB48" s="20"/>
      <c r="DC48" s="92"/>
      <c r="DD48" s="93"/>
      <c r="DE48" s="92"/>
      <c r="DF48" s="94"/>
      <c r="DG48" s="95"/>
      <c r="DH48" s="17"/>
      <c r="DI48" s="17"/>
      <c r="DJ48" s="17"/>
      <c r="DK48" s="20"/>
      <c r="DL48" s="92"/>
      <c r="DM48" s="93"/>
      <c r="DN48" s="92"/>
      <c r="DO48" s="94"/>
      <c r="DP48" s="95"/>
      <c r="DQ48" s="17"/>
      <c r="DR48" s="17"/>
      <c r="DS48" s="17"/>
      <c r="DT48" s="20"/>
      <c r="DU48" s="92"/>
      <c r="DV48" s="93"/>
      <c r="DW48" s="92"/>
      <c r="DX48" s="94"/>
      <c r="DY48" s="95"/>
      <c r="DZ48" s="17"/>
      <c r="EA48" s="17"/>
      <c r="EB48" s="17"/>
      <c r="EC48" s="20"/>
      <c r="ED48" s="92"/>
      <c r="EE48" s="93"/>
      <c r="EF48" s="92"/>
      <c r="EG48" s="94"/>
      <c r="EH48" s="95"/>
      <c r="EI48" s="17"/>
      <c r="EJ48" s="17"/>
      <c r="EK48" s="17"/>
      <c r="EL48" s="20"/>
      <c r="EM48" s="92"/>
      <c r="EN48" s="93"/>
      <c r="EO48" s="92"/>
      <c r="EP48" s="94"/>
      <c r="EQ48" s="95"/>
      <c r="ER48" s="17"/>
      <c r="ES48" s="17"/>
      <c r="ET48" s="17"/>
      <c r="EU48" s="20"/>
      <c r="EV48" s="92"/>
      <c r="EW48" s="93"/>
      <c r="EX48" s="92"/>
      <c r="EY48" s="94"/>
      <c r="EZ48" s="95"/>
      <c r="FA48" s="17"/>
      <c r="FB48" s="17"/>
      <c r="FC48" s="17"/>
      <c r="FD48" s="20"/>
      <c r="FE48" s="92"/>
      <c r="FF48" s="93"/>
      <c r="FG48" s="92"/>
      <c r="FH48" s="94"/>
      <c r="FI48" s="95"/>
      <c r="FJ48" s="17"/>
      <c r="FK48" s="17"/>
      <c r="FL48" s="17"/>
      <c r="FM48" s="20"/>
      <c r="FN48" s="92"/>
      <c r="FO48" s="93"/>
      <c r="FP48" s="92"/>
      <c r="FQ48" s="94"/>
      <c r="FR48" s="95"/>
      <c r="FS48" s="17"/>
      <c r="FT48" s="17"/>
      <c r="FU48" s="17"/>
      <c r="FV48" s="20"/>
      <c r="FW48" s="92"/>
      <c r="FX48" s="93"/>
      <c r="FY48" s="92"/>
      <c r="FZ48" s="94"/>
      <c r="GA48" s="95"/>
      <c r="GB48" s="17"/>
      <c r="GC48" s="17"/>
      <c r="GD48" s="17"/>
      <c r="GE48" s="20"/>
      <c r="GF48" s="92"/>
      <c r="GG48" s="93"/>
      <c r="GH48" s="92"/>
      <c r="GI48" s="94"/>
      <c r="GJ48" s="95"/>
      <c r="GK48" s="17"/>
      <c r="GL48" s="17"/>
      <c r="GM48" s="17"/>
      <c r="GN48" s="20"/>
      <c r="GO48" s="92"/>
      <c r="GP48" s="93"/>
      <c r="GQ48" s="92"/>
      <c r="GR48" s="94"/>
      <c r="GS48" s="95"/>
      <c r="GT48" s="122"/>
      <c r="GU48" s="98"/>
      <c r="GV48" s="135"/>
      <c r="GW48" s="134"/>
      <c r="GX48" s="136"/>
      <c r="GY48" s="167"/>
      <c r="GZ48" s="86"/>
    </row>
    <row r="49" spans="1:208" x14ac:dyDescent="0.25">
      <c r="A49"/>
      <c r="D49" s="35"/>
      <c r="E49" s="36"/>
      <c r="F49" s="37"/>
      <c r="G49" s="38"/>
      <c r="H49" s="39"/>
      <c r="I49" s="40"/>
      <c r="J49" s="68"/>
      <c r="K49" s="407"/>
      <c r="L49" s="70"/>
      <c r="M49" s="71"/>
      <c r="N49" s="56"/>
      <c r="O49" s="72"/>
      <c r="P49" s="113">
        <f t="shared" si="0"/>
        <v>0</v>
      </c>
      <c r="Q49" s="64"/>
      <c r="R49" s="117"/>
      <c r="S49" s="117"/>
      <c r="T49" s="39">
        <f>Q49*O49</f>
        <v>0</v>
      </c>
      <c r="U49" s="115"/>
      <c r="V49" s="83"/>
      <c r="W49" s="118"/>
      <c r="X49" s="17"/>
      <c r="Y49" s="20"/>
      <c r="Z49" s="92"/>
      <c r="AA49" s="93"/>
      <c r="AB49" s="92"/>
      <c r="AC49" s="94"/>
      <c r="AD49" s="95"/>
      <c r="AE49" s="17"/>
      <c r="AF49" s="17"/>
      <c r="AG49" s="17"/>
      <c r="AH49" s="20"/>
      <c r="AI49" s="92"/>
      <c r="AJ49" s="93"/>
      <c r="AK49" s="92"/>
      <c r="AL49" s="94"/>
      <c r="AM49" s="95"/>
      <c r="AN49" s="17"/>
      <c r="AO49" s="17"/>
      <c r="AP49" s="17"/>
      <c r="AQ49" s="20"/>
      <c r="AR49" s="92"/>
      <c r="AS49" s="93"/>
      <c r="AT49" s="92"/>
      <c r="AU49" s="94"/>
      <c r="AV49" s="95"/>
      <c r="AW49" s="17"/>
      <c r="AX49" s="17"/>
      <c r="AY49" s="17"/>
      <c r="AZ49" s="20"/>
      <c r="BA49" s="92"/>
      <c r="BB49" s="93"/>
      <c r="BC49" s="92"/>
      <c r="BD49" s="94"/>
      <c r="BE49" s="95"/>
      <c r="BF49" s="17"/>
      <c r="BG49" s="17"/>
      <c r="BH49" s="17"/>
      <c r="BI49" s="20"/>
      <c r="BJ49" s="92"/>
      <c r="BK49" s="93"/>
      <c r="BL49" s="92"/>
      <c r="BM49" s="94"/>
      <c r="BN49" s="95"/>
      <c r="BO49" s="17"/>
      <c r="BP49" s="17"/>
      <c r="BQ49" s="17"/>
      <c r="BR49" s="20"/>
      <c r="BS49" s="92"/>
      <c r="BT49" s="93"/>
      <c r="BU49" s="92"/>
      <c r="BV49" s="94"/>
      <c r="BW49" s="95"/>
      <c r="BX49" s="17"/>
      <c r="BY49" s="17"/>
      <c r="BZ49" s="17"/>
      <c r="CA49" s="20"/>
      <c r="CB49" s="92"/>
      <c r="CC49" s="93"/>
      <c r="CD49" s="92"/>
      <c r="CE49" s="94"/>
      <c r="CF49" s="95"/>
      <c r="CG49" s="17"/>
      <c r="CH49" s="17"/>
      <c r="CI49" s="17"/>
      <c r="CJ49" s="20"/>
      <c r="CK49" s="92"/>
      <c r="CL49" s="93"/>
      <c r="CM49" s="92"/>
      <c r="CN49" s="94"/>
      <c r="CO49" s="95"/>
      <c r="CP49" s="17"/>
      <c r="CQ49" s="17"/>
      <c r="CR49" s="17"/>
      <c r="CS49" s="20"/>
      <c r="CT49" s="92"/>
      <c r="CU49" s="93"/>
      <c r="CV49" s="92"/>
      <c r="CW49" s="94"/>
      <c r="CX49" s="95"/>
      <c r="CY49" s="17"/>
      <c r="CZ49" s="17"/>
      <c r="DA49" s="17"/>
      <c r="DB49" s="20"/>
      <c r="DC49" s="92"/>
      <c r="DD49" s="93"/>
      <c r="DE49" s="92"/>
      <c r="DF49" s="94"/>
      <c r="DG49" s="95"/>
      <c r="DH49" s="17"/>
      <c r="DI49" s="17"/>
      <c r="DJ49" s="17"/>
      <c r="DK49" s="20"/>
      <c r="DL49" s="92"/>
      <c r="DM49" s="93"/>
      <c r="DN49" s="92"/>
      <c r="DO49" s="94"/>
      <c r="DP49" s="95"/>
      <c r="DQ49" s="17"/>
      <c r="DR49" s="17"/>
      <c r="DS49" s="17"/>
      <c r="DT49" s="20"/>
      <c r="DU49" s="92"/>
      <c r="DV49" s="93"/>
      <c r="DW49" s="92"/>
      <c r="DX49" s="94"/>
      <c r="DY49" s="95"/>
      <c r="DZ49" s="17"/>
      <c r="EA49" s="17"/>
      <c r="EB49" s="17"/>
      <c r="EC49" s="20"/>
      <c r="ED49" s="92"/>
      <c r="EE49" s="93"/>
      <c r="EF49" s="92"/>
      <c r="EG49" s="94"/>
      <c r="EH49" s="95"/>
      <c r="EI49" s="17"/>
      <c r="EJ49" s="17"/>
      <c r="EK49" s="17"/>
      <c r="EL49" s="20"/>
      <c r="EM49" s="92"/>
      <c r="EN49" s="93"/>
      <c r="EO49" s="92"/>
      <c r="EP49" s="94"/>
      <c r="EQ49" s="95"/>
      <c r="ER49" s="17"/>
      <c r="ES49" s="17"/>
      <c r="ET49" s="17"/>
      <c r="EU49" s="20"/>
      <c r="EV49" s="92"/>
      <c r="EW49" s="93"/>
      <c r="EX49" s="92"/>
      <c r="EY49" s="94"/>
      <c r="EZ49" s="95"/>
      <c r="FA49" s="17"/>
      <c r="FB49" s="17"/>
      <c r="FC49" s="17"/>
      <c r="FD49" s="20"/>
      <c r="FE49" s="92"/>
      <c r="FF49" s="93"/>
      <c r="FG49" s="92"/>
      <c r="FH49" s="94"/>
      <c r="FI49" s="95"/>
      <c r="FJ49" s="17"/>
      <c r="FK49" s="17"/>
      <c r="FL49" s="17"/>
      <c r="FM49" s="20"/>
      <c r="FN49" s="92"/>
      <c r="FO49" s="93"/>
      <c r="FP49" s="92"/>
      <c r="FQ49" s="94"/>
      <c r="FR49" s="95"/>
      <c r="FS49" s="17"/>
      <c r="FT49" s="17"/>
      <c r="FU49" s="17"/>
      <c r="FV49" s="20"/>
      <c r="FW49" s="92"/>
      <c r="FX49" s="93"/>
      <c r="FY49" s="92"/>
      <c r="FZ49" s="94"/>
      <c r="GA49" s="95"/>
      <c r="GB49" s="17"/>
      <c r="GC49" s="17"/>
      <c r="GD49" s="17"/>
      <c r="GE49" s="20"/>
      <c r="GF49" s="92"/>
      <c r="GG49" s="93"/>
      <c r="GH49" s="92"/>
      <c r="GI49" s="94"/>
      <c r="GJ49" s="95"/>
      <c r="GK49" s="17"/>
      <c r="GL49" s="17"/>
      <c r="GM49" s="17"/>
      <c r="GN49" s="20"/>
      <c r="GO49" s="92"/>
      <c r="GP49" s="93"/>
      <c r="GQ49" s="92"/>
      <c r="GR49" s="94"/>
      <c r="GS49" s="95"/>
      <c r="GT49" s="137"/>
      <c r="GU49" s="98"/>
      <c r="GV49" s="129"/>
      <c r="GW49" s="74"/>
      <c r="GX49" s="74"/>
      <c r="GY49" s="167"/>
      <c r="GZ49" s="86"/>
    </row>
    <row r="50" spans="1:208" x14ac:dyDescent="0.25">
      <c r="A50"/>
      <c r="D50" s="35"/>
      <c r="E50" s="36"/>
      <c r="F50" s="37"/>
      <c r="G50" s="38"/>
      <c r="H50" s="39"/>
      <c r="I50" s="40"/>
      <c r="J50" s="68"/>
      <c r="K50" s="407"/>
      <c r="L50" s="70"/>
      <c r="M50" s="71"/>
      <c r="N50" s="56"/>
      <c r="O50" s="72"/>
      <c r="P50" s="113">
        <f t="shared" si="0"/>
        <v>0</v>
      </c>
      <c r="Q50" s="117"/>
      <c r="R50" s="117"/>
      <c r="S50" s="117"/>
      <c r="T50" s="39">
        <f>Q50*O50</f>
        <v>0</v>
      </c>
      <c r="U50" s="115"/>
      <c r="V50" s="112"/>
      <c r="W50" s="118"/>
      <c r="X50" s="17"/>
      <c r="Y50" s="20"/>
      <c r="Z50" s="92"/>
      <c r="AA50" s="93"/>
      <c r="AB50" s="92"/>
      <c r="AC50" s="94"/>
      <c r="AD50" s="95"/>
      <c r="AE50" s="17"/>
      <c r="AF50" s="17"/>
      <c r="AG50" s="17"/>
      <c r="AH50" s="20"/>
      <c r="AI50" s="92"/>
      <c r="AJ50" s="93"/>
      <c r="AK50" s="92"/>
      <c r="AL50" s="94"/>
      <c r="AM50" s="95"/>
      <c r="AN50" s="17"/>
      <c r="AO50" s="17"/>
      <c r="AP50" s="17"/>
      <c r="AQ50" s="20"/>
      <c r="AR50" s="92"/>
      <c r="AS50" s="93"/>
      <c r="AT50" s="92"/>
      <c r="AU50" s="94"/>
      <c r="AV50" s="95"/>
      <c r="AW50" s="17"/>
      <c r="AX50" s="17"/>
      <c r="AY50" s="17"/>
      <c r="AZ50" s="20"/>
      <c r="BA50" s="92"/>
      <c r="BB50" s="93"/>
      <c r="BC50" s="92"/>
      <c r="BD50" s="94"/>
      <c r="BE50" s="95"/>
      <c r="BF50" s="17"/>
      <c r="BG50" s="17"/>
      <c r="BH50" s="17"/>
      <c r="BI50" s="20"/>
      <c r="BJ50" s="92"/>
      <c r="BK50" s="93"/>
      <c r="BL50" s="92"/>
      <c r="BM50" s="94"/>
      <c r="BN50" s="95"/>
      <c r="BO50" s="17"/>
      <c r="BP50" s="17"/>
      <c r="BQ50" s="17"/>
      <c r="BR50" s="20"/>
      <c r="BS50" s="92"/>
      <c r="BT50" s="93"/>
      <c r="BU50" s="92"/>
      <c r="BV50" s="94"/>
      <c r="BW50" s="95"/>
      <c r="BX50" s="17"/>
      <c r="BY50" s="17"/>
      <c r="BZ50" s="17"/>
      <c r="CA50" s="20"/>
      <c r="CB50" s="92"/>
      <c r="CC50" s="93"/>
      <c r="CD50" s="92"/>
      <c r="CE50" s="94"/>
      <c r="CF50" s="95"/>
      <c r="CG50" s="17"/>
      <c r="CH50" s="17"/>
      <c r="CI50" s="17"/>
      <c r="CJ50" s="20"/>
      <c r="CK50" s="92"/>
      <c r="CL50" s="93"/>
      <c r="CM50" s="92"/>
      <c r="CN50" s="94"/>
      <c r="CO50" s="95"/>
      <c r="CP50" s="17"/>
      <c r="CQ50" s="17"/>
      <c r="CR50" s="17"/>
      <c r="CS50" s="20"/>
      <c r="CT50" s="92"/>
      <c r="CU50" s="93"/>
      <c r="CV50" s="92"/>
      <c r="CW50" s="94"/>
      <c r="CX50" s="95"/>
      <c r="CY50" s="17"/>
      <c r="CZ50" s="17"/>
      <c r="DA50" s="17"/>
      <c r="DB50" s="20"/>
      <c r="DC50" s="92"/>
      <c r="DD50" s="93"/>
      <c r="DE50" s="92"/>
      <c r="DF50" s="94"/>
      <c r="DG50" s="95"/>
      <c r="DH50" s="17"/>
      <c r="DI50" s="17"/>
      <c r="DJ50" s="17"/>
      <c r="DK50" s="20"/>
      <c r="DL50" s="92"/>
      <c r="DM50" s="93"/>
      <c r="DN50" s="92"/>
      <c r="DO50" s="94"/>
      <c r="DP50" s="95"/>
      <c r="DQ50" s="17"/>
      <c r="DR50" s="17"/>
      <c r="DS50" s="17"/>
      <c r="DT50" s="20"/>
      <c r="DU50" s="92"/>
      <c r="DV50" s="93"/>
      <c r="DW50" s="92"/>
      <c r="DX50" s="94"/>
      <c r="DY50" s="95"/>
      <c r="DZ50" s="17"/>
      <c r="EA50" s="17"/>
      <c r="EB50" s="17"/>
      <c r="EC50" s="20"/>
      <c r="ED50" s="92"/>
      <c r="EE50" s="93"/>
      <c r="EF50" s="92"/>
      <c r="EG50" s="94"/>
      <c r="EH50" s="95"/>
      <c r="EI50" s="17"/>
      <c r="EJ50" s="17"/>
      <c r="EK50" s="17"/>
      <c r="EL50" s="20"/>
      <c r="EM50" s="92"/>
      <c r="EN50" s="93"/>
      <c r="EO50" s="92"/>
      <c r="EP50" s="94"/>
      <c r="EQ50" s="95"/>
      <c r="ER50" s="17"/>
      <c r="ES50" s="17"/>
      <c r="ET50" s="17"/>
      <c r="EU50" s="20"/>
      <c r="EV50" s="92"/>
      <c r="EW50" s="93"/>
      <c r="EX50" s="92"/>
      <c r="EY50" s="94"/>
      <c r="EZ50" s="95"/>
      <c r="FA50" s="17"/>
      <c r="FB50" s="17"/>
      <c r="FC50" s="17"/>
      <c r="FD50" s="20"/>
      <c r="FE50" s="92"/>
      <c r="FF50" s="93"/>
      <c r="FG50" s="92"/>
      <c r="FH50" s="94"/>
      <c r="FI50" s="95"/>
      <c r="FJ50" s="17"/>
      <c r="FK50" s="17"/>
      <c r="FL50" s="17"/>
      <c r="FM50" s="20"/>
      <c r="FN50" s="92"/>
      <c r="FO50" s="93"/>
      <c r="FP50" s="92"/>
      <c r="FQ50" s="94"/>
      <c r="FR50" s="95"/>
      <c r="FS50" s="17"/>
      <c r="FT50" s="17"/>
      <c r="FU50" s="17"/>
      <c r="FV50" s="20"/>
      <c r="FW50" s="92"/>
      <c r="FX50" s="93"/>
      <c r="FY50" s="92"/>
      <c r="FZ50" s="94"/>
      <c r="GA50" s="95"/>
      <c r="GB50" s="17"/>
      <c r="GC50" s="17"/>
      <c r="GD50" s="17"/>
      <c r="GE50" s="20"/>
      <c r="GF50" s="92"/>
      <c r="GG50" s="93"/>
      <c r="GH50" s="92"/>
      <c r="GI50" s="94"/>
      <c r="GJ50" s="95"/>
      <c r="GK50" s="17"/>
      <c r="GL50" s="17"/>
      <c r="GM50" s="17"/>
      <c r="GN50" s="20"/>
      <c r="GO50" s="92"/>
      <c r="GP50" s="93"/>
      <c r="GQ50" s="92"/>
      <c r="GR50" s="94"/>
      <c r="GS50" s="95"/>
      <c r="GT50" s="128"/>
      <c r="GU50" s="98"/>
      <c r="GV50" s="129"/>
      <c r="GW50" s="74"/>
      <c r="GX50" s="74"/>
      <c r="GY50" s="167"/>
      <c r="GZ50" s="86"/>
    </row>
    <row r="51" spans="1:208" x14ac:dyDescent="0.25">
      <c r="A51"/>
      <c r="D51" s="35"/>
      <c r="E51" s="36"/>
      <c r="F51" s="37"/>
      <c r="G51" s="38"/>
      <c r="H51" s="39"/>
      <c r="I51" s="40"/>
      <c r="J51" s="68"/>
      <c r="K51" s="407"/>
      <c r="L51" s="70"/>
      <c r="M51" s="71"/>
      <c r="N51" s="56"/>
      <c r="O51" s="72"/>
      <c r="P51" s="113">
        <f t="shared" si="0"/>
        <v>0</v>
      </c>
      <c r="Q51" s="117"/>
      <c r="R51" s="117"/>
      <c r="S51" s="117"/>
      <c r="T51" s="39">
        <f>Q51*O51</f>
        <v>0</v>
      </c>
      <c r="U51" s="115"/>
      <c r="V51" s="112"/>
      <c r="W51" s="118"/>
      <c r="X51" s="17"/>
      <c r="Y51" s="20"/>
      <c r="Z51" s="92"/>
      <c r="AA51" s="93"/>
      <c r="AB51" s="92"/>
      <c r="AC51" s="94"/>
      <c r="AD51" s="95"/>
      <c r="AE51" s="17"/>
      <c r="AF51" s="17"/>
      <c r="AG51" s="17"/>
      <c r="AH51" s="20"/>
      <c r="AI51" s="92"/>
      <c r="AJ51" s="93"/>
      <c r="AK51" s="92"/>
      <c r="AL51" s="94"/>
      <c r="AM51" s="95"/>
      <c r="AN51" s="17"/>
      <c r="AO51" s="17"/>
      <c r="AP51" s="17"/>
      <c r="AQ51" s="20"/>
      <c r="AR51" s="92"/>
      <c r="AS51" s="93"/>
      <c r="AT51" s="92"/>
      <c r="AU51" s="94"/>
      <c r="AV51" s="95"/>
      <c r="AW51" s="17"/>
      <c r="AX51" s="17"/>
      <c r="AY51" s="17"/>
      <c r="AZ51" s="20"/>
      <c r="BA51" s="92"/>
      <c r="BB51" s="93"/>
      <c r="BC51" s="92"/>
      <c r="BD51" s="94"/>
      <c r="BE51" s="95"/>
      <c r="BF51" s="17"/>
      <c r="BG51" s="17"/>
      <c r="BH51" s="17"/>
      <c r="BI51" s="20"/>
      <c r="BJ51" s="92"/>
      <c r="BK51" s="93"/>
      <c r="BL51" s="92"/>
      <c r="BM51" s="94"/>
      <c r="BN51" s="95"/>
      <c r="BO51" s="17"/>
      <c r="BP51" s="17"/>
      <c r="BQ51" s="17"/>
      <c r="BR51" s="20"/>
      <c r="BS51" s="92"/>
      <c r="BT51" s="93"/>
      <c r="BU51" s="92"/>
      <c r="BV51" s="94"/>
      <c r="BW51" s="95"/>
      <c r="BX51" s="17"/>
      <c r="BY51" s="17"/>
      <c r="BZ51" s="17"/>
      <c r="CA51" s="20"/>
      <c r="CB51" s="92"/>
      <c r="CC51" s="93"/>
      <c r="CD51" s="92"/>
      <c r="CE51" s="94"/>
      <c r="CF51" s="95"/>
      <c r="CG51" s="17"/>
      <c r="CH51" s="17"/>
      <c r="CI51" s="17"/>
      <c r="CJ51" s="20"/>
      <c r="CK51" s="92"/>
      <c r="CL51" s="93"/>
      <c r="CM51" s="92"/>
      <c r="CN51" s="94"/>
      <c r="CO51" s="95"/>
      <c r="CP51" s="17"/>
      <c r="CQ51" s="17"/>
      <c r="CR51" s="17"/>
      <c r="CS51" s="20"/>
      <c r="CT51" s="92"/>
      <c r="CU51" s="93"/>
      <c r="CV51" s="92"/>
      <c r="CW51" s="94"/>
      <c r="CX51" s="95"/>
      <c r="CY51" s="17"/>
      <c r="CZ51" s="17"/>
      <c r="DA51" s="17"/>
      <c r="DB51" s="20"/>
      <c r="DC51" s="92"/>
      <c r="DD51" s="93"/>
      <c r="DE51" s="92"/>
      <c r="DF51" s="94"/>
      <c r="DG51" s="95"/>
      <c r="DH51" s="17"/>
      <c r="DI51" s="17"/>
      <c r="DJ51" s="17"/>
      <c r="DK51" s="20"/>
      <c r="DL51" s="92"/>
      <c r="DM51" s="93"/>
      <c r="DN51" s="92"/>
      <c r="DO51" s="94"/>
      <c r="DP51" s="95"/>
      <c r="DQ51" s="17"/>
      <c r="DR51" s="17"/>
      <c r="DS51" s="17"/>
      <c r="DT51" s="20"/>
      <c r="DU51" s="92"/>
      <c r="DV51" s="93"/>
      <c r="DW51" s="92"/>
      <c r="DX51" s="94"/>
      <c r="DY51" s="95"/>
      <c r="DZ51" s="17"/>
      <c r="EA51" s="17"/>
      <c r="EB51" s="17"/>
      <c r="EC51" s="20"/>
      <c r="ED51" s="92"/>
      <c r="EE51" s="93"/>
      <c r="EF51" s="92"/>
      <c r="EG51" s="94"/>
      <c r="EH51" s="95"/>
      <c r="EI51" s="17"/>
      <c r="EJ51" s="17"/>
      <c r="EK51" s="17"/>
      <c r="EL51" s="20"/>
      <c r="EM51" s="92"/>
      <c r="EN51" s="93"/>
      <c r="EO51" s="92"/>
      <c r="EP51" s="94"/>
      <c r="EQ51" s="95"/>
      <c r="ER51" s="17"/>
      <c r="ES51" s="17"/>
      <c r="ET51" s="17"/>
      <c r="EU51" s="20"/>
      <c r="EV51" s="92"/>
      <c r="EW51" s="93"/>
      <c r="EX51" s="92"/>
      <c r="EY51" s="94"/>
      <c r="EZ51" s="95"/>
      <c r="FA51" s="17"/>
      <c r="FB51" s="17"/>
      <c r="FC51" s="17"/>
      <c r="FD51" s="20"/>
      <c r="FE51" s="92"/>
      <c r="FF51" s="93"/>
      <c r="FG51" s="92"/>
      <c r="FH51" s="94"/>
      <c r="FI51" s="95"/>
      <c r="FJ51" s="17"/>
      <c r="FK51" s="17"/>
      <c r="FL51" s="17"/>
      <c r="FM51" s="20"/>
      <c r="FN51" s="92"/>
      <c r="FO51" s="93"/>
      <c r="FP51" s="92"/>
      <c r="FQ51" s="94"/>
      <c r="FR51" s="95"/>
      <c r="FS51" s="17"/>
      <c r="FT51" s="17"/>
      <c r="FU51" s="17"/>
      <c r="FV51" s="20"/>
      <c r="FW51" s="92"/>
      <c r="FX51" s="93"/>
      <c r="FY51" s="92"/>
      <c r="FZ51" s="94"/>
      <c r="GA51" s="95"/>
      <c r="GB51" s="17"/>
      <c r="GC51" s="17"/>
      <c r="GD51" s="17"/>
      <c r="GE51" s="20"/>
      <c r="GF51" s="92"/>
      <c r="GG51" s="93"/>
      <c r="GH51" s="92"/>
      <c r="GI51" s="94"/>
      <c r="GJ51" s="95"/>
      <c r="GK51" s="17"/>
      <c r="GL51" s="17"/>
      <c r="GM51" s="17"/>
      <c r="GN51" s="20"/>
      <c r="GO51" s="92"/>
      <c r="GP51" s="93"/>
      <c r="GQ51" s="92"/>
      <c r="GR51" s="94"/>
      <c r="GS51" s="95"/>
      <c r="GT51" s="97"/>
      <c r="GU51" s="98"/>
      <c r="GV51" s="130"/>
      <c r="GW51" s="74"/>
      <c r="GX51" s="74"/>
      <c r="GY51" s="167"/>
      <c r="GZ51" s="86"/>
    </row>
    <row r="52" spans="1:208" x14ac:dyDescent="0.25">
      <c r="A52"/>
      <c r="D52" s="35"/>
      <c r="E52" s="36"/>
      <c r="F52" s="37"/>
      <c r="G52" s="38"/>
      <c r="H52" s="39"/>
      <c r="I52" s="40"/>
      <c r="J52" s="68"/>
      <c r="K52" s="407"/>
      <c r="L52" s="70"/>
      <c r="M52" s="71"/>
      <c r="N52" s="56"/>
      <c r="O52" s="72"/>
      <c r="P52" s="113">
        <f t="shared" si="0"/>
        <v>0</v>
      </c>
      <c r="Q52" s="117"/>
      <c r="R52" s="117"/>
      <c r="S52" s="117"/>
      <c r="T52" s="39">
        <f>Q52*O52</f>
        <v>0</v>
      </c>
      <c r="U52" s="138"/>
      <c r="V52" s="139"/>
      <c r="W52" s="121"/>
      <c r="X52" s="17"/>
      <c r="Y52" s="20"/>
      <c r="Z52" s="92"/>
      <c r="AA52" s="93"/>
      <c r="AB52" s="92"/>
      <c r="AC52" s="94"/>
      <c r="AD52" s="95"/>
      <c r="AE52" s="17"/>
      <c r="AF52" s="17"/>
      <c r="AG52" s="17"/>
      <c r="AH52" s="20"/>
      <c r="AI52" s="92"/>
      <c r="AJ52" s="93"/>
      <c r="AK52" s="92"/>
      <c r="AL52" s="94"/>
      <c r="AM52" s="95"/>
      <c r="AN52" s="17"/>
      <c r="AO52" s="17"/>
      <c r="AP52" s="17"/>
      <c r="AQ52" s="20"/>
      <c r="AR52" s="92"/>
      <c r="AS52" s="93"/>
      <c r="AT52" s="92"/>
      <c r="AU52" s="94"/>
      <c r="AV52" s="95"/>
      <c r="AW52" s="17"/>
      <c r="AX52" s="17"/>
      <c r="AY52" s="17"/>
      <c r="AZ52" s="20"/>
      <c r="BA52" s="92"/>
      <c r="BB52" s="93"/>
      <c r="BC52" s="92"/>
      <c r="BD52" s="94"/>
      <c r="BE52" s="95"/>
      <c r="BF52" s="17"/>
      <c r="BG52" s="17"/>
      <c r="BH52" s="17"/>
      <c r="BI52" s="20"/>
      <c r="BJ52" s="92"/>
      <c r="BK52" s="93"/>
      <c r="BL52" s="92"/>
      <c r="BM52" s="94"/>
      <c r="BN52" s="95"/>
      <c r="BO52" s="17"/>
      <c r="BP52" s="17"/>
      <c r="BQ52" s="17"/>
      <c r="BR52" s="20"/>
      <c r="BS52" s="92"/>
      <c r="BT52" s="93"/>
      <c r="BU52" s="92"/>
      <c r="BV52" s="94"/>
      <c r="BW52" s="95"/>
      <c r="BX52" s="17"/>
      <c r="BY52" s="17"/>
      <c r="BZ52" s="17"/>
      <c r="CA52" s="20"/>
      <c r="CB52" s="92"/>
      <c r="CC52" s="93"/>
      <c r="CD52" s="92"/>
      <c r="CE52" s="94"/>
      <c r="CF52" s="95"/>
      <c r="CG52" s="17"/>
      <c r="CH52" s="17"/>
      <c r="CI52" s="17"/>
      <c r="CJ52" s="20"/>
      <c r="CK52" s="92"/>
      <c r="CL52" s="93"/>
      <c r="CM52" s="92"/>
      <c r="CN52" s="94"/>
      <c r="CO52" s="95"/>
      <c r="CP52" s="17"/>
      <c r="CQ52" s="17"/>
      <c r="CR52" s="17"/>
      <c r="CS52" s="20"/>
      <c r="CT52" s="92"/>
      <c r="CU52" s="93"/>
      <c r="CV52" s="92"/>
      <c r="CW52" s="94"/>
      <c r="CX52" s="95"/>
      <c r="CY52" s="17"/>
      <c r="CZ52" s="17"/>
      <c r="DA52" s="17"/>
      <c r="DB52" s="20"/>
      <c r="DC52" s="92"/>
      <c r="DD52" s="93"/>
      <c r="DE52" s="92"/>
      <c r="DF52" s="94"/>
      <c r="DG52" s="95"/>
      <c r="DH52" s="17"/>
      <c r="DI52" s="17"/>
      <c r="DJ52" s="17"/>
      <c r="DK52" s="20"/>
      <c r="DL52" s="92"/>
      <c r="DM52" s="93"/>
      <c r="DN52" s="92"/>
      <c r="DO52" s="94"/>
      <c r="DP52" s="95"/>
      <c r="DQ52" s="17"/>
      <c r="DR52" s="17"/>
      <c r="DS52" s="17"/>
      <c r="DT52" s="20"/>
      <c r="DU52" s="92"/>
      <c r="DV52" s="93"/>
      <c r="DW52" s="92"/>
      <c r="DX52" s="94"/>
      <c r="DY52" s="95"/>
      <c r="DZ52" s="17"/>
      <c r="EA52" s="17"/>
      <c r="EB52" s="17"/>
      <c r="EC52" s="20"/>
      <c r="ED52" s="92"/>
      <c r="EE52" s="93"/>
      <c r="EF52" s="92"/>
      <c r="EG52" s="94"/>
      <c r="EH52" s="95"/>
      <c r="EI52" s="17"/>
      <c r="EJ52" s="17"/>
      <c r="EK52" s="17"/>
      <c r="EL52" s="20"/>
      <c r="EM52" s="92"/>
      <c r="EN52" s="93"/>
      <c r="EO52" s="92"/>
      <c r="EP52" s="94"/>
      <c r="EQ52" s="95"/>
      <c r="ER52" s="17"/>
      <c r="ES52" s="17"/>
      <c r="ET52" s="17"/>
      <c r="EU52" s="20"/>
      <c r="EV52" s="92"/>
      <c r="EW52" s="93"/>
      <c r="EX52" s="92"/>
      <c r="EY52" s="94"/>
      <c r="EZ52" s="95"/>
      <c r="FA52" s="17"/>
      <c r="FB52" s="17"/>
      <c r="FC52" s="17"/>
      <c r="FD52" s="20"/>
      <c r="FE52" s="92"/>
      <c r="FF52" s="93"/>
      <c r="FG52" s="92"/>
      <c r="FH52" s="94"/>
      <c r="FI52" s="95"/>
      <c r="FJ52" s="17"/>
      <c r="FK52" s="17"/>
      <c r="FL52" s="17"/>
      <c r="FM52" s="20"/>
      <c r="FN52" s="92"/>
      <c r="FO52" s="93"/>
      <c r="FP52" s="92"/>
      <c r="FQ52" s="94"/>
      <c r="FR52" s="95"/>
      <c r="FS52" s="17"/>
      <c r="FT52" s="17"/>
      <c r="FU52" s="17"/>
      <c r="FV52" s="20"/>
      <c r="FW52" s="92"/>
      <c r="FX52" s="93"/>
      <c r="FY52" s="92"/>
      <c r="FZ52" s="94"/>
      <c r="GA52" s="95"/>
      <c r="GB52" s="17"/>
      <c r="GC52" s="17"/>
      <c r="GD52" s="17"/>
      <c r="GE52" s="20"/>
      <c r="GF52" s="92"/>
      <c r="GG52" s="93"/>
      <c r="GH52" s="92"/>
      <c r="GI52" s="94"/>
      <c r="GJ52" s="95"/>
      <c r="GK52" s="17"/>
      <c r="GL52" s="17"/>
      <c r="GM52" s="17"/>
      <c r="GN52" s="20"/>
      <c r="GO52" s="92"/>
      <c r="GP52" s="93"/>
      <c r="GQ52" s="92"/>
      <c r="GR52" s="94"/>
      <c r="GS52" s="95"/>
      <c r="GT52" s="97"/>
      <c r="GU52" s="98"/>
      <c r="GV52" s="130"/>
      <c r="GW52" s="74"/>
      <c r="GX52" s="74"/>
      <c r="GY52" s="167"/>
      <c r="GZ52" s="86"/>
    </row>
    <row r="53" spans="1:208" x14ac:dyDescent="0.25">
      <c r="A53"/>
      <c r="D53" s="35"/>
      <c r="E53" s="36"/>
      <c r="F53" s="37"/>
      <c r="G53" s="38"/>
      <c r="H53" s="39"/>
      <c r="I53" s="40"/>
      <c r="J53" s="68"/>
      <c r="K53" s="407"/>
      <c r="L53" s="70"/>
      <c r="M53" s="71"/>
      <c r="N53" s="56"/>
      <c r="O53" s="72"/>
      <c r="P53" s="113">
        <f t="shared" si="0"/>
        <v>0</v>
      </c>
      <c r="Q53" s="117"/>
      <c r="R53" s="117"/>
      <c r="S53" s="140"/>
      <c r="T53" s="39">
        <f t="shared" si="1"/>
        <v>0</v>
      </c>
      <c r="U53" s="138"/>
      <c r="V53" s="112"/>
      <c r="W53" s="121"/>
      <c r="X53" s="17"/>
      <c r="Y53" s="20"/>
      <c r="Z53" s="92"/>
      <c r="AA53" s="93"/>
      <c r="AB53" s="92"/>
      <c r="AC53" s="94"/>
      <c r="AD53" s="95"/>
      <c r="AE53" s="17"/>
      <c r="AF53" s="17"/>
      <c r="AG53" s="17"/>
      <c r="AH53" s="20"/>
      <c r="AI53" s="92"/>
      <c r="AJ53" s="93"/>
      <c r="AK53" s="92"/>
      <c r="AL53" s="94"/>
      <c r="AM53" s="95"/>
      <c r="AN53" s="17"/>
      <c r="AO53" s="17"/>
      <c r="AP53" s="17"/>
      <c r="AQ53" s="20"/>
      <c r="AR53" s="92"/>
      <c r="AS53" s="93"/>
      <c r="AT53" s="92"/>
      <c r="AU53" s="94"/>
      <c r="AV53" s="95"/>
      <c r="AW53" s="17"/>
      <c r="AX53" s="17"/>
      <c r="AY53" s="17"/>
      <c r="AZ53" s="20"/>
      <c r="BA53" s="92"/>
      <c r="BB53" s="93"/>
      <c r="BC53" s="92"/>
      <c r="BD53" s="94"/>
      <c r="BE53" s="95"/>
      <c r="BF53" s="17"/>
      <c r="BG53" s="17"/>
      <c r="BH53" s="17"/>
      <c r="BI53" s="20"/>
      <c r="BJ53" s="92"/>
      <c r="BK53" s="93"/>
      <c r="BL53" s="92"/>
      <c r="BM53" s="94"/>
      <c r="BN53" s="95"/>
      <c r="BO53" s="17"/>
      <c r="BP53" s="17"/>
      <c r="BQ53" s="17"/>
      <c r="BR53" s="20"/>
      <c r="BS53" s="92"/>
      <c r="BT53" s="93"/>
      <c r="BU53" s="92"/>
      <c r="BV53" s="94"/>
      <c r="BW53" s="95"/>
      <c r="BX53" s="17"/>
      <c r="BY53" s="17"/>
      <c r="BZ53" s="17"/>
      <c r="CA53" s="20"/>
      <c r="CB53" s="92"/>
      <c r="CC53" s="93"/>
      <c r="CD53" s="92"/>
      <c r="CE53" s="94"/>
      <c r="CF53" s="95"/>
      <c r="CG53" s="17"/>
      <c r="CH53" s="17"/>
      <c r="CI53" s="17"/>
      <c r="CJ53" s="20"/>
      <c r="CK53" s="92"/>
      <c r="CL53" s="93"/>
      <c r="CM53" s="92"/>
      <c r="CN53" s="94"/>
      <c r="CO53" s="95"/>
      <c r="CP53" s="17"/>
      <c r="CQ53" s="17"/>
      <c r="CR53" s="17"/>
      <c r="CS53" s="20"/>
      <c r="CT53" s="92"/>
      <c r="CU53" s="93"/>
      <c r="CV53" s="92"/>
      <c r="CW53" s="94"/>
      <c r="CX53" s="95"/>
      <c r="CY53" s="17"/>
      <c r="CZ53" s="17"/>
      <c r="DA53" s="17"/>
      <c r="DB53" s="20"/>
      <c r="DC53" s="92"/>
      <c r="DD53" s="93"/>
      <c r="DE53" s="92"/>
      <c r="DF53" s="94"/>
      <c r="DG53" s="95"/>
      <c r="DH53" s="17"/>
      <c r="DI53" s="17"/>
      <c r="DJ53" s="17"/>
      <c r="DK53" s="20"/>
      <c r="DL53" s="92"/>
      <c r="DM53" s="93"/>
      <c r="DN53" s="92"/>
      <c r="DO53" s="94"/>
      <c r="DP53" s="95"/>
      <c r="DQ53" s="17"/>
      <c r="DR53" s="17"/>
      <c r="DS53" s="17"/>
      <c r="DT53" s="20"/>
      <c r="DU53" s="92"/>
      <c r="DV53" s="93"/>
      <c r="DW53" s="92"/>
      <c r="DX53" s="94"/>
      <c r="DY53" s="95"/>
      <c r="DZ53" s="17"/>
      <c r="EA53" s="17"/>
      <c r="EB53" s="17"/>
      <c r="EC53" s="20"/>
      <c r="ED53" s="92"/>
      <c r="EE53" s="93"/>
      <c r="EF53" s="92"/>
      <c r="EG53" s="94"/>
      <c r="EH53" s="95"/>
      <c r="EI53" s="17"/>
      <c r="EJ53" s="17"/>
      <c r="EK53" s="17"/>
      <c r="EL53" s="20"/>
      <c r="EM53" s="92"/>
      <c r="EN53" s="93"/>
      <c r="EO53" s="92"/>
      <c r="EP53" s="94"/>
      <c r="EQ53" s="95"/>
      <c r="ER53" s="17"/>
      <c r="ES53" s="17"/>
      <c r="ET53" s="17"/>
      <c r="EU53" s="20"/>
      <c r="EV53" s="92"/>
      <c r="EW53" s="93"/>
      <c r="EX53" s="92"/>
      <c r="EY53" s="94"/>
      <c r="EZ53" s="95"/>
      <c r="FA53" s="17"/>
      <c r="FB53" s="17"/>
      <c r="FC53" s="17"/>
      <c r="FD53" s="20"/>
      <c r="FE53" s="92"/>
      <c r="FF53" s="93"/>
      <c r="FG53" s="92"/>
      <c r="FH53" s="94"/>
      <c r="FI53" s="95"/>
      <c r="FJ53" s="17"/>
      <c r="FK53" s="17"/>
      <c r="FL53" s="17"/>
      <c r="FM53" s="20"/>
      <c r="FN53" s="92"/>
      <c r="FO53" s="93"/>
      <c r="FP53" s="92"/>
      <c r="FQ53" s="94"/>
      <c r="FR53" s="95"/>
      <c r="FS53" s="17"/>
      <c r="FT53" s="17"/>
      <c r="FU53" s="17"/>
      <c r="FV53" s="20"/>
      <c r="FW53" s="92"/>
      <c r="FX53" s="93"/>
      <c r="FY53" s="92"/>
      <c r="FZ53" s="94"/>
      <c r="GA53" s="95"/>
      <c r="GB53" s="17"/>
      <c r="GC53" s="17"/>
      <c r="GD53" s="17"/>
      <c r="GE53" s="20"/>
      <c r="GF53" s="92"/>
      <c r="GG53" s="93"/>
      <c r="GH53" s="92"/>
      <c r="GI53" s="94"/>
      <c r="GJ53" s="95"/>
      <c r="GK53" s="17"/>
      <c r="GL53" s="17"/>
      <c r="GM53" s="17"/>
      <c r="GN53" s="20"/>
      <c r="GO53" s="92"/>
      <c r="GP53" s="93"/>
      <c r="GQ53" s="92"/>
      <c r="GR53" s="94"/>
      <c r="GS53" s="95"/>
      <c r="GT53" s="97"/>
      <c r="GU53" s="98"/>
      <c r="GV53" s="130"/>
      <c r="GW53" s="74"/>
      <c r="GX53" s="74"/>
      <c r="GY53" s="167"/>
      <c r="GZ53" s="86"/>
    </row>
    <row r="54" spans="1:208" x14ac:dyDescent="0.25">
      <c r="A54"/>
      <c r="D54" s="35"/>
      <c r="E54" s="36"/>
      <c r="F54" s="37"/>
      <c r="G54" s="38"/>
      <c r="H54" s="39"/>
      <c r="I54" s="40"/>
      <c r="J54" s="68"/>
      <c r="K54" s="407"/>
      <c r="L54" s="70"/>
      <c r="M54" s="71"/>
      <c r="N54" s="56"/>
      <c r="O54" s="72"/>
      <c r="P54" s="113">
        <f t="shared" si="0"/>
        <v>0</v>
      </c>
      <c r="Q54" s="117"/>
      <c r="R54" s="117"/>
      <c r="S54" s="117"/>
      <c r="T54" s="39">
        <f t="shared" si="1"/>
        <v>0</v>
      </c>
      <c r="U54" s="138"/>
      <c r="V54" s="112"/>
      <c r="W54" s="121"/>
      <c r="X54" s="17"/>
      <c r="Y54" s="20"/>
      <c r="Z54" s="92"/>
      <c r="AA54" s="93"/>
      <c r="AB54" s="92"/>
      <c r="AC54" s="94"/>
      <c r="AD54" s="95"/>
      <c r="AE54" s="17"/>
      <c r="AF54" s="17"/>
      <c r="AG54" s="17"/>
      <c r="AH54" s="20"/>
      <c r="AI54" s="92"/>
      <c r="AJ54" s="93"/>
      <c r="AK54" s="92"/>
      <c r="AL54" s="94"/>
      <c r="AM54" s="95"/>
      <c r="AN54" s="17"/>
      <c r="AO54" s="17"/>
      <c r="AP54" s="17"/>
      <c r="AQ54" s="20"/>
      <c r="AR54" s="92"/>
      <c r="AS54" s="93"/>
      <c r="AT54" s="92"/>
      <c r="AU54" s="94"/>
      <c r="AV54" s="95"/>
      <c r="AW54" s="17"/>
      <c r="AX54" s="17"/>
      <c r="AY54" s="17"/>
      <c r="AZ54" s="20"/>
      <c r="BA54" s="92"/>
      <c r="BB54" s="93"/>
      <c r="BC54" s="92"/>
      <c r="BD54" s="94"/>
      <c r="BE54" s="95"/>
      <c r="BF54" s="17"/>
      <c r="BG54" s="17"/>
      <c r="BH54" s="17"/>
      <c r="BI54" s="20"/>
      <c r="BJ54" s="92"/>
      <c r="BK54" s="93"/>
      <c r="BL54" s="92"/>
      <c r="BM54" s="94"/>
      <c r="BN54" s="95"/>
      <c r="BO54" s="17"/>
      <c r="BP54" s="17"/>
      <c r="BQ54" s="17"/>
      <c r="BR54" s="20"/>
      <c r="BS54" s="92"/>
      <c r="BT54" s="93"/>
      <c r="BU54" s="92"/>
      <c r="BV54" s="94"/>
      <c r="BW54" s="95"/>
      <c r="BX54" s="17"/>
      <c r="BY54" s="17"/>
      <c r="BZ54" s="17"/>
      <c r="CA54" s="20"/>
      <c r="CB54" s="92"/>
      <c r="CC54" s="93"/>
      <c r="CD54" s="92"/>
      <c r="CE54" s="94"/>
      <c r="CF54" s="95"/>
      <c r="CG54" s="17"/>
      <c r="CH54" s="17"/>
      <c r="CI54" s="17"/>
      <c r="CJ54" s="20"/>
      <c r="CK54" s="92"/>
      <c r="CL54" s="93"/>
      <c r="CM54" s="92"/>
      <c r="CN54" s="94"/>
      <c r="CO54" s="95"/>
      <c r="CP54" s="17"/>
      <c r="CQ54" s="17"/>
      <c r="CR54" s="17"/>
      <c r="CS54" s="20"/>
      <c r="CT54" s="92"/>
      <c r="CU54" s="93"/>
      <c r="CV54" s="92"/>
      <c r="CW54" s="94"/>
      <c r="CX54" s="95"/>
      <c r="CY54" s="17"/>
      <c r="CZ54" s="17"/>
      <c r="DA54" s="17"/>
      <c r="DB54" s="20"/>
      <c r="DC54" s="92"/>
      <c r="DD54" s="93"/>
      <c r="DE54" s="92"/>
      <c r="DF54" s="94"/>
      <c r="DG54" s="95"/>
      <c r="DH54" s="17"/>
      <c r="DI54" s="17"/>
      <c r="DJ54" s="17"/>
      <c r="DK54" s="20"/>
      <c r="DL54" s="92"/>
      <c r="DM54" s="93"/>
      <c r="DN54" s="92"/>
      <c r="DO54" s="94"/>
      <c r="DP54" s="95"/>
      <c r="DQ54" s="17"/>
      <c r="DR54" s="17"/>
      <c r="DS54" s="17"/>
      <c r="DT54" s="20"/>
      <c r="DU54" s="92"/>
      <c r="DV54" s="93"/>
      <c r="DW54" s="92"/>
      <c r="DX54" s="94"/>
      <c r="DY54" s="95"/>
      <c r="DZ54" s="17"/>
      <c r="EA54" s="17"/>
      <c r="EB54" s="17"/>
      <c r="EC54" s="20"/>
      <c r="ED54" s="92"/>
      <c r="EE54" s="93"/>
      <c r="EF54" s="92"/>
      <c r="EG54" s="94"/>
      <c r="EH54" s="95"/>
      <c r="EI54" s="17"/>
      <c r="EJ54" s="17"/>
      <c r="EK54" s="17"/>
      <c r="EL54" s="20"/>
      <c r="EM54" s="92"/>
      <c r="EN54" s="93"/>
      <c r="EO54" s="92"/>
      <c r="EP54" s="94"/>
      <c r="EQ54" s="95"/>
      <c r="ER54" s="17"/>
      <c r="ES54" s="17"/>
      <c r="ET54" s="17"/>
      <c r="EU54" s="20"/>
      <c r="EV54" s="92"/>
      <c r="EW54" s="93"/>
      <c r="EX54" s="92"/>
      <c r="EY54" s="94"/>
      <c r="EZ54" s="95"/>
      <c r="FA54" s="17"/>
      <c r="FB54" s="17"/>
      <c r="FC54" s="17"/>
      <c r="FD54" s="20"/>
      <c r="FE54" s="92"/>
      <c r="FF54" s="93"/>
      <c r="FG54" s="92"/>
      <c r="FH54" s="94"/>
      <c r="FI54" s="95"/>
      <c r="FJ54" s="17"/>
      <c r="FK54" s="17"/>
      <c r="FL54" s="17"/>
      <c r="FM54" s="20"/>
      <c r="FN54" s="92"/>
      <c r="FO54" s="93"/>
      <c r="FP54" s="92"/>
      <c r="FQ54" s="94"/>
      <c r="FR54" s="95"/>
      <c r="FS54" s="17"/>
      <c r="FT54" s="17"/>
      <c r="FU54" s="17"/>
      <c r="FV54" s="20"/>
      <c r="FW54" s="92"/>
      <c r="FX54" s="93"/>
      <c r="FY54" s="92"/>
      <c r="FZ54" s="94"/>
      <c r="GA54" s="95"/>
      <c r="GB54" s="17"/>
      <c r="GC54" s="17"/>
      <c r="GD54" s="17"/>
      <c r="GE54" s="20"/>
      <c r="GF54" s="92"/>
      <c r="GG54" s="93"/>
      <c r="GH54" s="92"/>
      <c r="GI54" s="94"/>
      <c r="GJ54" s="95"/>
      <c r="GK54" s="17"/>
      <c r="GL54" s="17"/>
      <c r="GM54" s="17"/>
      <c r="GN54" s="20"/>
      <c r="GO54" s="92"/>
      <c r="GP54" s="93"/>
      <c r="GQ54" s="92"/>
      <c r="GR54" s="94"/>
      <c r="GS54" s="95"/>
      <c r="GT54" s="97"/>
      <c r="GU54" s="98"/>
      <c r="GV54" s="130"/>
      <c r="GW54" s="141"/>
      <c r="GX54" s="141"/>
      <c r="GY54" s="167"/>
      <c r="GZ54" s="86"/>
    </row>
    <row r="55" spans="1:208" x14ac:dyDescent="0.25">
      <c r="A55"/>
      <c r="D55" s="35"/>
      <c r="E55" s="36"/>
      <c r="F55" s="37"/>
      <c r="G55" s="38"/>
      <c r="H55" s="39"/>
      <c r="I55" s="40"/>
      <c r="J55" s="68"/>
      <c r="K55" s="407"/>
      <c r="L55" s="70"/>
      <c r="M55" s="71"/>
      <c r="N55" s="56"/>
      <c r="O55" s="72"/>
      <c r="P55" s="113">
        <f t="shared" si="0"/>
        <v>0</v>
      </c>
      <c r="Q55" s="117"/>
      <c r="R55" s="117"/>
      <c r="S55" s="117"/>
      <c r="T55" s="39">
        <f t="shared" si="1"/>
        <v>0</v>
      </c>
      <c r="U55" s="138"/>
      <c r="V55" s="112"/>
      <c r="W55" s="121"/>
      <c r="X55" s="17"/>
      <c r="Y55" s="20"/>
      <c r="Z55" s="92"/>
      <c r="AA55" s="93"/>
      <c r="AB55" s="92"/>
      <c r="AC55" s="94"/>
      <c r="AD55" s="95"/>
      <c r="AE55" s="17"/>
      <c r="AF55" s="17"/>
      <c r="AG55" s="17"/>
      <c r="AH55" s="20"/>
      <c r="AI55" s="92"/>
      <c r="AJ55" s="93"/>
      <c r="AK55" s="92"/>
      <c r="AL55" s="94"/>
      <c r="AM55" s="95"/>
      <c r="AN55" s="17"/>
      <c r="AO55" s="17"/>
      <c r="AP55" s="17"/>
      <c r="AQ55" s="20"/>
      <c r="AR55" s="92"/>
      <c r="AS55" s="93"/>
      <c r="AT55" s="92"/>
      <c r="AU55" s="94"/>
      <c r="AV55" s="95"/>
      <c r="AW55" s="17"/>
      <c r="AX55" s="17"/>
      <c r="AY55" s="17"/>
      <c r="AZ55" s="20"/>
      <c r="BA55" s="92"/>
      <c r="BB55" s="93"/>
      <c r="BC55" s="92"/>
      <c r="BD55" s="94"/>
      <c r="BE55" s="95"/>
      <c r="BF55" s="17"/>
      <c r="BG55" s="17"/>
      <c r="BH55" s="17"/>
      <c r="BI55" s="20"/>
      <c r="BJ55" s="92"/>
      <c r="BK55" s="93"/>
      <c r="BL55" s="92"/>
      <c r="BM55" s="94"/>
      <c r="BN55" s="95"/>
      <c r="BO55" s="17"/>
      <c r="BP55" s="17"/>
      <c r="BQ55" s="17"/>
      <c r="BR55" s="20"/>
      <c r="BS55" s="92"/>
      <c r="BT55" s="93"/>
      <c r="BU55" s="92"/>
      <c r="BV55" s="94"/>
      <c r="BW55" s="95"/>
      <c r="BX55" s="17"/>
      <c r="BY55" s="17"/>
      <c r="BZ55" s="17"/>
      <c r="CA55" s="20"/>
      <c r="CB55" s="92"/>
      <c r="CC55" s="93"/>
      <c r="CD55" s="92"/>
      <c r="CE55" s="94"/>
      <c r="CF55" s="95"/>
      <c r="CG55" s="17"/>
      <c r="CH55" s="17"/>
      <c r="CI55" s="17"/>
      <c r="CJ55" s="20"/>
      <c r="CK55" s="92"/>
      <c r="CL55" s="93"/>
      <c r="CM55" s="92"/>
      <c r="CN55" s="94"/>
      <c r="CO55" s="95"/>
      <c r="CP55" s="17"/>
      <c r="CQ55" s="17"/>
      <c r="CR55" s="17"/>
      <c r="CS55" s="20"/>
      <c r="CT55" s="92"/>
      <c r="CU55" s="93"/>
      <c r="CV55" s="92"/>
      <c r="CW55" s="94"/>
      <c r="CX55" s="95"/>
      <c r="CY55" s="17"/>
      <c r="CZ55" s="17"/>
      <c r="DA55" s="17"/>
      <c r="DB55" s="20"/>
      <c r="DC55" s="92"/>
      <c r="DD55" s="93"/>
      <c r="DE55" s="92"/>
      <c r="DF55" s="94"/>
      <c r="DG55" s="95"/>
      <c r="DH55" s="17"/>
      <c r="DI55" s="17"/>
      <c r="DJ55" s="17"/>
      <c r="DK55" s="20"/>
      <c r="DL55" s="92"/>
      <c r="DM55" s="93"/>
      <c r="DN55" s="92"/>
      <c r="DO55" s="94"/>
      <c r="DP55" s="95"/>
      <c r="DQ55" s="17"/>
      <c r="DR55" s="17"/>
      <c r="DS55" s="17"/>
      <c r="DT55" s="20"/>
      <c r="DU55" s="92"/>
      <c r="DV55" s="93"/>
      <c r="DW55" s="92"/>
      <c r="DX55" s="94"/>
      <c r="DY55" s="95"/>
      <c r="DZ55" s="17"/>
      <c r="EA55" s="17"/>
      <c r="EB55" s="17"/>
      <c r="EC55" s="20"/>
      <c r="ED55" s="92"/>
      <c r="EE55" s="93"/>
      <c r="EF55" s="92"/>
      <c r="EG55" s="94"/>
      <c r="EH55" s="95"/>
      <c r="EI55" s="17"/>
      <c r="EJ55" s="17"/>
      <c r="EK55" s="17"/>
      <c r="EL55" s="20"/>
      <c r="EM55" s="92"/>
      <c r="EN55" s="93"/>
      <c r="EO55" s="92"/>
      <c r="EP55" s="94"/>
      <c r="EQ55" s="95"/>
      <c r="ER55" s="17"/>
      <c r="ES55" s="17"/>
      <c r="ET55" s="17"/>
      <c r="EU55" s="20"/>
      <c r="EV55" s="92"/>
      <c r="EW55" s="93"/>
      <c r="EX55" s="92"/>
      <c r="EY55" s="94"/>
      <c r="EZ55" s="95"/>
      <c r="FA55" s="17"/>
      <c r="FB55" s="17"/>
      <c r="FC55" s="17"/>
      <c r="FD55" s="20"/>
      <c r="FE55" s="92"/>
      <c r="FF55" s="93"/>
      <c r="FG55" s="92"/>
      <c r="FH55" s="94"/>
      <c r="FI55" s="95"/>
      <c r="FJ55" s="17"/>
      <c r="FK55" s="17"/>
      <c r="FL55" s="17"/>
      <c r="FM55" s="20"/>
      <c r="FN55" s="92"/>
      <c r="FO55" s="93"/>
      <c r="FP55" s="92"/>
      <c r="FQ55" s="94"/>
      <c r="FR55" s="95"/>
      <c r="FS55" s="17"/>
      <c r="FT55" s="17"/>
      <c r="FU55" s="17"/>
      <c r="FV55" s="20"/>
      <c r="FW55" s="92"/>
      <c r="FX55" s="93"/>
      <c r="FY55" s="92"/>
      <c r="FZ55" s="94"/>
      <c r="GA55" s="95"/>
      <c r="GB55" s="17"/>
      <c r="GC55" s="17"/>
      <c r="GD55" s="17"/>
      <c r="GE55" s="20"/>
      <c r="GF55" s="92"/>
      <c r="GG55" s="93"/>
      <c r="GH55" s="92"/>
      <c r="GI55" s="94"/>
      <c r="GJ55" s="95"/>
      <c r="GK55" s="17"/>
      <c r="GL55" s="17"/>
      <c r="GM55" s="17"/>
      <c r="GN55" s="20"/>
      <c r="GO55" s="92"/>
      <c r="GP55" s="93"/>
      <c r="GQ55" s="92"/>
      <c r="GR55" s="94"/>
      <c r="GS55" s="95"/>
      <c r="GT55" s="97"/>
      <c r="GU55" s="98"/>
      <c r="GV55" s="130"/>
      <c r="GW55" s="141"/>
      <c r="GX55" s="141"/>
      <c r="GY55" s="167"/>
      <c r="GZ55" s="86"/>
    </row>
    <row r="56" spans="1:208" x14ac:dyDescent="0.25">
      <c r="A56"/>
      <c r="D56" s="35"/>
      <c r="E56" s="36"/>
      <c r="F56" s="37"/>
      <c r="G56" s="38"/>
      <c r="H56" s="39"/>
      <c r="I56" s="40"/>
      <c r="J56" s="76"/>
      <c r="K56" s="407"/>
      <c r="L56" s="70"/>
      <c r="M56" s="71"/>
      <c r="N56" s="142"/>
      <c r="O56" s="72"/>
      <c r="P56" s="113">
        <f t="shared" si="0"/>
        <v>0</v>
      </c>
      <c r="Q56" s="117"/>
      <c r="R56" s="117"/>
      <c r="S56" s="117"/>
      <c r="T56" s="39">
        <f t="shared" si="1"/>
        <v>0</v>
      </c>
      <c r="U56" s="143"/>
      <c r="V56" s="144"/>
      <c r="W56" s="145"/>
      <c r="X56" s="146"/>
      <c r="Y56" s="147"/>
      <c r="Z56" s="148"/>
      <c r="AA56" s="149"/>
      <c r="AB56" s="148"/>
      <c r="AC56" s="150"/>
      <c r="AD56" s="151"/>
      <c r="AE56" s="146"/>
      <c r="AF56" s="146"/>
      <c r="AG56" s="146"/>
      <c r="AH56" s="147"/>
      <c r="AI56" s="148"/>
      <c r="AJ56" s="149"/>
      <c r="AK56" s="148"/>
      <c r="AL56" s="150"/>
      <c r="AM56" s="151"/>
      <c r="AN56" s="146"/>
      <c r="AO56" s="146"/>
      <c r="AP56" s="146"/>
      <c r="AQ56" s="147"/>
      <c r="AR56" s="148"/>
      <c r="AS56" s="149"/>
      <c r="AT56" s="148"/>
      <c r="AU56" s="150"/>
      <c r="AV56" s="151"/>
      <c r="AW56" s="146"/>
      <c r="AX56" s="146"/>
      <c r="AY56" s="146"/>
      <c r="AZ56" s="147"/>
      <c r="BA56" s="148"/>
      <c r="BB56" s="149"/>
      <c r="BC56" s="148"/>
      <c r="BD56" s="150"/>
      <c r="BE56" s="151"/>
      <c r="BF56" s="146"/>
      <c r="BG56" s="146"/>
      <c r="BH56" s="146"/>
      <c r="BI56" s="147"/>
      <c r="BJ56" s="148"/>
      <c r="BK56" s="149"/>
      <c r="BL56" s="148"/>
      <c r="BM56" s="150"/>
      <c r="BN56" s="151"/>
      <c r="BO56" s="146"/>
      <c r="BP56" s="146"/>
      <c r="BQ56" s="146"/>
      <c r="BR56" s="147"/>
      <c r="BS56" s="148"/>
      <c r="BT56" s="149"/>
      <c r="BU56" s="148"/>
      <c r="BV56" s="150"/>
      <c r="BW56" s="151"/>
      <c r="BX56" s="146"/>
      <c r="BY56" s="146"/>
      <c r="BZ56" s="146"/>
      <c r="CA56" s="147"/>
      <c r="CB56" s="148"/>
      <c r="CC56" s="149"/>
      <c r="CD56" s="148"/>
      <c r="CE56" s="150"/>
      <c r="CF56" s="151"/>
      <c r="CG56" s="146"/>
      <c r="CH56" s="146"/>
      <c r="CI56" s="146"/>
      <c r="CJ56" s="147"/>
      <c r="CK56" s="148"/>
      <c r="CL56" s="149"/>
      <c r="CM56" s="148"/>
      <c r="CN56" s="150"/>
      <c r="CO56" s="151"/>
      <c r="CP56" s="146"/>
      <c r="CQ56" s="146"/>
      <c r="CR56" s="146"/>
      <c r="CS56" s="147"/>
      <c r="CT56" s="148"/>
      <c r="CU56" s="149"/>
      <c r="CV56" s="148"/>
      <c r="CW56" s="150"/>
      <c r="CX56" s="151"/>
      <c r="CY56" s="146"/>
      <c r="CZ56" s="146"/>
      <c r="DA56" s="146"/>
      <c r="DB56" s="147"/>
      <c r="DC56" s="148"/>
      <c r="DD56" s="149"/>
      <c r="DE56" s="148"/>
      <c r="DF56" s="150"/>
      <c r="DG56" s="151"/>
      <c r="DH56" s="146"/>
      <c r="DI56" s="146"/>
      <c r="DJ56" s="146"/>
      <c r="DK56" s="147"/>
      <c r="DL56" s="148"/>
      <c r="DM56" s="149"/>
      <c r="DN56" s="148"/>
      <c r="DO56" s="150"/>
      <c r="DP56" s="151"/>
      <c r="DQ56" s="146"/>
      <c r="DR56" s="146"/>
      <c r="DS56" s="146"/>
      <c r="DT56" s="147"/>
      <c r="DU56" s="148"/>
      <c r="DV56" s="149"/>
      <c r="DW56" s="148"/>
      <c r="DX56" s="150"/>
      <c r="DY56" s="151"/>
      <c r="DZ56" s="146"/>
      <c r="EA56" s="146"/>
      <c r="EB56" s="146"/>
      <c r="EC56" s="147"/>
      <c r="ED56" s="148"/>
      <c r="EE56" s="149"/>
      <c r="EF56" s="148"/>
      <c r="EG56" s="150"/>
      <c r="EH56" s="151"/>
      <c r="EI56" s="146"/>
      <c r="EJ56" s="146"/>
      <c r="EK56" s="146"/>
      <c r="EL56" s="147"/>
      <c r="EM56" s="148"/>
      <c r="EN56" s="149"/>
      <c r="EO56" s="148"/>
      <c r="EP56" s="150"/>
      <c r="EQ56" s="151"/>
      <c r="ER56" s="146"/>
      <c r="ES56" s="146"/>
      <c r="ET56" s="146"/>
      <c r="EU56" s="147"/>
      <c r="EV56" s="148"/>
      <c r="EW56" s="149"/>
      <c r="EX56" s="148"/>
      <c r="EY56" s="150"/>
      <c r="EZ56" s="151"/>
      <c r="FA56" s="146"/>
      <c r="FB56" s="146"/>
      <c r="FC56" s="146"/>
      <c r="FD56" s="147"/>
      <c r="FE56" s="148"/>
      <c r="FF56" s="149"/>
      <c r="FG56" s="148"/>
      <c r="FH56" s="150"/>
      <c r="FI56" s="151"/>
      <c r="FJ56" s="146"/>
      <c r="FK56" s="146"/>
      <c r="FL56" s="146"/>
      <c r="FM56" s="147"/>
      <c r="FN56" s="148"/>
      <c r="FO56" s="149"/>
      <c r="FP56" s="148"/>
      <c r="FQ56" s="150"/>
      <c r="FR56" s="151"/>
      <c r="FS56" s="146"/>
      <c r="FT56" s="146"/>
      <c r="FU56" s="146"/>
      <c r="FV56" s="147"/>
      <c r="FW56" s="148"/>
      <c r="FX56" s="149"/>
      <c r="FY56" s="148"/>
      <c r="FZ56" s="150"/>
      <c r="GA56" s="151"/>
      <c r="GB56" s="146"/>
      <c r="GC56" s="146"/>
      <c r="GD56" s="146"/>
      <c r="GE56" s="147"/>
      <c r="GF56" s="148"/>
      <c r="GG56" s="149"/>
      <c r="GH56" s="148"/>
      <c r="GI56" s="150"/>
      <c r="GJ56" s="151"/>
      <c r="GK56" s="146"/>
      <c r="GL56" s="146"/>
      <c r="GM56" s="146"/>
      <c r="GN56" s="147"/>
      <c r="GO56" s="148"/>
      <c r="GP56" s="149"/>
      <c r="GQ56" s="148"/>
      <c r="GR56" s="150"/>
      <c r="GS56" s="151"/>
      <c r="GT56" s="152"/>
      <c r="GU56" s="131"/>
      <c r="GV56" s="153"/>
      <c r="GW56" s="141"/>
      <c r="GX56" s="141"/>
      <c r="GY56" s="167"/>
      <c r="GZ56" s="86"/>
    </row>
    <row r="57" spans="1:208" x14ac:dyDescent="0.25">
      <c r="A57"/>
      <c r="D57" s="35"/>
      <c r="E57" s="36"/>
      <c r="F57" s="37"/>
      <c r="G57" s="38"/>
      <c r="H57" s="39"/>
      <c r="I57" s="40"/>
      <c r="J57" s="68"/>
      <c r="K57" s="407"/>
      <c r="L57" s="70"/>
      <c r="M57" s="71"/>
      <c r="N57" s="142"/>
      <c r="O57" s="72"/>
      <c r="P57" s="113">
        <f t="shared" si="0"/>
        <v>0</v>
      </c>
      <c r="Q57" s="117"/>
      <c r="R57" s="117"/>
      <c r="S57" s="117"/>
      <c r="T57" s="39">
        <f t="shared" si="1"/>
        <v>0</v>
      </c>
      <c r="U57" s="143"/>
      <c r="V57" s="154"/>
      <c r="W57" s="155"/>
      <c r="X57" s="146"/>
      <c r="Y57" s="147"/>
      <c r="Z57" s="148"/>
      <c r="AA57" s="149"/>
      <c r="AB57" s="148"/>
      <c r="AC57" s="150"/>
      <c r="AD57" s="151"/>
      <c r="AE57" s="146"/>
      <c r="AF57" s="146"/>
      <c r="AG57" s="146"/>
      <c r="AH57" s="147"/>
      <c r="AI57" s="148"/>
      <c r="AJ57" s="149"/>
      <c r="AK57" s="148"/>
      <c r="AL57" s="150"/>
      <c r="AM57" s="151"/>
      <c r="AN57" s="146"/>
      <c r="AO57" s="146"/>
      <c r="AP57" s="146"/>
      <c r="AQ57" s="147"/>
      <c r="AR57" s="148"/>
      <c r="AS57" s="149"/>
      <c r="AT57" s="148"/>
      <c r="AU57" s="150"/>
      <c r="AV57" s="151"/>
      <c r="AW57" s="146"/>
      <c r="AX57" s="146"/>
      <c r="AY57" s="146"/>
      <c r="AZ57" s="147"/>
      <c r="BA57" s="148"/>
      <c r="BB57" s="149"/>
      <c r="BC57" s="148"/>
      <c r="BD57" s="150"/>
      <c r="BE57" s="151"/>
      <c r="BF57" s="146"/>
      <c r="BG57" s="146"/>
      <c r="BH57" s="146"/>
      <c r="BI57" s="147"/>
      <c r="BJ57" s="148"/>
      <c r="BK57" s="149"/>
      <c r="BL57" s="148"/>
      <c r="BM57" s="150"/>
      <c r="BN57" s="151"/>
      <c r="BO57" s="146"/>
      <c r="BP57" s="146"/>
      <c r="BQ57" s="146"/>
      <c r="BR57" s="147"/>
      <c r="BS57" s="148"/>
      <c r="BT57" s="149"/>
      <c r="BU57" s="148"/>
      <c r="BV57" s="150"/>
      <c r="BW57" s="151"/>
      <c r="BX57" s="146"/>
      <c r="BY57" s="146"/>
      <c r="BZ57" s="146"/>
      <c r="CA57" s="147"/>
      <c r="CB57" s="148"/>
      <c r="CC57" s="149"/>
      <c r="CD57" s="148"/>
      <c r="CE57" s="150"/>
      <c r="CF57" s="151"/>
      <c r="CG57" s="146"/>
      <c r="CH57" s="146"/>
      <c r="CI57" s="146"/>
      <c r="CJ57" s="147"/>
      <c r="CK57" s="148"/>
      <c r="CL57" s="149"/>
      <c r="CM57" s="148"/>
      <c r="CN57" s="150"/>
      <c r="CO57" s="151"/>
      <c r="CP57" s="146"/>
      <c r="CQ57" s="146"/>
      <c r="CR57" s="146"/>
      <c r="CS57" s="147"/>
      <c r="CT57" s="148"/>
      <c r="CU57" s="149"/>
      <c r="CV57" s="148"/>
      <c r="CW57" s="150"/>
      <c r="CX57" s="151"/>
      <c r="CY57" s="146"/>
      <c r="CZ57" s="146"/>
      <c r="DA57" s="146"/>
      <c r="DB57" s="147"/>
      <c r="DC57" s="148"/>
      <c r="DD57" s="149"/>
      <c r="DE57" s="148"/>
      <c r="DF57" s="150"/>
      <c r="DG57" s="151"/>
      <c r="DH57" s="146"/>
      <c r="DI57" s="146"/>
      <c r="DJ57" s="146"/>
      <c r="DK57" s="147"/>
      <c r="DL57" s="148"/>
      <c r="DM57" s="149"/>
      <c r="DN57" s="148"/>
      <c r="DO57" s="150"/>
      <c r="DP57" s="151"/>
      <c r="DQ57" s="146"/>
      <c r="DR57" s="146"/>
      <c r="DS57" s="146"/>
      <c r="DT57" s="147"/>
      <c r="DU57" s="148"/>
      <c r="DV57" s="149"/>
      <c r="DW57" s="148"/>
      <c r="DX57" s="150"/>
      <c r="DY57" s="151"/>
      <c r="DZ57" s="146"/>
      <c r="EA57" s="146"/>
      <c r="EB57" s="146"/>
      <c r="EC57" s="147"/>
      <c r="ED57" s="148"/>
      <c r="EE57" s="149"/>
      <c r="EF57" s="148"/>
      <c r="EG57" s="150"/>
      <c r="EH57" s="151"/>
      <c r="EI57" s="146"/>
      <c r="EJ57" s="146"/>
      <c r="EK57" s="146"/>
      <c r="EL57" s="147"/>
      <c r="EM57" s="148"/>
      <c r="EN57" s="149"/>
      <c r="EO57" s="148"/>
      <c r="EP57" s="150"/>
      <c r="EQ57" s="151"/>
      <c r="ER57" s="146"/>
      <c r="ES57" s="146"/>
      <c r="ET57" s="146"/>
      <c r="EU57" s="147"/>
      <c r="EV57" s="148"/>
      <c r="EW57" s="149"/>
      <c r="EX57" s="148"/>
      <c r="EY57" s="150"/>
      <c r="EZ57" s="151"/>
      <c r="FA57" s="146"/>
      <c r="FB57" s="146"/>
      <c r="FC57" s="146"/>
      <c r="FD57" s="147"/>
      <c r="FE57" s="148"/>
      <c r="FF57" s="149"/>
      <c r="FG57" s="148"/>
      <c r="FH57" s="150"/>
      <c r="FI57" s="151"/>
      <c r="FJ57" s="146"/>
      <c r="FK57" s="146"/>
      <c r="FL57" s="146"/>
      <c r="FM57" s="147"/>
      <c r="FN57" s="148"/>
      <c r="FO57" s="149"/>
      <c r="FP57" s="148"/>
      <c r="FQ57" s="150"/>
      <c r="FR57" s="151"/>
      <c r="FS57" s="146"/>
      <c r="FT57" s="146"/>
      <c r="FU57" s="146"/>
      <c r="FV57" s="147"/>
      <c r="FW57" s="148"/>
      <c r="FX57" s="149"/>
      <c r="FY57" s="148"/>
      <c r="FZ57" s="150"/>
      <c r="GA57" s="151"/>
      <c r="GB57" s="146"/>
      <c r="GC57" s="146"/>
      <c r="GD57" s="146"/>
      <c r="GE57" s="147"/>
      <c r="GF57" s="148"/>
      <c r="GG57" s="149"/>
      <c r="GH57" s="148"/>
      <c r="GI57" s="150"/>
      <c r="GJ57" s="151"/>
      <c r="GK57" s="146"/>
      <c r="GL57" s="146"/>
      <c r="GM57" s="146"/>
      <c r="GN57" s="147"/>
      <c r="GO57" s="148"/>
      <c r="GP57" s="149"/>
      <c r="GQ57" s="148"/>
      <c r="GR57" s="150"/>
      <c r="GS57" s="151"/>
      <c r="GT57" s="154"/>
      <c r="GU57" s="156"/>
      <c r="GV57" s="153"/>
      <c r="GW57" s="141"/>
      <c r="GX57" s="141"/>
      <c r="GY57" s="167"/>
      <c r="GZ57" s="86"/>
    </row>
    <row r="58" spans="1:208" x14ac:dyDescent="0.25">
      <c r="A58"/>
      <c r="D58" s="35"/>
      <c r="E58" s="36"/>
      <c r="F58" s="37"/>
      <c r="G58" s="38"/>
      <c r="H58" s="39"/>
      <c r="I58" s="40"/>
      <c r="J58" s="68"/>
      <c r="K58" s="407"/>
      <c r="L58" s="70"/>
      <c r="M58" s="71"/>
      <c r="N58" s="142"/>
      <c r="O58" s="72"/>
      <c r="P58" s="113">
        <f t="shared" si="0"/>
        <v>0</v>
      </c>
      <c r="Q58" s="117"/>
      <c r="R58" s="117"/>
      <c r="S58" s="117"/>
      <c r="T58" s="39">
        <f t="shared" si="1"/>
        <v>0</v>
      </c>
      <c r="U58" s="143"/>
      <c r="V58" s="154"/>
      <c r="W58" s="157"/>
      <c r="X58" s="146"/>
      <c r="Y58" s="147"/>
      <c r="Z58" s="148"/>
      <c r="AA58" s="149"/>
      <c r="AB58" s="148"/>
      <c r="AC58" s="150"/>
      <c r="AD58" s="151"/>
      <c r="AE58" s="146"/>
      <c r="AF58" s="146"/>
      <c r="AG58" s="146"/>
      <c r="AH58" s="147"/>
      <c r="AI58" s="148"/>
      <c r="AJ58" s="149"/>
      <c r="AK58" s="148"/>
      <c r="AL58" s="150"/>
      <c r="AM58" s="151"/>
      <c r="AN58" s="146"/>
      <c r="AO58" s="146"/>
      <c r="AP58" s="146"/>
      <c r="AQ58" s="147"/>
      <c r="AR58" s="148"/>
      <c r="AS58" s="149"/>
      <c r="AT58" s="148"/>
      <c r="AU58" s="150"/>
      <c r="AV58" s="151"/>
      <c r="AW58" s="146"/>
      <c r="AX58" s="146"/>
      <c r="AY58" s="146"/>
      <c r="AZ58" s="147"/>
      <c r="BA58" s="148"/>
      <c r="BB58" s="149"/>
      <c r="BC58" s="148"/>
      <c r="BD58" s="150"/>
      <c r="BE58" s="151"/>
      <c r="BF58" s="146"/>
      <c r="BG58" s="146"/>
      <c r="BH58" s="146"/>
      <c r="BI58" s="147"/>
      <c r="BJ58" s="148"/>
      <c r="BK58" s="149"/>
      <c r="BL58" s="148"/>
      <c r="BM58" s="150"/>
      <c r="BN58" s="151"/>
      <c r="BO58" s="146"/>
      <c r="BP58" s="146"/>
      <c r="BQ58" s="146"/>
      <c r="BR58" s="147"/>
      <c r="BS58" s="148"/>
      <c r="BT58" s="149"/>
      <c r="BU58" s="148"/>
      <c r="BV58" s="150"/>
      <c r="BW58" s="151"/>
      <c r="BX58" s="146"/>
      <c r="BY58" s="146"/>
      <c r="BZ58" s="146"/>
      <c r="CA58" s="147"/>
      <c r="CB58" s="148"/>
      <c r="CC58" s="149"/>
      <c r="CD58" s="148"/>
      <c r="CE58" s="150"/>
      <c r="CF58" s="151"/>
      <c r="CG58" s="146"/>
      <c r="CH58" s="146"/>
      <c r="CI58" s="146"/>
      <c r="CJ58" s="147"/>
      <c r="CK58" s="148"/>
      <c r="CL58" s="149"/>
      <c r="CM58" s="148"/>
      <c r="CN58" s="150"/>
      <c r="CO58" s="151"/>
      <c r="CP58" s="146"/>
      <c r="CQ58" s="146"/>
      <c r="CR58" s="146"/>
      <c r="CS58" s="147"/>
      <c r="CT58" s="148"/>
      <c r="CU58" s="149"/>
      <c r="CV58" s="148"/>
      <c r="CW58" s="150"/>
      <c r="CX58" s="151"/>
      <c r="CY58" s="146"/>
      <c r="CZ58" s="146"/>
      <c r="DA58" s="146"/>
      <c r="DB58" s="147"/>
      <c r="DC58" s="148"/>
      <c r="DD58" s="149"/>
      <c r="DE58" s="148"/>
      <c r="DF58" s="150"/>
      <c r="DG58" s="151"/>
      <c r="DH58" s="146"/>
      <c r="DI58" s="146"/>
      <c r="DJ58" s="146"/>
      <c r="DK58" s="147"/>
      <c r="DL58" s="148"/>
      <c r="DM58" s="149"/>
      <c r="DN58" s="148"/>
      <c r="DO58" s="150"/>
      <c r="DP58" s="151"/>
      <c r="DQ58" s="146"/>
      <c r="DR58" s="146"/>
      <c r="DS58" s="146"/>
      <c r="DT58" s="147"/>
      <c r="DU58" s="148"/>
      <c r="DV58" s="149"/>
      <c r="DW58" s="148"/>
      <c r="DX58" s="150"/>
      <c r="DY58" s="151"/>
      <c r="DZ58" s="146"/>
      <c r="EA58" s="146"/>
      <c r="EB58" s="146"/>
      <c r="EC58" s="147"/>
      <c r="ED58" s="148"/>
      <c r="EE58" s="149"/>
      <c r="EF58" s="148"/>
      <c r="EG58" s="150"/>
      <c r="EH58" s="151"/>
      <c r="EI58" s="146"/>
      <c r="EJ58" s="146"/>
      <c r="EK58" s="146"/>
      <c r="EL58" s="147"/>
      <c r="EM58" s="148"/>
      <c r="EN58" s="149"/>
      <c r="EO58" s="148"/>
      <c r="EP58" s="150"/>
      <c r="EQ58" s="151"/>
      <c r="ER58" s="146"/>
      <c r="ES58" s="146"/>
      <c r="ET58" s="146"/>
      <c r="EU58" s="147"/>
      <c r="EV58" s="148"/>
      <c r="EW58" s="149"/>
      <c r="EX58" s="148"/>
      <c r="EY58" s="150"/>
      <c r="EZ58" s="151"/>
      <c r="FA58" s="146"/>
      <c r="FB58" s="146"/>
      <c r="FC58" s="146"/>
      <c r="FD58" s="147"/>
      <c r="FE58" s="148"/>
      <c r="FF58" s="149"/>
      <c r="FG58" s="148"/>
      <c r="FH58" s="150"/>
      <c r="FI58" s="151"/>
      <c r="FJ58" s="146"/>
      <c r="FK58" s="146"/>
      <c r="FL58" s="146"/>
      <c r="FM58" s="147"/>
      <c r="FN58" s="148"/>
      <c r="FO58" s="149"/>
      <c r="FP58" s="148"/>
      <c r="FQ58" s="150"/>
      <c r="FR58" s="151"/>
      <c r="FS58" s="146"/>
      <c r="FT58" s="146"/>
      <c r="FU58" s="146"/>
      <c r="FV58" s="147"/>
      <c r="FW58" s="148"/>
      <c r="FX58" s="149"/>
      <c r="FY58" s="148"/>
      <c r="FZ58" s="150"/>
      <c r="GA58" s="151"/>
      <c r="GB58" s="146"/>
      <c r="GC58" s="146"/>
      <c r="GD58" s="146"/>
      <c r="GE58" s="147"/>
      <c r="GF58" s="148"/>
      <c r="GG58" s="149"/>
      <c r="GH58" s="148"/>
      <c r="GI58" s="150"/>
      <c r="GJ58" s="151"/>
      <c r="GK58" s="146"/>
      <c r="GL58" s="146"/>
      <c r="GM58" s="146"/>
      <c r="GN58" s="147"/>
      <c r="GO58" s="148"/>
      <c r="GP58" s="149"/>
      <c r="GQ58" s="148"/>
      <c r="GR58" s="150"/>
      <c r="GS58" s="151"/>
      <c r="GT58" s="154"/>
      <c r="GU58" s="156"/>
      <c r="GV58" s="153"/>
      <c r="GW58" s="141"/>
      <c r="GX58" s="141"/>
      <c r="GY58" s="167"/>
      <c r="GZ58" s="86"/>
    </row>
    <row r="59" spans="1:208" x14ac:dyDescent="0.25">
      <c r="A59"/>
      <c r="D59" s="35"/>
      <c r="E59" s="36"/>
      <c r="F59" s="37"/>
      <c r="G59" s="38"/>
      <c r="H59" s="39"/>
      <c r="I59" s="40"/>
      <c r="J59" s="68"/>
      <c r="K59" s="407"/>
      <c r="L59" s="70"/>
      <c r="M59" s="71"/>
      <c r="N59" s="142"/>
      <c r="O59" s="72"/>
      <c r="P59" s="113">
        <f t="shared" si="0"/>
        <v>0</v>
      </c>
      <c r="Q59" s="117"/>
      <c r="R59" s="117"/>
      <c r="S59" s="117"/>
      <c r="T59" s="39">
        <f t="shared" si="1"/>
        <v>0</v>
      </c>
      <c r="U59" s="143"/>
      <c r="V59" s="154"/>
      <c r="W59" s="155"/>
      <c r="X59" s="146"/>
      <c r="Y59" s="147"/>
      <c r="Z59" s="148"/>
      <c r="AA59" s="149"/>
      <c r="AB59" s="148"/>
      <c r="AC59" s="150"/>
      <c r="AD59" s="151"/>
      <c r="AE59" s="146"/>
      <c r="AF59" s="146"/>
      <c r="AG59" s="146"/>
      <c r="AH59" s="147"/>
      <c r="AI59" s="148"/>
      <c r="AJ59" s="149"/>
      <c r="AK59" s="148"/>
      <c r="AL59" s="150"/>
      <c r="AM59" s="151"/>
      <c r="AN59" s="146"/>
      <c r="AO59" s="146"/>
      <c r="AP59" s="146"/>
      <c r="AQ59" s="147"/>
      <c r="AR59" s="148"/>
      <c r="AS59" s="149"/>
      <c r="AT59" s="148"/>
      <c r="AU59" s="150"/>
      <c r="AV59" s="151"/>
      <c r="AW59" s="146"/>
      <c r="AX59" s="146"/>
      <c r="AY59" s="146"/>
      <c r="AZ59" s="147"/>
      <c r="BA59" s="148"/>
      <c r="BB59" s="149"/>
      <c r="BC59" s="148"/>
      <c r="BD59" s="150"/>
      <c r="BE59" s="151"/>
      <c r="BF59" s="146"/>
      <c r="BG59" s="146"/>
      <c r="BH59" s="146"/>
      <c r="BI59" s="147"/>
      <c r="BJ59" s="148"/>
      <c r="BK59" s="149"/>
      <c r="BL59" s="148"/>
      <c r="BM59" s="150"/>
      <c r="BN59" s="151"/>
      <c r="BO59" s="146"/>
      <c r="BP59" s="146"/>
      <c r="BQ59" s="146"/>
      <c r="BR59" s="147"/>
      <c r="BS59" s="148"/>
      <c r="BT59" s="149"/>
      <c r="BU59" s="148"/>
      <c r="BV59" s="150"/>
      <c r="BW59" s="151"/>
      <c r="BX59" s="146"/>
      <c r="BY59" s="146"/>
      <c r="BZ59" s="146"/>
      <c r="CA59" s="147"/>
      <c r="CB59" s="148"/>
      <c r="CC59" s="149"/>
      <c r="CD59" s="148"/>
      <c r="CE59" s="150"/>
      <c r="CF59" s="151"/>
      <c r="CG59" s="146"/>
      <c r="CH59" s="146"/>
      <c r="CI59" s="146"/>
      <c r="CJ59" s="147"/>
      <c r="CK59" s="148"/>
      <c r="CL59" s="149"/>
      <c r="CM59" s="148"/>
      <c r="CN59" s="150"/>
      <c r="CO59" s="151"/>
      <c r="CP59" s="146"/>
      <c r="CQ59" s="146"/>
      <c r="CR59" s="146"/>
      <c r="CS59" s="147"/>
      <c r="CT59" s="148"/>
      <c r="CU59" s="149"/>
      <c r="CV59" s="148"/>
      <c r="CW59" s="150"/>
      <c r="CX59" s="151"/>
      <c r="CY59" s="146"/>
      <c r="CZ59" s="146"/>
      <c r="DA59" s="146"/>
      <c r="DB59" s="147"/>
      <c r="DC59" s="148"/>
      <c r="DD59" s="149"/>
      <c r="DE59" s="148"/>
      <c r="DF59" s="150"/>
      <c r="DG59" s="151"/>
      <c r="DH59" s="146"/>
      <c r="DI59" s="146"/>
      <c r="DJ59" s="146"/>
      <c r="DK59" s="147"/>
      <c r="DL59" s="148"/>
      <c r="DM59" s="149"/>
      <c r="DN59" s="148"/>
      <c r="DO59" s="150"/>
      <c r="DP59" s="151"/>
      <c r="DQ59" s="146"/>
      <c r="DR59" s="146"/>
      <c r="DS59" s="146"/>
      <c r="DT59" s="147"/>
      <c r="DU59" s="148"/>
      <c r="DV59" s="149"/>
      <c r="DW59" s="148"/>
      <c r="DX59" s="150"/>
      <c r="DY59" s="151"/>
      <c r="DZ59" s="146"/>
      <c r="EA59" s="146"/>
      <c r="EB59" s="146"/>
      <c r="EC59" s="147"/>
      <c r="ED59" s="148"/>
      <c r="EE59" s="149"/>
      <c r="EF59" s="148"/>
      <c r="EG59" s="150"/>
      <c r="EH59" s="151"/>
      <c r="EI59" s="146"/>
      <c r="EJ59" s="146"/>
      <c r="EK59" s="146"/>
      <c r="EL59" s="147"/>
      <c r="EM59" s="148"/>
      <c r="EN59" s="149"/>
      <c r="EO59" s="148"/>
      <c r="EP59" s="150"/>
      <c r="EQ59" s="151"/>
      <c r="ER59" s="146"/>
      <c r="ES59" s="146"/>
      <c r="ET59" s="146"/>
      <c r="EU59" s="147"/>
      <c r="EV59" s="148"/>
      <c r="EW59" s="149"/>
      <c r="EX59" s="148"/>
      <c r="EY59" s="150"/>
      <c r="EZ59" s="151"/>
      <c r="FA59" s="146"/>
      <c r="FB59" s="146"/>
      <c r="FC59" s="146"/>
      <c r="FD59" s="147"/>
      <c r="FE59" s="148"/>
      <c r="FF59" s="149"/>
      <c r="FG59" s="148"/>
      <c r="FH59" s="150"/>
      <c r="FI59" s="151"/>
      <c r="FJ59" s="146"/>
      <c r="FK59" s="146"/>
      <c r="FL59" s="146"/>
      <c r="FM59" s="147"/>
      <c r="FN59" s="148"/>
      <c r="FO59" s="149"/>
      <c r="FP59" s="148"/>
      <c r="FQ59" s="150"/>
      <c r="FR59" s="151"/>
      <c r="FS59" s="146"/>
      <c r="FT59" s="146"/>
      <c r="FU59" s="146"/>
      <c r="FV59" s="147"/>
      <c r="FW59" s="148"/>
      <c r="FX59" s="149"/>
      <c r="FY59" s="148"/>
      <c r="FZ59" s="150"/>
      <c r="GA59" s="151"/>
      <c r="GB59" s="146"/>
      <c r="GC59" s="146"/>
      <c r="GD59" s="146"/>
      <c r="GE59" s="147"/>
      <c r="GF59" s="148"/>
      <c r="GG59" s="149"/>
      <c r="GH59" s="148"/>
      <c r="GI59" s="150"/>
      <c r="GJ59" s="151"/>
      <c r="GK59" s="146"/>
      <c r="GL59" s="146"/>
      <c r="GM59" s="146"/>
      <c r="GN59" s="147"/>
      <c r="GO59" s="148"/>
      <c r="GP59" s="149"/>
      <c r="GQ59" s="148"/>
      <c r="GR59" s="150"/>
      <c r="GS59" s="151"/>
      <c r="GT59" s="154"/>
      <c r="GU59" s="156"/>
      <c r="GV59" s="153"/>
      <c r="GW59" s="141"/>
      <c r="GX59" s="141"/>
      <c r="GY59" s="167"/>
      <c r="GZ59" s="86"/>
    </row>
    <row r="60" spans="1:208" x14ac:dyDescent="0.25">
      <c r="A60"/>
      <c r="D60" s="35"/>
      <c r="E60" s="36"/>
      <c r="F60" s="37"/>
      <c r="G60" s="38"/>
      <c r="H60" s="39"/>
      <c r="I60" s="40"/>
      <c r="J60" s="68"/>
      <c r="K60" s="407"/>
      <c r="L60" s="70"/>
      <c r="M60" s="71"/>
      <c r="N60" s="142"/>
      <c r="O60" s="72"/>
      <c r="P60" s="113">
        <f t="shared" si="0"/>
        <v>0</v>
      </c>
      <c r="Q60" s="117"/>
      <c r="R60" s="117"/>
      <c r="S60" s="117"/>
      <c r="T60" s="39">
        <f t="shared" si="1"/>
        <v>0</v>
      </c>
      <c r="U60" s="143"/>
      <c r="V60" s="154"/>
      <c r="W60" s="155"/>
      <c r="X60" s="158"/>
      <c r="Y60" s="159"/>
      <c r="Z60" s="160"/>
      <c r="AA60" s="161"/>
      <c r="AB60" s="160"/>
      <c r="AC60" s="162"/>
      <c r="AD60" s="163"/>
      <c r="AE60" s="158"/>
      <c r="AF60" s="158"/>
      <c r="AG60" s="158"/>
      <c r="AH60" s="159"/>
      <c r="AI60" s="160"/>
      <c r="AJ60" s="161"/>
      <c r="AK60" s="160"/>
      <c r="AL60" s="162"/>
      <c r="AM60" s="163"/>
      <c r="AN60" s="158"/>
      <c r="AO60" s="158"/>
      <c r="AP60" s="158"/>
      <c r="AQ60" s="159"/>
      <c r="AR60" s="160"/>
      <c r="AS60" s="161"/>
      <c r="AT60" s="160"/>
      <c r="AU60" s="162"/>
      <c r="AV60" s="163"/>
      <c r="AW60" s="158"/>
      <c r="AX60" s="158"/>
      <c r="AY60" s="158"/>
      <c r="AZ60" s="159"/>
      <c r="BA60" s="160"/>
      <c r="BB60" s="161"/>
      <c r="BC60" s="160"/>
      <c r="BD60" s="162"/>
      <c r="BE60" s="163"/>
      <c r="BF60" s="158"/>
      <c r="BG60" s="158"/>
      <c r="BH60" s="158"/>
      <c r="BI60" s="159"/>
      <c r="BJ60" s="160"/>
      <c r="BK60" s="161"/>
      <c r="BL60" s="160"/>
      <c r="BM60" s="162"/>
      <c r="BN60" s="163"/>
      <c r="BO60" s="158"/>
      <c r="BP60" s="158"/>
      <c r="BQ60" s="158"/>
      <c r="BR60" s="159"/>
      <c r="BS60" s="160"/>
      <c r="BT60" s="161"/>
      <c r="BU60" s="160"/>
      <c r="BV60" s="162"/>
      <c r="BW60" s="163"/>
      <c r="BX60" s="158"/>
      <c r="BY60" s="158"/>
      <c r="BZ60" s="158"/>
      <c r="CA60" s="159"/>
      <c r="CB60" s="160"/>
      <c r="CC60" s="161"/>
      <c r="CD60" s="160"/>
      <c r="CE60" s="162"/>
      <c r="CF60" s="163"/>
      <c r="CG60" s="158"/>
      <c r="CH60" s="158"/>
      <c r="CI60" s="158"/>
      <c r="CJ60" s="159"/>
      <c r="CK60" s="160"/>
      <c r="CL60" s="161"/>
      <c r="CM60" s="160"/>
      <c r="CN60" s="162"/>
      <c r="CO60" s="163"/>
      <c r="CP60" s="158"/>
      <c r="CQ60" s="158"/>
      <c r="CR60" s="158"/>
      <c r="CS60" s="159"/>
      <c r="CT60" s="160"/>
      <c r="CU60" s="161"/>
      <c r="CV60" s="160"/>
      <c r="CW60" s="162"/>
      <c r="CX60" s="163"/>
      <c r="CY60" s="158"/>
      <c r="CZ60" s="158"/>
      <c r="DA60" s="158"/>
      <c r="DB60" s="159"/>
      <c r="DC60" s="160"/>
      <c r="DD60" s="161"/>
      <c r="DE60" s="160"/>
      <c r="DF60" s="162"/>
      <c r="DG60" s="163"/>
      <c r="DH60" s="158"/>
      <c r="DI60" s="158"/>
      <c r="DJ60" s="158"/>
      <c r="DK60" s="159"/>
      <c r="DL60" s="160"/>
      <c r="DM60" s="161"/>
      <c r="DN60" s="160"/>
      <c r="DO60" s="162"/>
      <c r="DP60" s="163"/>
      <c r="DQ60" s="158"/>
      <c r="DR60" s="158"/>
      <c r="DS60" s="158"/>
      <c r="DT60" s="159"/>
      <c r="DU60" s="160"/>
      <c r="DV60" s="161"/>
      <c r="DW60" s="160"/>
      <c r="DX60" s="162"/>
      <c r="DY60" s="163"/>
      <c r="DZ60" s="158"/>
      <c r="EA60" s="158"/>
      <c r="EB60" s="158"/>
      <c r="EC60" s="159"/>
      <c r="ED60" s="160"/>
      <c r="EE60" s="161"/>
      <c r="EF60" s="160"/>
      <c r="EG60" s="162"/>
      <c r="EH60" s="163"/>
      <c r="EI60" s="158"/>
      <c r="EJ60" s="158"/>
      <c r="EK60" s="158"/>
      <c r="EL60" s="159"/>
      <c r="EM60" s="160"/>
      <c r="EN60" s="161"/>
      <c r="EO60" s="160"/>
      <c r="EP60" s="162"/>
      <c r="EQ60" s="163"/>
      <c r="ER60" s="158"/>
      <c r="ES60" s="158"/>
      <c r="ET60" s="158"/>
      <c r="EU60" s="159"/>
      <c r="EV60" s="160"/>
      <c r="EW60" s="161"/>
      <c r="EX60" s="160"/>
      <c r="EY60" s="162"/>
      <c r="EZ60" s="163"/>
      <c r="FA60" s="158"/>
      <c r="FB60" s="158"/>
      <c r="FC60" s="158"/>
      <c r="FD60" s="159"/>
      <c r="FE60" s="160"/>
      <c r="FF60" s="161"/>
      <c r="FG60" s="160"/>
      <c r="FH60" s="162"/>
      <c r="FI60" s="163"/>
      <c r="FJ60" s="158"/>
      <c r="FK60" s="158"/>
      <c r="FL60" s="158"/>
      <c r="FM60" s="159"/>
      <c r="FN60" s="160"/>
      <c r="FO60" s="161"/>
      <c r="FP60" s="160"/>
      <c r="FQ60" s="162"/>
      <c r="FR60" s="163"/>
      <c r="FS60" s="158"/>
      <c r="FT60" s="158"/>
      <c r="FU60" s="158"/>
      <c r="FV60" s="159"/>
      <c r="FW60" s="160"/>
      <c r="FX60" s="161"/>
      <c r="FY60" s="160"/>
      <c r="FZ60" s="162"/>
      <c r="GA60" s="163"/>
      <c r="GB60" s="158"/>
      <c r="GC60" s="158"/>
      <c r="GD60" s="158"/>
      <c r="GE60" s="159"/>
      <c r="GF60" s="160"/>
      <c r="GG60" s="161"/>
      <c r="GH60" s="160"/>
      <c r="GI60" s="162"/>
      <c r="GJ60" s="163"/>
      <c r="GK60" s="158"/>
      <c r="GL60" s="158"/>
      <c r="GM60" s="158"/>
      <c r="GN60" s="159"/>
      <c r="GO60" s="160"/>
      <c r="GP60" s="161"/>
      <c r="GQ60" s="160"/>
      <c r="GR60" s="162"/>
      <c r="GS60" s="163"/>
      <c r="GT60" s="154"/>
      <c r="GU60" s="156"/>
      <c r="GV60" s="153"/>
      <c r="GW60" s="141"/>
      <c r="GX60" s="141"/>
      <c r="GY60" s="167"/>
      <c r="GZ60" s="86"/>
    </row>
    <row r="61" spans="1:208" x14ac:dyDescent="0.25">
      <c r="A61"/>
      <c r="D61" s="35"/>
      <c r="E61" s="36"/>
      <c r="F61" s="37"/>
      <c r="G61" s="38"/>
      <c r="H61" s="39"/>
      <c r="I61" s="40"/>
      <c r="J61" s="68"/>
      <c r="K61" s="407"/>
      <c r="L61" s="70"/>
      <c r="M61" s="71"/>
      <c r="N61" s="164"/>
      <c r="O61" s="72"/>
      <c r="P61" s="113">
        <f t="shared" si="0"/>
        <v>0</v>
      </c>
      <c r="Q61" s="117"/>
      <c r="R61" s="117"/>
      <c r="S61" s="117"/>
      <c r="T61" s="39">
        <f t="shared" si="1"/>
        <v>0</v>
      </c>
      <c r="U61" s="143"/>
      <c r="V61" s="154"/>
      <c r="W61" s="165"/>
      <c r="X61" s="158"/>
      <c r="Y61" s="159"/>
      <c r="Z61" s="160"/>
      <c r="AA61" s="161"/>
      <c r="AB61" s="160"/>
      <c r="AC61" s="162"/>
      <c r="AD61" s="163"/>
      <c r="AE61" s="158"/>
      <c r="AF61" s="158"/>
      <c r="AG61" s="158"/>
      <c r="AH61" s="159"/>
      <c r="AI61" s="160"/>
      <c r="AJ61" s="161"/>
      <c r="AK61" s="160"/>
      <c r="AL61" s="162"/>
      <c r="AM61" s="163"/>
      <c r="AN61" s="158"/>
      <c r="AO61" s="158"/>
      <c r="AP61" s="158"/>
      <c r="AQ61" s="159"/>
      <c r="AR61" s="160"/>
      <c r="AS61" s="161"/>
      <c r="AT61" s="160"/>
      <c r="AU61" s="162"/>
      <c r="AV61" s="163"/>
      <c r="AW61" s="158"/>
      <c r="AX61" s="158"/>
      <c r="AY61" s="158"/>
      <c r="AZ61" s="159"/>
      <c r="BA61" s="160"/>
      <c r="BB61" s="161"/>
      <c r="BC61" s="160"/>
      <c r="BD61" s="162"/>
      <c r="BE61" s="163"/>
      <c r="BF61" s="158"/>
      <c r="BG61" s="158"/>
      <c r="BH61" s="158"/>
      <c r="BI61" s="159"/>
      <c r="BJ61" s="160"/>
      <c r="BK61" s="161"/>
      <c r="BL61" s="160"/>
      <c r="BM61" s="162"/>
      <c r="BN61" s="163"/>
      <c r="BO61" s="158"/>
      <c r="BP61" s="158"/>
      <c r="BQ61" s="158"/>
      <c r="BR61" s="159"/>
      <c r="BS61" s="160"/>
      <c r="BT61" s="161"/>
      <c r="BU61" s="160"/>
      <c r="BV61" s="162"/>
      <c r="BW61" s="163"/>
      <c r="BX61" s="158"/>
      <c r="BY61" s="158"/>
      <c r="BZ61" s="158"/>
      <c r="CA61" s="159"/>
      <c r="CB61" s="160"/>
      <c r="CC61" s="161"/>
      <c r="CD61" s="160"/>
      <c r="CE61" s="162"/>
      <c r="CF61" s="163"/>
      <c r="CG61" s="158"/>
      <c r="CH61" s="158"/>
      <c r="CI61" s="158"/>
      <c r="CJ61" s="159"/>
      <c r="CK61" s="160"/>
      <c r="CL61" s="161"/>
      <c r="CM61" s="160"/>
      <c r="CN61" s="162"/>
      <c r="CO61" s="163"/>
      <c r="CP61" s="158"/>
      <c r="CQ61" s="158"/>
      <c r="CR61" s="158"/>
      <c r="CS61" s="159"/>
      <c r="CT61" s="160"/>
      <c r="CU61" s="161"/>
      <c r="CV61" s="160"/>
      <c r="CW61" s="162"/>
      <c r="CX61" s="163"/>
      <c r="CY61" s="158"/>
      <c r="CZ61" s="158"/>
      <c r="DA61" s="158"/>
      <c r="DB61" s="159"/>
      <c r="DC61" s="160"/>
      <c r="DD61" s="161"/>
      <c r="DE61" s="160"/>
      <c r="DF61" s="162"/>
      <c r="DG61" s="163"/>
      <c r="DH61" s="158"/>
      <c r="DI61" s="158"/>
      <c r="DJ61" s="158"/>
      <c r="DK61" s="159"/>
      <c r="DL61" s="160"/>
      <c r="DM61" s="161"/>
      <c r="DN61" s="160"/>
      <c r="DO61" s="162"/>
      <c r="DP61" s="163"/>
      <c r="DQ61" s="158"/>
      <c r="DR61" s="158"/>
      <c r="DS61" s="158"/>
      <c r="DT61" s="159"/>
      <c r="DU61" s="160"/>
      <c r="DV61" s="161"/>
      <c r="DW61" s="160"/>
      <c r="DX61" s="162"/>
      <c r="DY61" s="163"/>
      <c r="DZ61" s="158"/>
      <c r="EA61" s="158"/>
      <c r="EB61" s="158"/>
      <c r="EC61" s="159"/>
      <c r="ED61" s="160"/>
      <c r="EE61" s="161"/>
      <c r="EF61" s="160"/>
      <c r="EG61" s="162"/>
      <c r="EH61" s="163"/>
      <c r="EI61" s="158"/>
      <c r="EJ61" s="158"/>
      <c r="EK61" s="158"/>
      <c r="EL61" s="159"/>
      <c r="EM61" s="160"/>
      <c r="EN61" s="161"/>
      <c r="EO61" s="160"/>
      <c r="EP61" s="162"/>
      <c r="EQ61" s="163"/>
      <c r="ER61" s="158"/>
      <c r="ES61" s="158"/>
      <c r="ET61" s="158"/>
      <c r="EU61" s="159"/>
      <c r="EV61" s="160"/>
      <c r="EW61" s="161"/>
      <c r="EX61" s="160"/>
      <c r="EY61" s="162"/>
      <c r="EZ61" s="163"/>
      <c r="FA61" s="158"/>
      <c r="FB61" s="158"/>
      <c r="FC61" s="158"/>
      <c r="FD61" s="159"/>
      <c r="FE61" s="160"/>
      <c r="FF61" s="161"/>
      <c r="FG61" s="160"/>
      <c r="FH61" s="162"/>
      <c r="FI61" s="163"/>
      <c r="FJ61" s="158"/>
      <c r="FK61" s="158"/>
      <c r="FL61" s="158"/>
      <c r="FM61" s="159"/>
      <c r="FN61" s="160"/>
      <c r="FO61" s="161"/>
      <c r="FP61" s="160"/>
      <c r="FQ61" s="162"/>
      <c r="FR61" s="163"/>
      <c r="FS61" s="158"/>
      <c r="FT61" s="158"/>
      <c r="FU61" s="158"/>
      <c r="FV61" s="159"/>
      <c r="FW61" s="160"/>
      <c r="FX61" s="161"/>
      <c r="FY61" s="160"/>
      <c r="FZ61" s="162"/>
      <c r="GA61" s="163"/>
      <c r="GB61" s="158"/>
      <c r="GC61" s="158"/>
      <c r="GD61" s="158"/>
      <c r="GE61" s="159"/>
      <c r="GF61" s="160"/>
      <c r="GG61" s="161"/>
      <c r="GH61" s="160"/>
      <c r="GI61" s="162"/>
      <c r="GJ61" s="163"/>
      <c r="GK61" s="158"/>
      <c r="GL61" s="158"/>
      <c r="GM61" s="158"/>
      <c r="GN61" s="159"/>
      <c r="GO61" s="160"/>
      <c r="GP61" s="161"/>
      <c r="GQ61" s="160"/>
      <c r="GR61" s="162"/>
      <c r="GS61" s="163"/>
      <c r="GT61" s="154"/>
      <c r="GU61" s="156"/>
      <c r="GV61" s="153"/>
      <c r="GW61" s="66"/>
      <c r="GX61" s="66"/>
      <c r="GY61" s="167"/>
      <c r="GZ61" s="86"/>
    </row>
    <row r="62" spans="1:208" x14ac:dyDescent="0.25">
      <c r="A62"/>
      <c r="D62" s="35"/>
      <c r="E62" s="36"/>
      <c r="F62" s="37"/>
      <c r="G62" s="38"/>
      <c r="H62" s="39"/>
      <c r="I62" s="40"/>
      <c r="J62" s="68"/>
      <c r="K62" s="407"/>
      <c r="L62" s="70"/>
      <c r="M62" s="71"/>
      <c r="N62" s="56"/>
      <c r="O62" s="72"/>
      <c r="P62" s="113">
        <f t="shared" si="0"/>
        <v>0</v>
      </c>
      <c r="Q62" s="117"/>
      <c r="R62" s="117"/>
      <c r="S62" s="117"/>
      <c r="T62" s="39">
        <f t="shared" si="1"/>
        <v>0</v>
      </c>
      <c r="U62" s="138"/>
      <c r="V62" s="166"/>
      <c r="W62" s="86"/>
      <c r="X62" s="68"/>
      <c r="Y62" s="167"/>
      <c r="Z62" s="168"/>
      <c r="AA62" s="169"/>
      <c r="AB62" s="168"/>
      <c r="AC62" s="170"/>
      <c r="AD62" s="171"/>
      <c r="AE62" s="68"/>
      <c r="AF62" s="68"/>
      <c r="AG62" s="68"/>
      <c r="AH62" s="167"/>
      <c r="AI62" s="168"/>
      <c r="AJ62" s="169"/>
      <c r="AK62" s="168"/>
      <c r="AL62" s="170"/>
      <c r="AM62" s="171"/>
      <c r="AN62" s="68"/>
      <c r="AO62" s="68"/>
      <c r="AP62" s="68"/>
      <c r="AQ62" s="167"/>
      <c r="AR62" s="168"/>
      <c r="AS62" s="169"/>
      <c r="AT62" s="168"/>
      <c r="AU62" s="170"/>
      <c r="AV62" s="171"/>
      <c r="AW62" s="68"/>
      <c r="AX62" s="68"/>
      <c r="AY62" s="68"/>
      <c r="AZ62" s="167"/>
      <c r="BA62" s="168"/>
      <c r="BB62" s="169"/>
      <c r="BC62" s="168"/>
      <c r="BD62" s="170"/>
      <c r="BE62" s="171"/>
      <c r="BF62" s="68"/>
      <c r="BG62" s="68"/>
      <c r="BH62" s="68"/>
      <c r="BI62" s="167"/>
      <c r="BJ62" s="168"/>
      <c r="BK62" s="169"/>
      <c r="BL62" s="168"/>
      <c r="BM62" s="170"/>
      <c r="BN62" s="171"/>
      <c r="BO62" s="68"/>
      <c r="BP62" s="68"/>
      <c r="BQ62" s="68"/>
      <c r="BR62" s="167"/>
      <c r="BS62" s="168"/>
      <c r="BT62" s="169"/>
      <c r="BU62" s="168"/>
      <c r="BV62" s="170"/>
      <c r="BW62" s="171"/>
      <c r="BX62" s="68"/>
      <c r="BY62" s="68"/>
      <c r="BZ62" s="68"/>
      <c r="CA62" s="167"/>
      <c r="CB62" s="168"/>
      <c r="CC62" s="169"/>
      <c r="CD62" s="168"/>
      <c r="CE62" s="170"/>
      <c r="CF62" s="171"/>
      <c r="CG62" s="68"/>
      <c r="CH62" s="68"/>
      <c r="CI62" s="68"/>
      <c r="CJ62" s="167"/>
      <c r="CK62" s="168"/>
      <c r="CL62" s="169"/>
      <c r="CM62" s="168"/>
      <c r="CN62" s="170"/>
      <c r="CO62" s="171"/>
      <c r="CP62" s="68"/>
      <c r="CQ62" s="68"/>
      <c r="CR62" s="68"/>
      <c r="CS62" s="167"/>
      <c r="CT62" s="168"/>
      <c r="CU62" s="169"/>
      <c r="CV62" s="168"/>
      <c r="CW62" s="170"/>
      <c r="CX62" s="171"/>
      <c r="CY62" s="68"/>
      <c r="CZ62" s="68"/>
      <c r="DA62" s="68"/>
      <c r="DB62" s="167"/>
      <c r="DC62" s="168"/>
      <c r="DD62" s="169"/>
      <c r="DE62" s="168"/>
      <c r="DF62" s="170"/>
      <c r="DG62" s="171"/>
      <c r="DH62" s="68"/>
      <c r="DI62" s="68"/>
      <c r="DJ62" s="68"/>
      <c r="DK62" s="167"/>
      <c r="DL62" s="168"/>
      <c r="DM62" s="169"/>
      <c r="DN62" s="168"/>
      <c r="DO62" s="170"/>
      <c r="DP62" s="171"/>
      <c r="DQ62" s="68"/>
      <c r="DR62" s="68"/>
      <c r="DS62" s="68"/>
      <c r="DT62" s="167"/>
      <c r="DU62" s="168"/>
      <c r="DV62" s="169"/>
      <c r="DW62" s="168"/>
      <c r="DX62" s="170"/>
      <c r="DY62" s="171"/>
      <c r="DZ62" s="68"/>
      <c r="EA62" s="68"/>
      <c r="EB62" s="68"/>
      <c r="EC62" s="167"/>
      <c r="ED62" s="168"/>
      <c r="EE62" s="169"/>
      <c r="EF62" s="168"/>
      <c r="EG62" s="170"/>
      <c r="EH62" s="171"/>
      <c r="EI62" s="68"/>
      <c r="EJ62" s="68"/>
      <c r="EK62" s="68"/>
      <c r="EL62" s="167"/>
      <c r="EM62" s="168"/>
      <c r="EN62" s="169"/>
      <c r="EO62" s="168"/>
      <c r="EP62" s="170"/>
      <c r="EQ62" s="171"/>
      <c r="ER62" s="68"/>
      <c r="ES62" s="68"/>
      <c r="ET62" s="68"/>
      <c r="EU62" s="167"/>
      <c r="EV62" s="168"/>
      <c r="EW62" s="169"/>
      <c r="EX62" s="168"/>
      <c r="EY62" s="170"/>
      <c r="EZ62" s="171"/>
      <c r="FA62" s="68"/>
      <c r="FB62" s="68"/>
      <c r="FC62" s="68"/>
      <c r="FD62" s="167"/>
      <c r="FE62" s="168"/>
      <c r="FF62" s="169"/>
      <c r="FG62" s="168"/>
      <c r="FH62" s="170"/>
      <c r="FI62" s="171"/>
      <c r="FJ62" s="68"/>
      <c r="FK62" s="68"/>
      <c r="FL62" s="68"/>
      <c r="FM62" s="167"/>
      <c r="FN62" s="168"/>
      <c r="FO62" s="169"/>
      <c r="FP62" s="168"/>
      <c r="FQ62" s="170"/>
      <c r="FR62" s="171"/>
      <c r="FS62" s="68"/>
      <c r="FT62" s="68"/>
      <c r="FU62" s="68"/>
      <c r="FV62" s="167"/>
      <c r="FW62" s="168"/>
      <c r="FX62" s="169"/>
      <c r="FY62" s="168"/>
      <c r="FZ62" s="170"/>
      <c r="GA62" s="171"/>
      <c r="GB62" s="68"/>
      <c r="GC62" s="68"/>
      <c r="GD62" s="68"/>
      <c r="GE62" s="167"/>
      <c r="GF62" s="168"/>
      <c r="GG62" s="169"/>
      <c r="GH62" s="168"/>
      <c r="GI62" s="170"/>
      <c r="GJ62" s="171"/>
      <c r="GK62" s="68"/>
      <c r="GL62" s="68"/>
      <c r="GM62" s="68"/>
      <c r="GN62" s="167"/>
      <c r="GO62" s="168"/>
      <c r="GP62" s="169"/>
      <c r="GQ62" s="168"/>
      <c r="GR62" s="170"/>
      <c r="GS62" s="171"/>
      <c r="GT62" s="166"/>
      <c r="GU62" s="64"/>
      <c r="GV62" s="65"/>
      <c r="GW62" s="66"/>
      <c r="GX62" s="66"/>
      <c r="GY62" s="167"/>
      <c r="GZ62" s="86"/>
    </row>
    <row r="63" spans="1:208" x14ac:dyDescent="0.25">
      <c r="A63"/>
      <c r="D63" s="35"/>
      <c r="E63" s="36"/>
      <c r="F63" s="37"/>
      <c r="G63" s="38"/>
      <c r="H63" s="39"/>
      <c r="I63" s="40"/>
      <c r="J63" s="68"/>
      <c r="K63" s="407"/>
      <c r="L63" s="70"/>
      <c r="M63" s="71"/>
      <c r="N63" s="56"/>
      <c r="O63" s="72"/>
      <c r="P63" s="113">
        <f t="shared" si="0"/>
        <v>0</v>
      </c>
      <c r="Q63" s="117"/>
      <c r="R63" s="117"/>
      <c r="S63" s="117"/>
      <c r="T63" s="39">
        <f t="shared" si="1"/>
        <v>0</v>
      </c>
      <c r="U63" s="138"/>
      <c r="V63" s="166"/>
      <c r="W63" s="86"/>
      <c r="X63" s="68"/>
      <c r="Y63" s="167"/>
      <c r="Z63" s="168"/>
      <c r="AA63" s="169"/>
      <c r="AB63" s="168"/>
      <c r="AC63" s="170"/>
      <c r="AD63" s="171"/>
      <c r="AE63" s="68"/>
      <c r="AF63" s="68"/>
      <c r="AG63" s="68"/>
      <c r="AH63" s="167"/>
      <c r="AI63" s="168"/>
      <c r="AJ63" s="169"/>
      <c r="AK63" s="168"/>
      <c r="AL63" s="170"/>
      <c r="AM63" s="171"/>
      <c r="AN63" s="68"/>
      <c r="AO63" s="68"/>
      <c r="AP63" s="68"/>
      <c r="AQ63" s="167"/>
      <c r="AR63" s="168"/>
      <c r="AS63" s="169"/>
      <c r="AT63" s="168"/>
      <c r="AU63" s="170"/>
      <c r="AV63" s="171"/>
      <c r="AW63" s="68"/>
      <c r="AX63" s="68"/>
      <c r="AY63" s="68"/>
      <c r="AZ63" s="167"/>
      <c r="BA63" s="168"/>
      <c r="BB63" s="169"/>
      <c r="BC63" s="168"/>
      <c r="BD63" s="170"/>
      <c r="BE63" s="171"/>
      <c r="BF63" s="68"/>
      <c r="BG63" s="68"/>
      <c r="BH63" s="68"/>
      <c r="BI63" s="167"/>
      <c r="BJ63" s="168"/>
      <c r="BK63" s="169"/>
      <c r="BL63" s="168"/>
      <c r="BM63" s="170"/>
      <c r="BN63" s="171"/>
      <c r="BO63" s="68"/>
      <c r="BP63" s="68"/>
      <c r="BQ63" s="68"/>
      <c r="BR63" s="167"/>
      <c r="BS63" s="168"/>
      <c r="BT63" s="169"/>
      <c r="BU63" s="168"/>
      <c r="BV63" s="170"/>
      <c r="BW63" s="171"/>
      <c r="BX63" s="68"/>
      <c r="BY63" s="68"/>
      <c r="BZ63" s="68"/>
      <c r="CA63" s="167"/>
      <c r="CB63" s="168"/>
      <c r="CC63" s="169"/>
      <c r="CD63" s="168"/>
      <c r="CE63" s="170"/>
      <c r="CF63" s="171"/>
      <c r="CG63" s="68"/>
      <c r="CH63" s="68"/>
      <c r="CI63" s="68"/>
      <c r="CJ63" s="167"/>
      <c r="CK63" s="168"/>
      <c r="CL63" s="169"/>
      <c r="CM63" s="168"/>
      <c r="CN63" s="170"/>
      <c r="CO63" s="171"/>
      <c r="CP63" s="68"/>
      <c r="CQ63" s="68"/>
      <c r="CR63" s="68"/>
      <c r="CS63" s="167"/>
      <c r="CT63" s="168"/>
      <c r="CU63" s="169"/>
      <c r="CV63" s="168"/>
      <c r="CW63" s="170"/>
      <c r="CX63" s="171"/>
      <c r="CY63" s="68"/>
      <c r="CZ63" s="68"/>
      <c r="DA63" s="68"/>
      <c r="DB63" s="167"/>
      <c r="DC63" s="168"/>
      <c r="DD63" s="169"/>
      <c r="DE63" s="168"/>
      <c r="DF63" s="170"/>
      <c r="DG63" s="171"/>
      <c r="DH63" s="68"/>
      <c r="DI63" s="68"/>
      <c r="DJ63" s="68"/>
      <c r="DK63" s="167"/>
      <c r="DL63" s="168"/>
      <c r="DM63" s="169"/>
      <c r="DN63" s="168"/>
      <c r="DO63" s="170"/>
      <c r="DP63" s="171"/>
      <c r="DQ63" s="68"/>
      <c r="DR63" s="68"/>
      <c r="DS63" s="68"/>
      <c r="DT63" s="167"/>
      <c r="DU63" s="168"/>
      <c r="DV63" s="169"/>
      <c r="DW63" s="168"/>
      <c r="DX63" s="170"/>
      <c r="DY63" s="171"/>
      <c r="DZ63" s="68"/>
      <c r="EA63" s="68"/>
      <c r="EB63" s="68"/>
      <c r="EC63" s="167"/>
      <c r="ED63" s="168"/>
      <c r="EE63" s="169"/>
      <c r="EF63" s="168"/>
      <c r="EG63" s="170"/>
      <c r="EH63" s="171"/>
      <c r="EI63" s="68"/>
      <c r="EJ63" s="68"/>
      <c r="EK63" s="68"/>
      <c r="EL63" s="167"/>
      <c r="EM63" s="168"/>
      <c r="EN63" s="169"/>
      <c r="EO63" s="168"/>
      <c r="EP63" s="170"/>
      <c r="EQ63" s="171"/>
      <c r="ER63" s="68"/>
      <c r="ES63" s="68"/>
      <c r="ET63" s="68"/>
      <c r="EU63" s="167"/>
      <c r="EV63" s="168"/>
      <c r="EW63" s="169"/>
      <c r="EX63" s="168"/>
      <c r="EY63" s="170"/>
      <c r="EZ63" s="171"/>
      <c r="FA63" s="68"/>
      <c r="FB63" s="68"/>
      <c r="FC63" s="68"/>
      <c r="FD63" s="167"/>
      <c r="FE63" s="168"/>
      <c r="FF63" s="169"/>
      <c r="FG63" s="168"/>
      <c r="FH63" s="170"/>
      <c r="FI63" s="171"/>
      <c r="FJ63" s="68"/>
      <c r="FK63" s="68"/>
      <c r="FL63" s="68"/>
      <c r="FM63" s="167"/>
      <c r="FN63" s="168"/>
      <c r="FO63" s="169"/>
      <c r="FP63" s="168"/>
      <c r="FQ63" s="170"/>
      <c r="FR63" s="171"/>
      <c r="FS63" s="68"/>
      <c r="FT63" s="68"/>
      <c r="FU63" s="68"/>
      <c r="FV63" s="167"/>
      <c r="FW63" s="168"/>
      <c r="FX63" s="169"/>
      <c r="FY63" s="168"/>
      <c r="FZ63" s="170"/>
      <c r="GA63" s="171"/>
      <c r="GB63" s="68"/>
      <c r="GC63" s="68"/>
      <c r="GD63" s="68"/>
      <c r="GE63" s="167"/>
      <c r="GF63" s="168"/>
      <c r="GG63" s="169"/>
      <c r="GH63" s="168"/>
      <c r="GI63" s="170"/>
      <c r="GJ63" s="171"/>
      <c r="GK63" s="68"/>
      <c r="GL63" s="68"/>
      <c r="GM63" s="68"/>
      <c r="GN63" s="167"/>
      <c r="GO63" s="168"/>
      <c r="GP63" s="169"/>
      <c r="GQ63" s="168"/>
      <c r="GR63" s="170"/>
      <c r="GS63" s="171"/>
      <c r="GT63" s="166"/>
      <c r="GU63" s="64"/>
      <c r="GV63" s="65"/>
      <c r="GW63" s="66"/>
      <c r="GX63" s="66"/>
      <c r="GY63" s="167"/>
      <c r="GZ63" s="86"/>
    </row>
    <row r="64" spans="1:208" x14ac:dyDescent="0.25">
      <c r="A64"/>
      <c r="D64" s="35"/>
      <c r="E64" s="36"/>
      <c r="F64" s="37"/>
      <c r="G64" s="38"/>
      <c r="H64" s="39"/>
      <c r="I64" s="40"/>
      <c r="J64" s="68"/>
      <c r="K64" s="407"/>
      <c r="L64" s="70"/>
      <c r="M64" s="71"/>
      <c r="N64" s="56"/>
      <c r="O64" s="72"/>
      <c r="P64" s="113">
        <f t="shared" si="0"/>
        <v>0</v>
      </c>
      <c r="Q64" s="117"/>
      <c r="R64" s="117"/>
      <c r="S64" s="117"/>
      <c r="T64" s="39">
        <f t="shared" si="1"/>
        <v>0</v>
      </c>
      <c r="U64" s="138"/>
      <c r="V64" s="166"/>
      <c r="W64" s="86"/>
      <c r="X64" s="68"/>
      <c r="Y64" s="167"/>
      <c r="Z64" s="168"/>
      <c r="AA64" s="169"/>
      <c r="AB64" s="168"/>
      <c r="AC64" s="170"/>
      <c r="AD64" s="171"/>
      <c r="AE64" s="68"/>
      <c r="AF64" s="68"/>
      <c r="AG64" s="68"/>
      <c r="AH64" s="167"/>
      <c r="AI64" s="168"/>
      <c r="AJ64" s="169"/>
      <c r="AK64" s="168"/>
      <c r="AL64" s="170"/>
      <c r="AM64" s="171"/>
      <c r="AN64" s="68"/>
      <c r="AO64" s="68"/>
      <c r="AP64" s="68"/>
      <c r="AQ64" s="167"/>
      <c r="AR64" s="168"/>
      <c r="AS64" s="169"/>
      <c r="AT64" s="168"/>
      <c r="AU64" s="170"/>
      <c r="AV64" s="171"/>
      <c r="AW64" s="68"/>
      <c r="AX64" s="68"/>
      <c r="AY64" s="68"/>
      <c r="AZ64" s="167"/>
      <c r="BA64" s="168"/>
      <c r="BB64" s="169"/>
      <c r="BC64" s="168"/>
      <c r="BD64" s="170"/>
      <c r="BE64" s="171"/>
      <c r="BF64" s="68"/>
      <c r="BG64" s="68"/>
      <c r="BH64" s="68"/>
      <c r="BI64" s="167"/>
      <c r="BJ64" s="168"/>
      <c r="BK64" s="169"/>
      <c r="BL64" s="168"/>
      <c r="BM64" s="170"/>
      <c r="BN64" s="171"/>
      <c r="BO64" s="68"/>
      <c r="BP64" s="68"/>
      <c r="BQ64" s="68"/>
      <c r="BR64" s="167"/>
      <c r="BS64" s="168"/>
      <c r="BT64" s="169"/>
      <c r="BU64" s="168"/>
      <c r="BV64" s="170"/>
      <c r="BW64" s="171"/>
      <c r="BX64" s="68"/>
      <c r="BY64" s="68"/>
      <c r="BZ64" s="68"/>
      <c r="CA64" s="167"/>
      <c r="CB64" s="168"/>
      <c r="CC64" s="169"/>
      <c r="CD64" s="168"/>
      <c r="CE64" s="170"/>
      <c r="CF64" s="171"/>
      <c r="CG64" s="68"/>
      <c r="CH64" s="68"/>
      <c r="CI64" s="68"/>
      <c r="CJ64" s="167"/>
      <c r="CK64" s="168"/>
      <c r="CL64" s="169"/>
      <c r="CM64" s="168"/>
      <c r="CN64" s="170"/>
      <c r="CO64" s="171"/>
      <c r="CP64" s="68"/>
      <c r="CQ64" s="68"/>
      <c r="CR64" s="68"/>
      <c r="CS64" s="167"/>
      <c r="CT64" s="168"/>
      <c r="CU64" s="169"/>
      <c r="CV64" s="168"/>
      <c r="CW64" s="170"/>
      <c r="CX64" s="171"/>
      <c r="CY64" s="68"/>
      <c r="CZ64" s="68"/>
      <c r="DA64" s="68"/>
      <c r="DB64" s="167"/>
      <c r="DC64" s="168"/>
      <c r="DD64" s="169"/>
      <c r="DE64" s="168"/>
      <c r="DF64" s="170"/>
      <c r="DG64" s="171"/>
      <c r="DH64" s="68"/>
      <c r="DI64" s="68"/>
      <c r="DJ64" s="68"/>
      <c r="DK64" s="167"/>
      <c r="DL64" s="168"/>
      <c r="DM64" s="169"/>
      <c r="DN64" s="168"/>
      <c r="DO64" s="170"/>
      <c r="DP64" s="171"/>
      <c r="DQ64" s="68"/>
      <c r="DR64" s="68"/>
      <c r="DS64" s="68"/>
      <c r="DT64" s="167"/>
      <c r="DU64" s="168"/>
      <c r="DV64" s="169"/>
      <c r="DW64" s="168"/>
      <c r="DX64" s="170"/>
      <c r="DY64" s="171"/>
      <c r="DZ64" s="68"/>
      <c r="EA64" s="68"/>
      <c r="EB64" s="68"/>
      <c r="EC64" s="167"/>
      <c r="ED64" s="168"/>
      <c r="EE64" s="169"/>
      <c r="EF64" s="168"/>
      <c r="EG64" s="170"/>
      <c r="EH64" s="171"/>
      <c r="EI64" s="68"/>
      <c r="EJ64" s="68"/>
      <c r="EK64" s="68"/>
      <c r="EL64" s="167"/>
      <c r="EM64" s="168"/>
      <c r="EN64" s="169"/>
      <c r="EO64" s="168"/>
      <c r="EP64" s="170"/>
      <c r="EQ64" s="171"/>
      <c r="ER64" s="68"/>
      <c r="ES64" s="68"/>
      <c r="ET64" s="68"/>
      <c r="EU64" s="167"/>
      <c r="EV64" s="168"/>
      <c r="EW64" s="169"/>
      <c r="EX64" s="168"/>
      <c r="EY64" s="170"/>
      <c r="EZ64" s="171"/>
      <c r="FA64" s="68"/>
      <c r="FB64" s="68"/>
      <c r="FC64" s="68"/>
      <c r="FD64" s="167"/>
      <c r="FE64" s="168"/>
      <c r="FF64" s="169"/>
      <c r="FG64" s="168"/>
      <c r="FH64" s="170"/>
      <c r="FI64" s="171"/>
      <c r="FJ64" s="68"/>
      <c r="FK64" s="68"/>
      <c r="FL64" s="68"/>
      <c r="FM64" s="167"/>
      <c r="FN64" s="168"/>
      <c r="FO64" s="169"/>
      <c r="FP64" s="168"/>
      <c r="FQ64" s="170"/>
      <c r="FR64" s="171"/>
      <c r="FS64" s="68"/>
      <c r="FT64" s="68"/>
      <c r="FU64" s="68"/>
      <c r="FV64" s="167"/>
      <c r="FW64" s="168"/>
      <c r="FX64" s="169"/>
      <c r="FY64" s="168"/>
      <c r="FZ64" s="170"/>
      <c r="GA64" s="171"/>
      <c r="GB64" s="68"/>
      <c r="GC64" s="68"/>
      <c r="GD64" s="68"/>
      <c r="GE64" s="167"/>
      <c r="GF64" s="168"/>
      <c r="GG64" s="169"/>
      <c r="GH64" s="168"/>
      <c r="GI64" s="170"/>
      <c r="GJ64" s="171"/>
      <c r="GK64" s="68"/>
      <c r="GL64" s="68"/>
      <c r="GM64" s="68"/>
      <c r="GN64" s="167"/>
      <c r="GO64" s="168"/>
      <c r="GP64" s="169"/>
      <c r="GQ64" s="168"/>
      <c r="GR64" s="170"/>
      <c r="GS64" s="171"/>
      <c r="GT64" s="171"/>
      <c r="GU64" s="64"/>
      <c r="GV64" s="65"/>
      <c r="GW64" s="66"/>
      <c r="GX64" s="66"/>
      <c r="GY64" s="167"/>
      <c r="GZ64" s="86"/>
    </row>
    <row r="65" spans="1:208" x14ac:dyDescent="0.25">
      <c r="A65"/>
      <c r="D65" s="35"/>
      <c r="E65" s="36"/>
      <c r="F65" s="37"/>
      <c r="G65" s="38"/>
      <c r="H65" s="39"/>
      <c r="I65" s="40"/>
      <c r="J65" s="68"/>
      <c r="K65" s="407"/>
      <c r="L65" s="70"/>
      <c r="M65" s="71"/>
      <c r="N65" s="56"/>
      <c r="O65" s="72"/>
      <c r="P65" s="113">
        <f t="shared" si="0"/>
        <v>0</v>
      </c>
      <c r="Q65" s="117"/>
      <c r="R65" s="117"/>
      <c r="S65" s="117"/>
      <c r="T65" s="39">
        <f t="shared" si="1"/>
        <v>0</v>
      </c>
      <c r="U65" s="138"/>
      <c r="V65" s="166"/>
      <c r="W65" s="86"/>
      <c r="X65" s="68"/>
      <c r="Y65" s="167"/>
      <c r="Z65" s="168"/>
      <c r="AA65" s="169"/>
      <c r="AB65" s="168"/>
      <c r="AC65" s="170"/>
      <c r="AD65" s="171"/>
      <c r="AE65" s="68"/>
      <c r="AF65" s="68"/>
      <c r="AG65" s="68"/>
      <c r="AH65" s="167"/>
      <c r="AI65" s="168"/>
      <c r="AJ65" s="169"/>
      <c r="AK65" s="168"/>
      <c r="AL65" s="170"/>
      <c r="AM65" s="171"/>
      <c r="AN65" s="68"/>
      <c r="AO65" s="68"/>
      <c r="AP65" s="68"/>
      <c r="AQ65" s="167"/>
      <c r="AR65" s="168"/>
      <c r="AS65" s="169"/>
      <c r="AT65" s="168"/>
      <c r="AU65" s="170"/>
      <c r="AV65" s="171"/>
      <c r="AW65" s="68"/>
      <c r="AX65" s="68"/>
      <c r="AY65" s="68"/>
      <c r="AZ65" s="167"/>
      <c r="BA65" s="168"/>
      <c r="BB65" s="169"/>
      <c r="BC65" s="168"/>
      <c r="BD65" s="170"/>
      <c r="BE65" s="171"/>
      <c r="BF65" s="68"/>
      <c r="BG65" s="68"/>
      <c r="BH65" s="68"/>
      <c r="BI65" s="167"/>
      <c r="BJ65" s="168"/>
      <c r="BK65" s="169"/>
      <c r="BL65" s="168"/>
      <c r="BM65" s="170"/>
      <c r="BN65" s="171"/>
      <c r="BO65" s="68"/>
      <c r="BP65" s="68"/>
      <c r="BQ65" s="68"/>
      <c r="BR65" s="167"/>
      <c r="BS65" s="168"/>
      <c r="BT65" s="169"/>
      <c r="BU65" s="168"/>
      <c r="BV65" s="170"/>
      <c r="BW65" s="171"/>
      <c r="BX65" s="68"/>
      <c r="BY65" s="68"/>
      <c r="BZ65" s="68"/>
      <c r="CA65" s="167"/>
      <c r="CB65" s="168"/>
      <c r="CC65" s="169"/>
      <c r="CD65" s="168"/>
      <c r="CE65" s="170"/>
      <c r="CF65" s="171"/>
      <c r="CG65" s="68"/>
      <c r="CH65" s="68"/>
      <c r="CI65" s="68"/>
      <c r="CJ65" s="167"/>
      <c r="CK65" s="168"/>
      <c r="CL65" s="169"/>
      <c r="CM65" s="168"/>
      <c r="CN65" s="170"/>
      <c r="CO65" s="171"/>
      <c r="CP65" s="68"/>
      <c r="CQ65" s="68"/>
      <c r="CR65" s="68"/>
      <c r="CS65" s="167"/>
      <c r="CT65" s="168"/>
      <c r="CU65" s="169"/>
      <c r="CV65" s="168"/>
      <c r="CW65" s="170"/>
      <c r="CX65" s="171"/>
      <c r="CY65" s="68"/>
      <c r="CZ65" s="68"/>
      <c r="DA65" s="68"/>
      <c r="DB65" s="167"/>
      <c r="DC65" s="168"/>
      <c r="DD65" s="169"/>
      <c r="DE65" s="168"/>
      <c r="DF65" s="170"/>
      <c r="DG65" s="171"/>
      <c r="DH65" s="68"/>
      <c r="DI65" s="68"/>
      <c r="DJ65" s="68"/>
      <c r="DK65" s="167"/>
      <c r="DL65" s="168"/>
      <c r="DM65" s="169"/>
      <c r="DN65" s="168"/>
      <c r="DO65" s="170"/>
      <c r="DP65" s="171"/>
      <c r="DQ65" s="68"/>
      <c r="DR65" s="68"/>
      <c r="DS65" s="68"/>
      <c r="DT65" s="167"/>
      <c r="DU65" s="168"/>
      <c r="DV65" s="169"/>
      <c r="DW65" s="168"/>
      <c r="DX65" s="170"/>
      <c r="DY65" s="171"/>
      <c r="DZ65" s="68"/>
      <c r="EA65" s="68"/>
      <c r="EB65" s="68"/>
      <c r="EC65" s="167"/>
      <c r="ED65" s="168"/>
      <c r="EE65" s="169"/>
      <c r="EF65" s="168"/>
      <c r="EG65" s="170"/>
      <c r="EH65" s="171"/>
      <c r="EI65" s="68"/>
      <c r="EJ65" s="68"/>
      <c r="EK65" s="68"/>
      <c r="EL65" s="167"/>
      <c r="EM65" s="168"/>
      <c r="EN65" s="169"/>
      <c r="EO65" s="168"/>
      <c r="EP65" s="170"/>
      <c r="EQ65" s="171"/>
      <c r="ER65" s="68"/>
      <c r="ES65" s="68"/>
      <c r="ET65" s="68"/>
      <c r="EU65" s="167"/>
      <c r="EV65" s="168"/>
      <c r="EW65" s="169"/>
      <c r="EX65" s="168"/>
      <c r="EY65" s="170"/>
      <c r="EZ65" s="171"/>
      <c r="FA65" s="68"/>
      <c r="FB65" s="68"/>
      <c r="FC65" s="68"/>
      <c r="FD65" s="167"/>
      <c r="FE65" s="168"/>
      <c r="FF65" s="169"/>
      <c r="FG65" s="168"/>
      <c r="FH65" s="170"/>
      <c r="FI65" s="171"/>
      <c r="FJ65" s="68"/>
      <c r="FK65" s="68"/>
      <c r="FL65" s="68"/>
      <c r="FM65" s="167"/>
      <c r="FN65" s="168"/>
      <c r="FO65" s="169"/>
      <c r="FP65" s="168"/>
      <c r="FQ65" s="170"/>
      <c r="FR65" s="171"/>
      <c r="FS65" s="68"/>
      <c r="FT65" s="68"/>
      <c r="FU65" s="68"/>
      <c r="FV65" s="167"/>
      <c r="FW65" s="168"/>
      <c r="FX65" s="169"/>
      <c r="FY65" s="168"/>
      <c r="FZ65" s="170"/>
      <c r="GA65" s="171"/>
      <c r="GB65" s="68"/>
      <c r="GC65" s="68"/>
      <c r="GD65" s="68"/>
      <c r="GE65" s="167"/>
      <c r="GF65" s="168"/>
      <c r="GG65" s="169"/>
      <c r="GH65" s="168"/>
      <c r="GI65" s="170"/>
      <c r="GJ65" s="171"/>
      <c r="GK65" s="68"/>
      <c r="GL65" s="68"/>
      <c r="GM65" s="68"/>
      <c r="GN65" s="167"/>
      <c r="GO65" s="168"/>
      <c r="GP65" s="169"/>
      <c r="GQ65" s="168"/>
      <c r="GR65" s="170"/>
      <c r="GS65" s="171"/>
      <c r="GT65" s="171"/>
      <c r="GU65" s="64"/>
      <c r="GV65" s="65"/>
      <c r="GW65" s="66"/>
      <c r="GX65" s="66"/>
      <c r="GY65" s="167"/>
      <c r="GZ65" s="86"/>
    </row>
    <row r="66" spans="1:208" x14ac:dyDescent="0.25">
      <c r="A66"/>
      <c r="D66" s="35"/>
      <c r="E66" s="36"/>
      <c r="F66" s="37"/>
      <c r="G66" s="38"/>
      <c r="H66" s="39"/>
      <c r="I66" s="40"/>
      <c r="J66" s="68"/>
      <c r="K66" s="407"/>
      <c r="L66" s="70"/>
      <c r="M66" s="71"/>
      <c r="N66" s="56"/>
      <c r="O66" s="72"/>
      <c r="P66" s="113">
        <f t="shared" si="0"/>
        <v>0</v>
      </c>
      <c r="Q66" s="117"/>
      <c r="R66" s="117"/>
      <c r="S66" s="117"/>
      <c r="T66" s="39">
        <f t="shared" si="1"/>
        <v>0</v>
      </c>
      <c r="U66" s="138"/>
      <c r="V66" s="166"/>
      <c r="W66" s="86"/>
      <c r="X66" s="68"/>
      <c r="Y66" s="167"/>
      <c r="Z66" s="168"/>
      <c r="AA66" s="169"/>
      <c r="AB66" s="168"/>
      <c r="AC66" s="170"/>
      <c r="AD66" s="171"/>
      <c r="AE66" s="68"/>
      <c r="AF66" s="68"/>
      <c r="AG66" s="68"/>
      <c r="AH66" s="167"/>
      <c r="AI66" s="168"/>
      <c r="AJ66" s="169"/>
      <c r="AK66" s="168"/>
      <c r="AL66" s="170"/>
      <c r="AM66" s="171"/>
      <c r="AN66" s="68"/>
      <c r="AO66" s="68"/>
      <c r="AP66" s="68"/>
      <c r="AQ66" s="167"/>
      <c r="AR66" s="168"/>
      <c r="AS66" s="169"/>
      <c r="AT66" s="168"/>
      <c r="AU66" s="170"/>
      <c r="AV66" s="171"/>
      <c r="AW66" s="68"/>
      <c r="AX66" s="68"/>
      <c r="AY66" s="68"/>
      <c r="AZ66" s="167"/>
      <c r="BA66" s="168"/>
      <c r="BB66" s="169"/>
      <c r="BC66" s="168"/>
      <c r="BD66" s="170"/>
      <c r="BE66" s="171"/>
      <c r="BF66" s="68"/>
      <c r="BG66" s="68"/>
      <c r="BH66" s="68"/>
      <c r="BI66" s="167"/>
      <c r="BJ66" s="168"/>
      <c r="BK66" s="169"/>
      <c r="BL66" s="168"/>
      <c r="BM66" s="170"/>
      <c r="BN66" s="171"/>
      <c r="BO66" s="68"/>
      <c r="BP66" s="68"/>
      <c r="BQ66" s="68"/>
      <c r="BR66" s="167"/>
      <c r="BS66" s="168"/>
      <c r="BT66" s="169"/>
      <c r="BU66" s="168"/>
      <c r="BV66" s="170"/>
      <c r="BW66" s="171"/>
      <c r="BX66" s="68"/>
      <c r="BY66" s="68"/>
      <c r="BZ66" s="68"/>
      <c r="CA66" s="167"/>
      <c r="CB66" s="168"/>
      <c r="CC66" s="169"/>
      <c r="CD66" s="168"/>
      <c r="CE66" s="170"/>
      <c r="CF66" s="171"/>
      <c r="CG66" s="68"/>
      <c r="CH66" s="68"/>
      <c r="CI66" s="68"/>
      <c r="CJ66" s="167"/>
      <c r="CK66" s="168"/>
      <c r="CL66" s="169"/>
      <c r="CM66" s="168"/>
      <c r="CN66" s="170"/>
      <c r="CO66" s="171"/>
      <c r="CP66" s="68"/>
      <c r="CQ66" s="68"/>
      <c r="CR66" s="68"/>
      <c r="CS66" s="167"/>
      <c r="CT66" s="168"/>
      <c r="CU66" s="169"/>
      <c r="CV66" s="168"/>
      <c r="CW66" s="170"/>
      <c r="CX66" s="171"/>
      <c r="CY66" s="68"/>
      <c r="CZ66" s="68"/>
      <c r="DA66" s="68"/>
      <c r="DB66" s="167"/>
      <c r="DC66" s="168"/>
      <c r="DD66" s="169"/>
      <c r="DE66" s="168"/>
      <c r="DF66" s="170"/>
      <c r="DG66" s="171"/>
      <c r="DH66" s="68"/>
      <c r="DI66" s="68"/>
      <c r="DJ66" s="68"/>
      <c r="DK66" s="167"/>
      <c r="DL66" s="168"/>
      <c r="DM66" s="169"/>
      <c r="DN66" s="168"/>
      <c r="DO66" s="170"/>
      <c r="DP66" s="171"/>
      <c r="DQ66" s="68"/>
      <c r="DR66" s="68"/>
      <c r="DS66" s="68"/>
      <c r="DT66" s="167"/>
      <c r="DU66" s="168"/>
      <c r="DV66" s="169"/>
      <c r="DW66" s="168"/>
      <c r="DX66" s="170"/>
      <c r="DY66" s="171"/>
      <c r="DZ66" s="68"/>
      <c r="EA66" s="68"/>
      <c r="EB66" s="68"/>
      <c r="EC66" s="167"/>
      <c r="ED66" s="168"/>
      <c r="EE66" s="169"/>
      <c r="EF66" s="168"/>
      <c r="EG66" s="170"/>
      <c r="EH66" s="171"/>
      <c r="EI66" s="68"/>
      <c r="EJ66" s="68"/>
      <c r="EK66" s="68"/>
      <c r="EL66" s="167"/>
      <c r="EM66" s="168"/>
      <c r="EN66" s="169"/>
      <c r="EO66" s="168"/>
      <c r="EP66" s="170"/>
      <c r="EQ66" s="171"/>
      <c r="ER66" s="68"/>
      <c r="ES66" s="68"/>
      <c r="ET66" s="68"/>
      <c r="EU66" s="167"/>
      <c r="EV66" s="168"/>
      <c r="EW66" s="169"/>
      <c r="EX66" s="168"/>
      <c r="EY66" s="170"/>
      <c r="EZ66" s="171"/>
      <c r="FA66" s="68"/>
      <c r="FB66" s="68"/>
      <c r="FC66" s="68"/>
      <c r="FD66" s="167"/>
      <c r="FE66" s="168"/>
      <c r="FF66" s="169"/>
      <c r="FG66" s="168"/>
      <c r="FH66" s="170"/>
      <c r="FI66" s="171"/>
      <c r="FJ66" s="68"/>
      <c r="FK66" s="68"/>
      <c r="FL66" s="68"/>
      <c r="FM66" s="167"/>
      <c r="FN66" s="168"/>
      <c r="FO66" s="169"/>
      <c r="FP66" s="168"/>
      <c r="FQ66" s="170"/>
      <c r="FR66" s="171"/>
      <c r="FS66" s="68"/>
      <c r="FT66" s="68"/>
      <c r="FU66" s="68"/>
      <c r="FV66" s="167"/>
      <c r="FW66" s="168"/>
      <c r="FX66" s="169"/>
      <c r="FY66" s="168"/>
      <c r="FZ66" s="170"/>
      <c r="GA66" s="171"/>
      <c r="GB66" s="68"/>
      <c r="GC66" s="68"/>
      <c r="GD66" s="68"/>
      <c r="GE66" s="167"/>
      <c r="GF66" s="168"/>
      <c r="GG66" s="169"/>
      <c r="GH66" s="168"/>
      <c r="GI66" s="170"/>
      <c r="GJ66" s="171"/>
      <c r="GK66" s="68"/>
      <c r="GL66" s="68"/>
      <c r="GM66" s="68"/>
      <c r="GN66" s="167"/>
      <c r="GO66" s="168"/>
      <c r="GP66" s="169"/>
      <c r="GQ66" s="168"/>
      <c r="GR66" s="170"/>
      <c r="GS66" s="171"/>
      <c r="GT66" s="171"/>
      <c r="GU66" s="64"/>
      <c r="GV66" s="65"/>
      <c r="GW66" s="66"/>
      <c r="GX66" s="66"/>
      <c r="GY66" s="167"/>
      <c r="GZ66" s="86"/>
    </row>
    <row r="67" spans="1:208" x14ac:dyDescent="0.25">
      <c r="A67"/>
      <c r="D67" s="35"/>
      <c r="E67" s="36"/>
      <c r="F67" s="37"/>
      <c r="G67" s="38"/>
      <c r="H67" s="39"/>
      <c r="I67" s="40"/>
      <c r="J67" s="68"/>
      <c r="K67" s="407"/>
      <c r="L67" s="70"/>
      <c r="M67" s="71"/>
      <c r="N67" s="56"/>
      <c r="O67" s="72"/>
      <c r="P67" s="113">
        <f t="shared" si="0"/>
        <v>0</v>
      </c>
      <c r="Q67" s="117"/>
      <c r="R67" s="117"/>
      <c r="S67" s="117"/>
      <c r="T67" s="39">
        <f t="shared" si="1"/>
        <v>0</v>
      </c>
      <c r="U67" s="138"/>
      <c r="V67" s="166"/>
      <c r="W67" s="86"/>
      <c r="X67" s="68"/>
      <c r="Y67" s="167"/>
      <c r="Z67" s="168"/>
      <c r="AA67" s="169"/>
      <c r="AB67" s="168"/>
      <c r="AC67" s="170"/>
      <c r="AD67" s="171"/>
      <c r="AE67" s="68"/>
      <c r="AF67" s="68"/>
      <c r="AG67" s="68"/>
      <c r="AH67" s="167"/>
      <c r="AI67" s="168"/>
      <c r="AJ67" s="169"/>
      <c r="AK67" s="168"/>
      <c r="AL67" s="170"/>
      <c r="AM67" s="171"/>
      <c r="AN67" s="68"/>
      <c r="AO67" s="68"/>
      <c r="AP67" s="68"/>
      <c r="AQ67" s="167"/>
      <c r="AR67" s="168"/>
      <c r="AS67" s="169"/>
      <c r="AT67" s="168"/>
      <c r="AU67" s="170"/>
      <c r="AV67" s="171"/>
      <c r="AW67" s="68"/>
      <c r="AX67" s="68"/>
      <c r="AY67" s="68"/>
      <c r="AZ67" s="167"/>
      <c r="BA67" s="168"/>
      <c r="BB67" s="169"/>
      <c r="BC67" s="168"/>
      <c r="BD67" s="170"/>
      <c r="BE67" s="171"/>
      <c r="BF67" s="68"/>
      <c r="BG67" s="68"/>
      <c r="BH67" s="68"/>
      <c r="BI67" s="167"/>
      <c r="BJ67" s="168"/>
      <c r="BK67" s="169"/>
      <c r="BL67" s="168"/>
      <c r="BM67" s="170"/>
      <c r="BN67" s="171"/>
      <c r="BO67" s="68"/>
      <c r="BP67" s="68"/>
      <c r="BQ67" s="68"/>
      <c r="BR67" s="167"/>
      <c r="BS67" s="168"/>
      <c r="BT67" s="169"/>
      <c r="BU67" s="168"/>
      <c r="BV67" s="170"/>
      <c r="BW67" s="171"/>
      <c r="BX67" s="68"/>
      <c r="BY67" s="68"/>
      <c r="BZ67" s="68"/>
      <c r="CA67" s="167"/>
      <c r="CB67" s="168"/>
      <c r="CC67" s="169"/>
      <c r="CD67" s="168"/>
      <c r="CE67" s="170"/>
      <c r="CF67" s="171"/>
      <c r="CG67" s="68"/>
      <c r="CH67" s="68"/>
      <c r="CI67" s="68"/>
      <c r="CJ67" s="167"/>
      <c r="CK67" s="168"/>
      <c r="CL67" s="169"/>
      <c r="CM67" s="168"/>
      <c r="CN67" s="170"/>
      <c r="CO67" s="171"/>
      <c r="CP67" s="68"/>
      <c r="CQ67" s="68"/>
      <c r="CR67" s="68"/>
      <c r="CS67" s="167"/>
      <c r="CT67" s="168"/>
      <c r="CU67" s="169"/>
      <c r="CV67" s="168"/>
      <c r="CW67" s="170"/>
      <c r="CX67" s="171"/>
      <c r="CY67" s="68"/>
      <c r="CZ67" s="68"/>
      <c r="DA67" s="68"/>
      <c r="DB67" s="167"/>
      <c r="DC67" s="168"/>
      <c r="DD67" s="169"/>
      <c r="DE67" s="168"/>
      <c r="DF67" s="170"/>
      <c r="DG67" s="171"/>
      <c r="DH67" s="68"/>
      <c r="DI67" s="68"/>
      <c r="DJ67" s="68"/>
      <c r="DK67" s="167"/>
      <c r="DL67" s="168"/>
      <c r="DM67" s="169"/>
      <c r="DN67" s="168"/>
      <c r="DO67" s="170"/>
      <c r="DP67" s="171"/>
      <c r="DQ67" s="68"/>
      <c r="DR67" s="68"/>
      <c r="DS67" s="68"/>
      <c r="DT67" s="167"/>
      <c r="DU67" s="168"/>
      <c r="DV67" s="169"/>
      <c r="DW67" s="168"/>
      <c r="DX67" s="170"/>
      <c r="DY67" s="171"/>
      <c r="DZ67" s="68"/>
      <c r="EA67" s="68"/>
      <c r="EB67" s="68"/>
      <c r="EC67" s="167"/>
      <c r="ED67" s="168"/>
      <c r="EE67" s="169"/>
      <c r="EF67" s="168"/>
      <c r="EG67" s="170"/>
      <c r="EH67" s="171"/>
      <c r="EI67" s="68"/>
      <c r="EJ67" s="68"/>
      <c r="EK67" s="68"/>
      <c r="EL67" s="167"/>
      <c r="EM67" s="168"/>
      <c r="EN67" s="169"/>
      <c r="EO67" s="168"/>
      <c r="EP67" s="170"/>
      <c r="EQ67" s="171"/>
      <c r="ER67" s="68"/>
      <c r="ES67" s="68"/>
      <c r="ET67" s="68"/>
      <c r="EU67" s="167"/>
      <c r="EV67" s="168"/>
      <c r="EW67" s="169"/>
      <c r="EX67" s="168"/>
      <c r="EY67" s="170"/>
      <c r="EZ67" s="171"/>
      <c r="FA67" s="68"/>
      <c r="FB67" s="68"/>
      <c r="FC67" s="68"/>
      <c r="FD67" s="167"/>
      <c r="FE67" s="168"/>
      <c r="FF67" s="169"/>
      <c r="FG67" s="168"/>
      <c r="FH67" s="170"/>
      <c r="FI67" s="171"/>
      <c r="FJ67" s="68"/>
      <c r="FK67" s="68"/>
      <c r="FL67" s="68"/>
      <c r="FM67" s="167"/>
      <c r="FN67" s="168"/>
      <c r="FO67" s="169"/>
      <c r="FP67" s="168"/>
      <c r="FQ67" s="170"/>
      <c r="FR67" s="171"/>
      <c r="FS67" s="68"/>
      <c r="FT67" s="68"/>
      <c r="FU67" s="68"/>
      <c r="FV67" s="167"/>
      <c r="FW67" s="168"/>
      <c r="FX67" s="169"/>
      <c r="FY67" s="168"/>
      <c r="FZ67" s="170"/>
      <c r="GA67" s="171"/>
      <c r="GB67" s="68"/>
      <c r="GC67" s="68"/>
      <c r="GD67" s="68"/>
      <c r="GE67" s="167"/>
      <c r="GF67" s="168"/>
      <c r="GG67" s="169"/>
      <c r="GH67" s="168"/>
      <c r="GI67" s="170"/>
      <c r="GJ67" s="171"/>
      <c r="GK67" s="68"/>
      <c r="GL67" s="68"/>
      <c r="GM67" s="68"/>
      <c r="GN67" s="167"/>
      <c r="GO67" s="168"/>
      <c r="GP67" s="169"/>
      <c r="GQ67" s="168"/>
      <c r="GR67" s="170"/>
      <c r="GS67" s="171"/>
      <c r="GT67" s="171"/>
      <c r="GU67" s="64"/>
      <c r="GV67" s="65"/>
      <c r="GW67" s="66"/>
      <c r="GX67" s="66"/>
      <c r="GY67" s="167"/>
      <c r="GZ67" s="86"/>
    </row>
    <row r="68" spans="1:208" x14ac:dyDescent="0.25">
      <c r="A68"/>
      <c r="D68" s="35"/>
      <c r="E68" s="36"/>
      <c r="F68" s="37"/>
      <c r="G68" s="38"/>
      <c r="H68" s="39"/>
      <c r="I68" s="40"/>
      <c r="J68" s="68"/>
      <c r="K68" s="407"/>
      <c r="L68" s="70"/>
      <c r="M68" s="71"/>
      <c r="N68" s="56"/>
      <c r="O68" s="72"/>
      <c r="P68" s="113">
        <f t="shared" ref="P68:P70" si="4">O68-L68</f>
        <v>0</v>
      </c>
      <c r="Q68" s="117"/>
      <c r="R68" s="117"/>
      <c r="S68" s="117"/>
      <c r="T68" s="39">
        <f t="shared" si="1"/>
        <v>0</v>
      </c>
      <c r="U68" s="138"/>
      <c r="V68" s="172"/>
      <c r="W68" s="86"/>
      <c r="X68" s="68"/>
      <c r="Y68" s="167"/>
      <c r="Z68" s="168"/>
      <c r="AA68" s="169"/>
      <c r="AB68" s="168"/>
      <c r="AC68" s="170"/>
      <c r="AD68" s="171"/>
      <c r="AE68" s="68"/>
      <c r="AF68" s="68"/>
      <c r="AG68" s="68"/>
      <c r="AH68" s="167"/>
      <c r="AI68" s="168"/>
      <c r="AJ68" s="169"/>
      <c r="AK68" s="168"/>
      <c r="AL68" s="170"/>
      <c r="AM68" s="171"/>
      <c r="AN68" s="68"/>
      <c r="AO68" s="68"/>
      <c r="AP68" s="68"/>
      <c r="AQ68" s="167"/>
      <c r="AR68" s="168"/>
      <c r="AS68" s="169"/>
      <c r="AT68" s="168"/>
      <c r="AU68" s="170"/>
      <c r="AV68" s="171"/>
      <c r="AW68" s="68"/>
      <c r="AX68" s="68"/>
      <c r="AY68" s="68"/>
      <c r="AZ68" s="167"/>
      <c r="BA68" s="168"/>
      <c r="BB68" s="169"/>
      <c r="BC68" s="168"/>
      <c r="BD68" s="170"/>
      <c r="BE68" s="171"/>
      <c r="BF68" s="68"/>
      <c r="BG68" s="68"/>
      <c r="BH68" s="68"/>
      <c r="BI68" s="167"/>
      <c r="BJ68" s="168"/>
      <c r="BK68" s="169"/>
      <c r="BL68" s="168"/>
      <c r="BM68" s="170"/>
      <c r="BN68" s="171"/>
      <c r="BO68" s="68"/>
      <c r="BP68" s="68"/>
      <c r="BQ68" s="68"/>
      <c r="BR68" s="167"/>
      <c r="BS68" s="168"/>
      <c r="BT68" s="169"/>
      <c r="BU68" s="168"/>
      <c r="BV68" s="170"/>
      <c r="BW68" s="171"/>
      <c r="BX68" s="68"/>
      <c r="BY68" s="68"/>
      <c r="BZ68" s="68"/>
      <c r="CA68" s="167"/>
      <c r="CB68" s="168"/>
      <c r="CC68" s="169"/>
      <c r="CD68" s="168"/>
      <c r="CE68" s="170"/>
      <c r="CF68" s="171"/>
      <c r="CG68" s="68"/>
      <c r="CH68" s="68"/>
      <c r="CI68" s="68"/>
      <c r="CJ68" s="167"/>
      <c r="CK68" s="168"/>
      <c r="CL68" s="169"/>
      <c r="CM68" s="168"/>
      <c r="CN68" s="170"/>
      <c r="CO68" s="171"/>
      <c r="CP68" s="68"/>
      <c r="CQ68" s="68"/>
      <c r="CR68" s="68"/>
      <c r="CS68" s="167"/>
      <c r="CT68" s="168"/>
      <c r="CU68" s="169"/>
      <c r="CV68" s="168"/>
      <c r="CW68" s="170"/>
      <c r="CX68" s="171"/>
      <c r="CY68" s="68"/>
      <c r="CZ68" s="68"/>
      <c r="DA68" s="68"/>
      <c r="DB68" s="167"/>
      <c r="DC68" s="168"/>
      <c r="DD68" s="169"/>
      <c r="DE68" s="168"/>
      <c r="DF68" s="170"/>
      <c r="DG68" s="171"/>
      <c r="DH68" s="68"/>
      <c r="DI68" s="68"/>
      <c r="DJ68" s="68"/>
      <c r="DK68" s="167"/>
      <c r="DL68" s="168"/>
      <c r="DM68" s="169"/>
      <c r="DN68" s="168"/>
      <c r="DO68" s="170"/>
      <c r="DP68" s="171"/>
      <c r="DQ68" s="68"/>
      <c r="DR68" s="68"/>
      <c r="DS68" s="68"/>
      <c r="DT68" s="167"/>
      <c r="DU68" s="168"/>
      <c r="DV68" s="169"/>
      <c r="DW68" s="168"/>
      <c r="DX68" s="170"/>
      <c r="DY68" s="171"/>
      <c r="DZ68" s="68"/>
      <c r="EA68" s="68"/>
      <c r="EB68" s="68"/>
      <c r="EC68" s="167"/>
      <c r="ED68" s="168"/>
      <c r="EE68" s="169"/>
      <c r="EF68" s="168"/>
      <c r="EG68" s="170"/>
      <c r="EH68" s="171"/>
      <c r="EI68" s="68"/>
      <c r="EJ68" s="68"/>
      <c r="EK68" s="68"/>
      <c r="EL68" s="167"/>
      <c r="EM68" s="168"/>
      <c r="EN68" s="169"/>
      <c r="EO68" s="168"/>
      <c r="EP68" s="170"/>
      <c r="EQ68" s="171"/>
      <c r="ER68" s="68"/>
      <c r="ES68" s="68"/>
      <c r="ET68" s="68"/>
      <c r="EU68" s="167"/>
      <c r="EV68" s="168"/>
      <c r="EW68" s="169"/>
      <c r="EX68" s="168"/>
      <c r="EY68" s="170"/>
      <c r="EZ68" s="171"/>
      <c r="FA68" s="68"/>
      <c r="FB68" s="68"/>
      <c r="FC68" s="68"/>
      <c r="FD68" s="167"/>
      <c r="FE68" s="168"/>
      <c r="FF68" s="169"/>
      <c r="FG68" s="168"/>
      <c r="FH68" s="170"/>
      <c r="FI68" s="171"/>
      <c r="FJ68" s="68"/>
      <c r="FK68" s="68"/>
      <c r="FL68" s="68"/>
      <c r="FM68" s="167"/>
      <c r="FN68" s="168"/>
      <c r="FO68" s="169"/>
      <c r="FP68" s="168"/>
      <c r="FQ68" s="170"/>
      <c r="FR68" s="171"/>
      <c r="FS68" s="68"/>
      <c r="FT68" s="68"/>
      <c r="FU68" s="68"/>
      <c r="FV68" s="167"/>
      <c r="FW68" s="168"/>
      <c r="FX68" s="169"/>
      <c r="FY68" s="168"/>
      <c r="FZ68" s="170"/>
      <c r="GA68" s="171"/>
      <c r="GB68" s="68"/>
      <c r="GC68" s="68"/>
      <c r="GD68" s="68"/>
      <c r="GE68" s="167"/>
      <c r="GF68" s="168"/>
      <c r="GG68" s="169"/>
      <c r="GH68" s="168"/>
      <c r="GI68" s="170"/>
      <c r="GJ68" s="171"/>
      <c r="GK68" s="68"/>
      <c r="GL68" s="68"/>
      <c r="GM68" s="68"/>
      <c r="GN68" s="167"/>
      <c r="GO68" s="168"/>
      <c r="GP68" s="169"/>
      <c r="GQ68" s="168"/>
      <c r="GR68" s="170"/>
      <c r="GS68" s="171"/>
      <c r="GT68" s="171"/>
      <c r="GU68" s="64"/>
      <c r="GV68" s="65"/>
      <c r="GW68" s="66"/>
      <c r="GX68" s="66"/>
      <c r="GY68" s="167"/>
      <c r="GZ68" s="86"/>
    </row>
    <row r="69" spans="1:208" x14ac:dyDescent="0.25">
      <c r="A69"/>
      <c r="D69" s="35"/>
      <c r="E69" s="36"/>
      <c r="F69" s="37"/>
      <c r="G69" s="38"/>
      <c r="H69" s="39"/>
      <c r="I69" s="40"/>
      <c r="J69" s="68"/>
      <c r="K69" s="407"/>
      <c r="L69" s="70"/>
      <c r="M69" s="71"/>
      <c r="N69" s="173"/>
      <c r="O69" s="72"/>
      <c r="P69" s="113">
        <f t="shared" si="4"/>
        <v>0</v>
      </c>
      <c r="Q69" s="117"/>
      <c r="R69" s="117"/>
      <c r="S69" s="117"/>
      <c r="T69" s="39">
        <f t="shared" si="1"/>
        <v>0</v>
      </c>
      <c r="U69" s="138"/>
      <c r="V69" s="172"/>
      <c r="W69" s="86"/>
      <c r="X69" s="68"/>
      <c r="Y69" s="167"/>
      <c r="Z69" s="168"/>
      <c r="AA69" s="169"/>
      <c r="AB69" s="168"/>
      <c r="AC69" s="170"/>
      <c r="AD69" s="171"/>
      <c r="AE69" s="68"/>
      <c r="AF69" s="68"/>
      <c r="AG69" s="68"/>
      <c r="AH69" s="167"/>
      <c r="AI69" s="168"/>
      <c r="AJ69" s="169"/>
      <c r="AK69" s="168"/>
      <c r="AL69" s="170"/>
      <c r="AM69" s="171"/>
      <c r="AN69" s="68"/>
      <c r="AO69" s="68"/>
      <c r="AP69" s="68"/>
      <c r="AQ69" s="167"/>
      <c r="AR69" s="168"/>
      <c r="AS69" s="169"/>
      <c r="AT69" s="168"/>
      <c r="AU69" s="170"/>
      <c r="AV69" s="171"/>
      <c r="AW69" s="68"/>
      <c r="AX69" s="68"/>
      <c r="AY69" s="68"/>
      <c r="AZ69" s="167"/>
      <c r="BA69" s="168"/>
      <c r="BB69" s="169"/>
      <c r="BC69" s="168"/>
      <c r="BD69" s="170"/>
      <c r="BE69" s="171"/>
      <c r="BF69" s="68"/>
      <c r="BG69" s="68"/>
      <c r="BH69" s="68"/>
      <c r="BI69" s="167"/>
      <c r="BJ69" s="168"/>
      <c r="BK69" s="169"/>
      <c r="BL69" s="168"/>
      <c r="BM69" s="170"/>
      <c r="BN69" s="171"/>
      <c r="BO69" s="68"/>
      <c r="BP69" s="68"/>
      <c r="BQ69" s="68"/>
      <c r="BR69" s="167"/>
      <c r="BS69" s="168"/>
      <c r="BT69" s="169"/>
      <c r="BU69" s="168"/>
      <c r="BV69" s="170"/>
      <c r="BW69" s="171"/>
      <c r="BX69" s="68"/>
      <c r="BY69" s="68"/>
      <c r="BZ69" s="68"/>
      <c r="CA69" s="167"/>
      <c r="CB69" s="168"/>
      <c r="CC69" s="169"/>
      <c r="CD69" s="168"/>
      <c r="CE69" s="170"/>
      <c r="CF69" s="171"/>
      <c r="CG69" s="68"/>
      <c r="CH69" s="68"/>
      <c r="CI69" s="68"/>
      <c r="CJ69" s="167"/>
      <c r="CK69" s="168"/>
      <c r="CL69" s="169"/>
      <c r="CM69" s="168"/>
      <c r="CN69" s="170"/>
      <c r="CO69" s="171"/>
      <c r="CP69" s="68"/>
      <c r="CQ69" s="68"/>
      <c r="CR69" s="68"/>
      <c r="CS69" s="167"/>
      <c r="CT69" s="168"/>
      <c r="CU69" s="169"/>
      <c r="CV69" s="168"/>
      <c r="CW69" s="170"/>
      <c r="CX69" s="171"/>
      <c r="CY69" s="68"/>
      <c r="CZ69" s="68"/>
      <c r="DA69" s="68"/>
      <c r="DB69" s="167"/>
      <c r="DC69" s="168"/>
      <c r="DD69" s="169"/>
      <c r="DE69" s="168"/>
      <c r="DF69" s="170"/>
      <c r="DG69" s="171"/>
      <c r="DH69" s="68"/>
      <c r="DI69" s="68"/>
      <c r="DJ69" s="68"/>
      <c r="DK69" s="167"/>
      <c r="DL69" s="168"/>
      <c r="DM69" s="169"/>
      <c r="DN69" s="168"/>
      <c r="DO69" s="170"/>
      <c r="DP69" s="171"/>
      <c r="DQ69" s="68"/>
      <c r="DR69" s="68"/>
      <c r="DS69" s="68"/>
      <c r="DT69" s="167"/>
      <c r="DU69" s="168"/>
      <c r="DV69" s="169"/>
      <c r="DW69" s="168"/>
      <c r="DX69" s="170"/>
      <c r="DY69" s="171"/>
      <c r="DZ69" s="68"/>
      <c r="EA69" s="68"/>
      <c r="EB69" s="68"/>
      <c r="EC69" s="167"/>
      <c r="ED69" s="168"/>
      <c r="EE69" s="169"/>
      <c r="EF69" s="168"/>
      <c r="EG69" s="170"/>
      <c r="EH69" s="171"/>
      <c r="EI69" s="68"/>
      <c r="EJ69" s="68"/>
      <c r="EK69" s="68"/>
      <c r="EL69" s="167"/>
      <c r="EM69" s="168"/>
      <c r="EN69" s="169"/>
      <c r="EO69" s="168"/>
      <c r="EP69" s="170"/>
      <c r="EQ69" s="171"/>
      <c r="ER69" s="68"/>
      <c r="ES69" s="68"/>
      <c r="ET69" s="68"/>
      <c r="EU69" s="167"/>
      <c r="EV69" s="168"/>
      <c r="EW69" s="169"/>
      <c r="EX69" s="168"/>
      <c r="EY69" s="170"/>
      <c r="EZ69" s="171"/>
      <c r="FA69" s="68"/>
      <c r="FB69" s="68"/>
      <c r="FC69" s="68"/>
      <c r="FD69" s="167"/>
      <c r="FE69" s="168"/>
      <c r="FF69" s="169"/>
      <c r="FG69" s="168"/>
      <c r="FH69" s="170"/>
      <c r="FI69" s="171"/>
      <c r="FJ69" s="68"/>
      <c r="FK69" s="68"/>
      <c r="FL69" s="68"/>
      <c r="FM69" s="167"/>
      <c r="FN69" s="168"/>
      <c r="FO69" s="169"/>
      <c r="FP69" s="168"/>
      <c r="FQ69" s="170"/>
      <c r="FR69" s="171"/>
      <c r="FS69" s="68"/>
      <c r="FT69" s="68"/>
      <c r="FU69" s="68"/>
      <c r="FV69" s="167"/>
      <c r="FW69" s="168"/>
      <c r="FX69" s="169"/>
      <c r="FY69" s="168"/>
      <c r="FZ69" s="170"/>
      <c r="GA69" s="171"/>
      <c r="GB69" s="68"/>
      <c r="GC69" s="68"/>
      <c r="GD69" s="68"/>
      <c r="GE69" s="167"/>
      <c r="GF69" s="168"/>
      <c r="GG69" s="169"/>
      <c r="GH69" s="168"/>
      <c r="GI69" s="170"/>
      <c r="GJ69" s="171"/>
      <c r="GK69" s="68"/>
      <c r="GL69" s="68"/>
      <c r="GM69" s="68"/>
      <c r="GN69" s="167"/>
      <c r="GO69" s="168"/>
      <c r="GP69" s="169"/>
      <c r="GQ69" s="168"/>
      <c r="GR69" s="170"/>
      <c r="GS69" s="171"/>
      <c r="GT69" s="171"/>
      <c r="GU69" s="64"/>
      <c r="GV69" s="65"/>
      <c r="GW69" s="66"/>
      <c r="GX69" s="66"/>
      <c r="GY69" s="167"/>
      <c r="GZ69" s="86"/>
    </row>
    <row r="70" spans="1:208" x14ac:dyDescent="0.25">
      <c r="A70"/>
      <c r="D70" s="35"/>
      <c r="E70" s="36"/>
      <c r="F70" s="37"/>
      <c r="G70" s="38"/>
      <c r="H70" s="39"/>
      <c r="I70" s="40"/>
      <c r="J70" s="174"/>
      <c r="K70" s="407"/>
      <c r="L70" s="70"/>
      <c r="M70" s="71"/>
      <c r="N70" s="175"/>
      <c r="O70" s="72"/>
      <c r="P70" s="113">
        <f t="shared" si="4"/>
        <v>0</v>
      </c>
      <c r="Q70" s="117"/>
      <c r="R70" s="117"/>
      <c r="S70" s="117"/>
      <c r="T70" s="39">
        <f t="shared" ref="T70:T77" si="5">Q70*O70</f>
        <v>0</v>
      </c>
      <c r="U70" s="138"/>
      <c r="V70" s="172"/>
      <c r="W70" s="86"/>
      <c r="X70" s="68"/>
      <c r="Y70" s="167"/>
      <c r="Z70" s="168"/>
      <c r="AA70" s="169"/>
      <c r="AB70" s="168"/>
      <c r="AC70" s="170"/>
      <c r="AD70" s="171"/>
      <c r="AE70" s="68"/>
      <c r="AF70" s="68"/>
      <c r="AG70" s="68"/>
      <c r="AH70" s="167"/>
      <c r="AI70" s="168"/>
      <c r="AJ70" s="169"/>
      <c r="AK70" s="168"/>
      <c r="AL70" s="170"/>
      <c r="AM70" s="171"/>
      <c r="AN70" s="68"/>
      <c r="AO70" s="68"/>
      <c r="AP70" s="68"/>
      <c r="AQ70" s="167"/>
      <c r="AR70" s="168"/>
      <c r="AS70" s="169"/>
      <c r="AT70" s="168"/>
      <c r="AU70" s="170"/>
      <c r="AV70" s="171"/>
      <c r="AW70" s="68"/>
      <c r="AX70" s="68"/>
      <c r="AY70" s="68"/>
      <c r="AZ70" s="167"/>
      <c r="BA70" s="168"/>
      <c r="BB70" s="169"/>
      <c r="BC70" s="168"/>
      <c r="BD70" s="170"/>
      <c r="BE70" s="171"/>
      <c r="BF70" s="68"/>
      <c r="BG70" s="68"/>
      <c r="BH70" s="68"/>
      <c r="BI70" s="167"/>
      <c r="BJ70" s="168"/>
      <c r="BK70" s="169"/>
      <c r="BL70" s="168"/>
      <c r="BM70" s="170"/>
      <c r="BN70" s="171"/>
      <c r="BO70" s="68"/>
      <c r="BP70" s="68"/>
      <c r="BQ70" s="68"/>
      <c r="BR70" s="167"/>
      <c r="BS70" s="168"/>
      <c r="BT70" s="169"/>
      <c r="BU70" s="168"/>
      <c r="BV70" s="170"/>
      <c r="BW70" s="171"/>
      <c r="BX70" s="68"/>
      <c r="BY70" s="68"/>
      <c r="BZ70" s="68"/>
      <c r="CA70" s="167"/>
      <c r="CB70" s="168"/>
      <c r="CC70" s="169"/>
      <c r="CD70" s="168"/>
      <c r="CE70" s="170"/>
      <c r="CF70" s="171"/>
      <c r="CG70" s="68"/>
      <c r="CH70" s="68"/>
      <c r="CI70" s="68"/>
      <c r="CJ70" s="167"/>
      <c r="CK70" s="168"/>
      <c r="CL70" s="169"/>
      <c r="CM70" s="168"/>
      <c r="CN70" s="170"/>
      <c r="CO70" s="171"/>
      <c r="CP70" s="68"/>
      <c r="CQ70" s="68"/>
      <c r="CR70" s="68"/>
      <c r="CS70" s="167"/>
      <c r="CT70" s="168"/>
      <c r="CU70" s="169"/>
      <c r="CV70" s="168"/>
      <c r="CW70" s="170"/>
      <c r="CX70" s="171"/>
      <c r="CY70" s="68"/>
      <c r="CZ70" s="68"/>
      <c r="DA70" s="68"/>
      <c r="DB70" s="167"/>
      <c r="DC70" s="168"/>
      <c r="DD70" s="169"/>
      <c r="DE70" s="168"/>
      <c r="DF70" s="170"/>
      <c r="DG70" s="171"/>
      <c r="DH70" s="68"/>
      <c r="DI70" s="68"/>
      <c r="DJ70" s="68"/>
      <c r="DK70" s="167"/>
      <c r="DL70" s="168"/>
      <c r="DM70" s="169"/>
      <c r="DN70" s="168"/>
      <c r="DO70" s="170"/>
      <c r="DP70" s="171"/>
      <c r="DQ70" s="68"/>
      <c r="DR70" s="68"/>
      <c r="DS70" s="68"/>
      <c r="DT70" s="167"/>
      <c r="DU70" s="168"/>
      <c r="DV70" s="169"/>
      <c r="DW70" s="168"/>
      <c r="DX70" s="170"/>
      <c r="DY70" s="171"/>
      <c r="DZ70" s="68"/>
      <c r="EA70" s="68"/>
      <c r="EB70" s="68"/>
      <c r="EC70" s="167"/>
      <c r="ED70" s="168"/>
      <c r="EE70" s="169"/>
      <c r="EF70" s="168"/>
      <c r="EG70" s="170"/>
      <c r="EH70" s="171"/>
      <c r="EI70" s="68"/>
      <c r="EJ70" s="68"/>
      <c r="EK70" s="68"/>
      <c r="EL70" s="167"/>
      <c r="EM70" s="168"/>
      <c r="EN70" s="169"/>
      <c r="EO70" s="168"/>
      <c r="EP70" s="170"/>
      <c r="EQ70" s="171"/>
      <c r="ER70" s="68"/>
      <c r="ES70" s="68"/>
      <c r="ET70" s="68"/>
      <c r="EU70" s="167"/>
      <c r="EV70" s="168"/>
      <c r="EW70" s="169"/>
      <c r="EX70" s="168"/>
      <c r="EY70" s="170"/>
      <c r="EZ70" s="171"/>
      <c r="FA70" s="68"/>
      <c r="FB70" s="68"/>
      <c r="FC70" s="68"/>
      <c r="FD70" s="167"/>
      <c r="FE70" s="168"/>
      <c r="FF70" s="169"/>
      <c r="FG70" s="168"/>
      <c r="FH70" s="170"/>
      <c r="FI70" s="171"/>
      <c r="FJ70" s="68"/>
      <c r="FK70" s="68"/>
      <c r="FL70" s="68"/>
      <c r="FM70" s="167"/>
      <c r="FN70" s="168"/>
      <c r="FO70" s="169"/>
      <c r="FP70" s="168"/>
      <c r="FQ70" s="170"/>
      <c r="FR70" s="171"/>
      <c r="FS70" s="68"/>
      <c r="FT70" s="68"/>
      <c r="FU70" s="68"/>
      <c r="FV70" s="167"/>
      <c r="FW70" s="168"/>
      <c r="FX70" s="169"/>
      <c r="FY70" s="168"/>
      <c r="FZ70" s="170"/>
      <c r="GA70" s="171"/>
      <c r="GB70" s="68"/>
      <c r="GC70" s="68"/>
      <c r="GD70" s="68"/>
      <c r="GE70" s="167"/>
      <c r="GF70" s="168"/>
      <c r="GG70" s="169"/>
      <c r="GH70" s="168"/>
      <c r="GI70" s="170"/>
      <c r="GJ70" s="171"/>
      <c r="GK70" s="68"/>
      <c r="GL70" s="68"/>
      <c r="GM70" s="68"/>
      <c r="GN70" s="167"/>
      <c r="GO70" s="168"/>
      <c r="GP70" s="169"/>
      <c r="GQ70" s="168"/>
      <c r="GR70" s="170"/>
      <c r="GS70" s="171"/>
      <c r="GT70" s="171"/>
      <c r="GU70" s="64"/>
      <c r="GV70" s="65"/>
      <c r="GW70" s="66"/>
      <c r="GX70" s="66"/>
      <c r="GY70" s="391"/>
      <c r="GZ70" s="67"/>
    </row>
    <row r="71" spans="1:208" x14ac:dyDescent="0.25">
      <c r="A71"/>
      <c r="D71" s="35"/>
      <c r="E71" s="36"/>
      <c r="F71" s="37"/>
      <c r="G71" s="38"/>
      <c r="H71" s="39"/>
      <c r="I71" s="40"/>
      <c r="J71" s="177"/>
      <c r="K71" s="452"/>
      <c r="N71" s="179"/>
      <c r="P71" s="27"/>
      <c r="Q71" s="180"/>
      <c r="R71" s="180"/>
      <c r="S71" s="180"/>
      <c r="T71" s="39">
        <f t="shared" si="5"/>
        <v>0</v>
      </c>
      <c r="U71" s="181"/>
      <c r="V71" s="182"/>
      <c r="W71" s="30"/>
      <c r="X71" s="8"/>
      <c r="Y71" s="183"/>
      <c r="Z71" s="184"/>
      <c r="AA71" s="185"/>
      <c r="AB71" s="184"/>
      <c r="AC71" s="186"/>
      <c r="AD71" s="187"/>
      <c r="AE71" s="8"/>
      <c r="AF71" s="8"/>
      <c r="AG71" s="188"/>
      <c r="AH71" s="183"/>
      <c r="AI71" s="184"/>
      <c r="AJ71" s="185"/>
      <c r="AK71" s="28"/>
      <c r="AL71" s="186"/>
      <c r="AM71" s="187"/>
      <c r="AN71" s="8"/>
      <c r="AO71" s="8"/>
      <c r="AP71" s="188"/>
      <c r="AQ71" s="183"/>
      <c r="AR71" s="184"/>
      <c r="AS71" s="185"/>
      <c r="AT71" s="184"/>
      <c r="AU71" s="186"/>
      <c r="AV71" s="187"/>
      <c r="AW71" s="8"/>
      <c r="AX71" s="8"/>
      <c r="AY71" s="188"/>
      <c r="AZ71" s="183"/>
      <c r="BA71" s="184"/>
      <c r="BB71" s="185"/>
      <c r="BC71" s="28"/>
      <c r="BD71" s="186"/>
      <c r="BE71" s="187"/>
      <c r="BF71" s="8"/>
      <c r="BG71" s="8"/>
      <c r="BH71" s="188"/>
      <c r="BI71" s="183"/>
      <c r="BJ71" s="184"/>
      <c r="BK71" s="185"/>
      <c r="BL71" s="28"/>
      <c r="BM71" s="186"/>
      <c r="BN71" s="187"/>
      <c r="BO71" s="8"/>
      <c r="BP71" s="8"/>
      <c r="BQ71" s="188"/>
      <c r="BR71" s="183"/>
      <c r="BS71" s="184"/>
      <c r="BT71" s="185"/>
      <c r="BU71" s="184"/>
      <c r="BV71" s="186"/>
      <c r="BW71" s="187"/>
      <c r="BX71" s="8"/>
      <c r="BY71" s="8"/>
      <c r="BZ71" s="188"/>
      <c r="CA71" s="183"/>
      <c r="CB71" s="184"/>
      <c r="CC71" s="185"/>
      <c r="CD71" s="184"/>
      <c r="CE71" s="186"/>
      <c r="CF71" s="187"/>
      <c r="CG71" s="8"/>
      <c r="CH71" s="8"/>
      <c r="CI71" s="188"/>
      <c r="CJ71" s="183"/>
      <c r="CK71" s="184"/>
      <c r="CL71" s="185"/>
      <c r="CM71" s="184"/>
      <c r="CN71" s="186"/>
      <c r="CO71" s="187"/>
      <c r="CP71" s="8"/>
      <c r="CQ71" s="8"/>
      <c r="CR71" s="188"/>
      <c r="CS71" s="183"/>
      <c r="CT71" s="184"/>
      <c r="CU71" s="189"/>
      <c r="CV71" s="28"/>
      <c r="CW71" s="190"/>
      <c r="CX71" s="187"/>
      <c r="CY71" s="8"/>
      <c r="CZ71" s="8"/>
      <c r="DA71" s="188"/>
      <c r="DB71" s="183"/>
      <c r="DC71" s="184"/>
      <c r="DD71" s="185"/>
      <c r="DE71" s="184"/>
      <c r="DF71" s="186"/>
      <c r="DG71" s="187"/>
      <c r="DH71" s="8"/>
      <c r="DI71" s="8"/>
      <c r="DJ71" s="188"/>
      <c r="DK71" s="183"/>
      <c r="DL71" s="184"/>
      <c r="DM71" s="189"/>
      <c r="DN71" s="28"/>
      <c r="DO71" s="190"/>
      <c r="DP71" s="187"/>
      <c r="DQ71" s="8"/>
      <c r="DR71" s="8"/>
      <c r="DS71" s="188"/>
      <c r="DT71" s="183"/>
      <c r="DU71" s="184"/>
      <c r="DV71" s="185"/>
      <c r="DW71" s="184"/>
      <c r="DX71" s="186"/>
      <c r="DY71" s="187"/>
      <c r="DZ71" s="8"/>
      <c r="EA71" s="8"/>
      <c r="EB71" s="188"/>
      <c r="EC71" s="183"/>
      <c r="ED71" s="184"/>
      <c r="EE71" s="189"/>
      <c r="EF71" s="28"/>
      <c r="EG71" s="190"/>
      <c r="EH71" s="187"/>
      <c r="EI71" s="8"/>
      <c r="EJ71" s="8"/>
      <c r="EK71" s="188"/>
      <c r="EL71" s="183"/>
      <c r="EM71" s="184"/>
      <c r="EN71" s="189"/>
      <c r="EO71" s="28"/>
      <c r="EP71" s="190"/>
      <c r="EQ71" s="187"/>
      <c r="ER71" s="8"/>
      <c r="ES71" s="8"/>
      <c r="ET71" s="188"/>
      <c r="EU71" s="183"/>
      <c r="EV71" s="184"/>
      <c r="EW71" s="185"/>
      <c r="EX71" s="184"/>
      <c r="EY71" s="186"/>
      <c r="EZ71" s="187"/>
      <c r="FA71" s="8"/>
      <c r="FB71" s="8"/>
      <c r="FC71" s="188"/>
      <c r="FD71" s="183"/>
      <c r="FE71" s="184"/>
      <c r="FF71" s="185"/>
      <c r="FG71" s="184"/>
      <c r="FH71" s="186"/>
      <c r="FI71" s="187"/>
      <c r="FJ71" s="8"/>
      <c r="FK71" s="8"/>
      <c r="FL71" s="188"/>
      <c r="FM71" s="183"/>
      <c r="FN71" s="184"/>
      <c r="FO71" s="185"/>
      <c r="FP71" s="184"/>
      <c r="FQ71" s="186"/>
      <c r="FR71" s="187"/>
      <c r="FS71" s="8"/>
      <c r="FT71" s="8"/>
      <c r="FU71" s="188"/>
      <c r="FV71" s="183"/>
      <c r="FW71" s="184"/>
      <c r="FX71" s="185"/>
      <c r="FY71" s="184"/>
      <c r="FZ71" s="186"/>
      <c r="GA71" s="187"/>
      <c r="GB71" s="8"/>
      <c r="GC71" s="8"/>
      <c r="GD71" s="188"/>
      <c r="GE71" s="183"/>
      <c r="GF71" s="184"/>
      <c r="GG71" s="185"/>
      <c r="GH71" s="184"/>
      <c r="GI71" s="186"/>
      <c r="GJ71" s="187"/>
      <c r="GK71" s="8"/>
      <c r="GL71" s="8"/>
      <c r="GM71" s="188"/>
      <c r="GN71" s="183"/>
      <c r="GO71" s="184"/>
      <c r="GP71" s="185"/>
      <c r="GQ71" s="184"/>
      <c r="GR71" s="186"/>
      <c r="GS71" s="187"/>
      <c r="GT71" s="187"/>
      <c r="GU71" s="29"/>
      <c r="GV71" s="191"/>
      <c r="GW71" s="31"/>
      <c r="GX71" s="31"/>
      <c r="GY71" s="387"/>
      <c r="GZ71" s="33"/>
    </row>
    <row r="72" spans="1:208" x14ac:dyDescent="0.25">
      <c r="A72"/>
      <c r="D72" s="35"/>
      <c r="E72" s="36"/>
      <c r="F72" s="37"/>
      <c r="G72" s="38"/>
      <c r="H72" s="39"/>
      <c r="I72" s="40"/>
      <c r="J72" s="177"/>
      <c r="K72" s="452"/>
      <c r="P72" s="27"/>
      <c r="Q72" s="180"/>
      <c r="R72" s="180"/>
      <c r="S72" s="180"/>
      <c r="T72" s="39">
        <f t="shared" si="5"/>
        <v>0</v>
      </c>
      <c r="U72" s="181"/>
      <c r="V72" s="182"/>
      <c r="W72" s="30"/>
      <c r="X72" s="8"/>
      <c r="Y72" s="183"/>
      <c r="Z72" s="184"/>
      <c r="AA72" s="185"/>
      <c r="AB72" s="184"/>
      <c r="AC72" s="186"/>
      <c r="AD72" s="187"/>
      <c r="AE72" s="8"/>
      <c r="AF72" s="8"/>
      <c r="AG72" s="188"/>
      <c r="AH72" s="183"/>
      <c r="AI72" s="184"/>
      <c r="AJ72" s="185"/>
      <c r="AK72" s="28"/>
      <c r="AL72" s="186"/>
      <c r="AM72" s="187"/>
      <c r="AN72" s="8"/>
      <c r="AO72" s="8"/>
      <c r="AP72" s="188"/>
      <c r="AQ72" s="183"/>
      <c r="AR72" s="184"/>
      <c r="AS72" s="185"/>
      <c r="AT72" s="184"/>
      <c r="AU72" s="186"/>
      <c r="AV72" s="187"/>
      <c r="AW72" s="8"/>
      <c r="AX72" s="8"/>
      <c r="AY72" s="188"/>
      <c r="AZ72" s="183"/>
      <c r="BA72" s="184"/>
      <c r="BB72" s="185"/>
      <c r="BC72" s="28"/>
      <c r="BD72" s="186"/>
      <c r="BE72" s="187"/>
      <c r="BF72" s="8"/>
      <c r="BG72" s="8"/>
      <c r="BH72" s="188"/>
      <c r="BI72" s="183"/>
      <c r="BJ72" s="184"/>
      <c r="BK72" s="185"/>
      <c r="BL72" s="28"/>
      <c r="BM72" s="186"/>
      <c r="BN72" s="187"/>
      <c r="BO72" s="8"/>
      <c r="BP72" s="8"/>
      <c r="BQ72" s="188"/>
      <c r="BR72" s="183"/>
      <c r="BS72" s="184"/>
      <c r="BT72" s="185"/>
      <c r="BU72" s="184"/>
      <c r="BV72" s="186"/>
      <c r="BW72" s="187"/>
      <c r="BX72" s="8"/>
      <c r="BY72" s="8"/>
      <c r="BZ72" s="188"/>
      <c r="CA72" s="183"/>
      <c r="CB72" s="184"/>
      <c r="CC72" s="185"/>
      <c r="CD72" s="184"/>
      <c r="CE72" s="186"/>
      <c r="CF72" s="187"/>
      <c r="CG72" s="8"/>
      <c r="CH72" s="8"/>
      <c r="CI72" s="188"/>
      <c r="CJ72" s="183"/>
      <c r="CK72" s="184"/>
      <c r="CL72" s="185"/>
      <c r="CM72" s="184"/>
      <c r="CN72" s="186"/>
      <c r="CO72" s="187"/>
      <c r="CP72" s="8"/>
      <c r="CQ72" s="8"/>
      <c r="CR72" s="188"/>
      <c r="CS72" s="183"/>
      <c r="CT72" s="184"/>
      <c r="CU72" s="189"/>
      <c r="CV72" s="28"/>
      <c r="CW72" s="190"/>
      <c r="CX72" s="187"/>
      <c r="CY72" s="8"/>
      <c r="CZ72" s="8"/>
      <c r="DA72" s="188"/>
      <c r="DB72" s="183"/>
      <c r="DC72" s="184"/>
      <c r="DD72" s="185"/>
      <c r="DE72" s="184"/>
      <c r="DF72" s="186"/>
      <c r="DG72" s="187"/>
      <c r="DH72" s="8"/>
      <c r="DI72" s="8"/>
      <c r="DJ72" s="188"/>
      <c r="DK72" s="183"/>
      <c r="DL72" s="184"/>
      <c r="DM72" s="189"/>
      <c r="DN72" s="28"/>
      <c r="DO72" s="190"/>
      <c r="DP72" s="187"/>
      <c r="DQ72" s="8"/>
      <c r="DR72" s="8"/>
      <c r="DS72" s="188"/>
      <c r="DT72" s="183"/>
      <c r="DU72" s="184"/>
      <c r="DV72" s="185"/>
      <c r="DW72" s="184"/>
      <c r="DX72" s="186"/>
      <c r="DY72" s="187"/>
      <c r="DZ72" s="8"/>
      <c r="EA72" s="8"/>
      <c r="EB72" s="188"/>
      <c r="EC72" s="183"/>
      <c r="ED72" s="184"/>
      <c r="EE72" s="189"/>
      <c r="EF72" s="28"/>
      <c r="EG72" s="190"/>
      <c r="EH72" s="187"/>
      <c r="EI72" s="8"/>
      <c r="EJ72" s="8"/>
      <c r="EK72" s="188"/>
      <c r="EL72" s="183"/>
      <c r="EM72" s="184"/>
      <c r="EN72" s="189"/>
      <c r="EO72" s="28"/>
      <c r="EP72" s="190"/>
      <c r="EQ72" s="187"/>
      <c r="ER72" s="8"/>
      <c r="ES72" s="8"/>
      <c r="ET72" s="188"/>
      <c r="EU72" s="183"/>
      <c r="EV72" s="184"/>
      <c r="EW72" s="185"/>
      <c r="EX72" s="184"/>
      <c r="EY72" s="186"/>
      <c r="EZ72" s="187"/>
      <c r="FA72" s="8"/>
      <c r="FB72" s="8"/>
      <c r="FC72" s="188"/>
      <c r="FD72" s="183"/>
      <c r="FE72" s="184"/>
      <c r="FF72" s="185"/>
      <c r="FG72" s="184"/>
      <c r="FH72" s="186"/>
      <c r="FI72" s="187"/>
      <c r="FJ72" s="8"/>
      <c r="FK72" s="8"/>
      <c r="FL72" s="188"/>
      <c r="FM72" s="183"/>
      <c r="FN72" s="184"/>
      <c r="FO72" s="185"/>
      <c r="FP72" s="184"/>
      <c r="FQ72" s="186"/>
      <c r="FR72" s="187"/>
      <c r="FS72" s="8"/>
      <c r="FT72" s="8"/>
      <c r="FU72" s="188"/>
      <c r="FV72" s="183"/>
      <c r="FW72" s="184"/>
      <c r="FX72" s="185"/>
      <c r="FY72" s="184"/>
      <c r="FZ72" s="186"/>
      <c r="GA72" s="187"/>
      <c r="GB72" s="8"/>
      <c r="GC72" s="8"/>
      <c r="GD72" s="188"/>
      <c r="GE72" s="183"/>
      <c r="GF72" s="184"/>
      <c r="GG72" s="185"/>
      <c r="GH72" s="184"/>
      <c r="GI72" s="186"/>
      <c r="GJ72" s="187"/>
      <c r="GK72" s="8"/>
      <c r="GL72" s="8"/>
      <c r="GM72" s="188"/>
      <c r="GN72" s="183"/>
      <c r="GO72" s="184"/>
      <c r="GP72" s="185"/>
      <c r="GQ72" s="184"/>
      <c r="GR72" s="186"/>
      <c r="GS72" s="187"/>
      <c r="GT72" s="187"/>
      <c r="GU72" s="29"/>
      <c r="GV72" s="191"/>
      <c r="GW72" s="31"/>
      <c r="GX72" s="31"/>
      <c r="GY72" s="387"/>
      <c r="GZ72" s="33"/>
    </row>
    <row r="73" spans="1:208" ht="16.5" thickBot="1" x14ac:dyDescent="0.3">
      <c r="A73"/>
      <c r="D73" s="35"/>
      <c r="E73" s="36"/>
      <c r="F73" s="37"/>
      <c r="G73" s="38"/>
      <c r="H73" s="39"/>
      <c r="I73" s="40"/>
      <c r="J73" s="177"/>
      <c r="K73" s="452"/>
      <c r="O73" s="192"/>
      <c r="P73" s="27"/>
      <c r="Q73" s="180"/>
      <c r="R73" s="180"/>
      <c r="S73" s="180"/>
      <c r="T73" s="39">
        <f t="shared" si="5"/>
        <v>0</v>
      </c>
      <c r="U73" s="181"/>
      <c r="V73" s="182"/>
      <c r="W73" s="30"/>
      <c r="X73" s="8"/>
      <c r="Y73" s="183"/>
      <c r="Z73" s="184"/>
      <c r="AA73" s="185"/>
      <c r="AB73" s="184"/>
      <c r="AC73" s="186"/>
      <c r="AD73" s="187"/>
      <c r="AE73" s="8"/>
      <c r="AF73" s="8"/>
      <c r="AG73" s="188"/>
      <c r="AH73" s="183"/>
      <c r="AI73" s="184"/>
      <c r="AJ73" s="185"/>
      <c r="AK73" s="28"/>
      <c r="AL73" s="186"/>
      <c r="AM73" s="187"/>
      <c r="AN73" s="8"/>
      <c r="AO73" s="8"/>
      <c r="AP73" s="188"/>
      <c r="AQ73" s="183"/>
      <c r="AR73" s="184"/>
      <c r="AS73" s="185"/>
      <c r="AT73" s="184"/>
      <c r="AU73" s="186"/>
      <c r="AV73" s="187"/>
      <c r="AW73" s="8"/>
      <c r="AX73" s="8"/>
      <c r="AY73" s="188"/>
      <c r="AZ73" s="183"/>
      <c r="BA73" s="184"/>
      <c r="BB73" s="185"/>
      <c r="BC73" s="28"/>
      <c r="BD73" s="186"/>
      <c r="BE73" s="187"/>
      <c r="BF73" s="8"/>
      <c r="BG73" s="8"/>
      <c r="BH73" s="188"/>
      <c r="BI73" s="183"/>
      <c r="BJ73" s="184"/>
      <c r="BK73" s="185"/>
      <c r="BL73" s="28"/>
      <c r="BM73" s="186"/>
      <c r="BN73" s="187"/>
      <c r="BO73" s="8"/>
      <c r="BP73" s="8"/>
      <c r="BQ73" s="188"/>
      <c r="BR73" s="183"/>
      <c r="BS73" s="184"/>
      <c r="BT73" s="185"/>
      <c r="BU73" s="184"/>
      <c r="BV73" s="186"/>
      <c r="BW73" s="187"/>
      <c r="BX73" s="8"/>
      <c r="BY73" s="8"/>
      <c r="BZ73" s="188"/>
      <c r="CA73" s="183"/>
      <c r="CB73" s="184"/>
      <c r="CC73" s="185"/>
      <c r="CD73" s="184"/>
      <c r="CE73" s="186"/>
      <c r="CF73" s="187"/>
      <c r="CG73" s="8"/>
      <c r="CH73" s="8"/>
      <c r="CI73" s="188"/>
      <c r="CJ73" s="183"/>
      <c r="CK73" s="184"/>
      <c r="CL73" s="185"/>
      <c r="CM73" s="184"/>
      <c r="CN73" s="186"/>
      <c r="CO73" s="187"/>
      <c r="CP73" s="8"/>
      <c r="CQ73" s="8"/>
      <c r="CR73" s="188"/>
      <c r="CS73" s="183"/>
      <c r="CT73" s="184"/>
      <c r="CU73" s="189"/>
      <c r="CV73" s="28"/>
      <c r="CW73" s="190"/>
      <c r="CX73" s="187"/>
      <c r="CY73" s="8"/>
      <c r="CZ73" s="8"/>
      <c r="DA73" s="188"/>
      <c r="DB73" s="183"/>
      <c r="DC73" s="184"/>
      <c r="DD73" s="185"/>
      <c r="DE73" s="184"/>
      <c r="DF73" s="186"/>
      <c r="DG73" s="187"/>
      <c r="DH73" s="8"/>
      <c r="DI73" s="8"/>
      <c r="DJ73" s="188"/>
      <c r="DK73" s="183"/>
      <c r="DL73" s="184"/>
      <c r="DM73" s="189"/>
      <c r="DN73" s="28"/>
      <c r="DO73" s="190"/>
      <c r="DP73" s="187"/>
      <c r="DQ73" s="8"/>
      <c r="DR73" s="8"/>
      <c r="DS73" s="188"/>
      <c r="DT73" s="183"/>
      <c r="DU73" s="184"/>
      <c r="DV73" s="185"/>
      <c r="DW73" s="184"/>
      <c r="DX73" s="186"/>
      <c r="DY73" s="187"/>
      <c r="DZ73" s="8"/>
      <c r="EA73" s="8"/>
      <c r="EB73" s="188"/>
      <c r="EC73" s="183"/>
      <c r="ED73" s="184"/>
      <c r="EE73" s="189"/>
      <c r="EF73" s="28"/>
      <c r="EG73" s="190"/>
      <c r="EH73" s="187"/>
      <c r="EI73" s="8"/>
      <c r="EJ73" s="8"/>
      <c r="EK73" s="188"/>
      <c r="EL73" s="183"/>
      <c r="EM73" s="184"/>
      <c r="EN73" s="189"/>
      <c r="EO73" s="28"/>
      <c r="EP73" s="190"/>
      <c r="EQ73" s="187"/>
      <c r="ER73" s="8"/>
      <c r="ES73" s="8"/>
      <c r="ET73" s="188"/>
      <c r="EU73" s="183"/>
      <c r="EV73" s="184"/>
      <c r="EW73" s="185"/>
      <c r="EX73" s="184"/>
      <c r="EY73" s="186"/>
      <c r="EZ73" s="187"/>
      <c r="FA73" s="8"/>
      <c r="FB73" s="8"/>
      <c r="FC73" s="188"/>
      <c r="FD73" s="183"/>
      <c r="FE73" s="184"/>
      <c r="FF73" s="185"/>
      <c r="FG73" s="184"/>
      <c r="FH73" s="186"/>
      <c r="FI73" s="187"/>
      <c r="FJ73" s="8"/>
      <c r="FK73" s="8"/>
      <c r="FL73" s="188"/>
      <c r="FM73" s="183"/>
      <c r="FN73" s="184"/>
      <c r="FO73" s="185"/>
      <c r="FP73" s="184"/>
      <c r="FQ73" s="186"/>
      <c r="FR73" s="187"/>
      <c r="FS73" s="8"/>
      <c r="FT73" s="8"/>
      <c r="FU73" s="188"/>
      <c r="FV73" s="183"/>
      <c r="FW73" s="184"/>
      <c r="FX73" s="185"/>
      <c r="FY73" s="184"/>
      <c r="FZ73" s="186"/>
      <c r="GA73" s="187"/>
      <c r="GB73" s="8"/>
      <c r="GC73" s="8"/>
      <c r="GD73" s="188"/>
      <c r="GE73" s="183"/>
      <c r="GF73" s="184"/>
      <c r="GG73" s="185"/>
      <c r="GH73" s="184"/>
      <c r="GI73" s="186"/>
      <c r="GJ73" s="187"/>
      <c r="GK73" s="8"/>
      <c r="GL73" s="8"/>
      <c r="GM73" s="188"/>
      <c r="GN73" s="183"/>
      <c r="GO73" s="184"/>
      <c r="GP73" s="185"/>
      <c r="GQ73" s="184"/>
      <c r="GR73" s="186"/>
      <c r="GS73" s="187"/>
      <c r="GT73" s="187"/>
      <c r="GU73" s="29"/>
      <c r="GV73" s="191"/>
      <c r="GW73" s="31"/>
      <c r="GX73" s="31"/>
      <c r="GY73" s="387"/>
      <c r="GZ73" s="33"/>
    </row>
    <row r="74" spans="1:208" ht="20.25" thickTop="1" thickBot="1" x14ac:dyDescent="0.35">
      <c r="A74"/>
      <c r="D74" s="35"/>
      <c r="E74" s="36"/>
      <c r="F74" s="37"/>
      <c r="G74" s="38"/>
      <c r="H74" s="39"/>
      <c r="I74" s="40"/>
      <c r="J74" s="177"/>
      <c r="K74" s="452"/>
      <c r="M74" s="870" t="s">
        <v>28</v>
      </c>
      <c r="N74" s="871"/>
      <c r="O74" s="872">
        <f>SUM(O9:O73)</f>
        <v>702055.15</v>
      </c>
      <c r="P74" s="193"/>
      <c r="Q74" s="180"/>
      <c r="R74" s="194"/>
      <c r="S74" s="180"/>
      <c r="T74" s="39">
        <f t="shared" si="5"/>
        <v>0</v>
      </c>
      <c r="U74" s="181"/>
      <c r="V74" s="182"/>
      <c r="W74" s="30"/>
      <c r="X74" s="195"/>
      <c r="Y74" s="196"/>
      <c r="Z74" s="197"/>
      <c r="AA74" s="198"/>
      <c r="AB74" s="197"/>
      <c r="AC74" s="199"/>
      <c r="AD74" s="200"/>
      <c r="AE74" s="195"/>
      <c r="AF74" s="195"/>
      <c r="AG74" s="201"/>
      <c r="AH74" s="196"/>
      <c r="AI74" s="197"/>
      <c r="AJ74" s="198"/>
      <c r="AK74" s="202"/>
      <c r="AL74" s="199"/>
      <c r="AM74" s="200"/>
      <c r="AN74" s="195"/>
      <c r="AO74" s="195"/>
      <c r="AP74" s="201"/>
      <c r="AQ74" s="196"/>
      <c r="AR74" s="197"/>
      <c r="AS74" s="198"/>
      <c r="AT74" s="197"/>
      <c r="AU74" s="199"/>
      <c r="AV74" s="200"/>
      <c r="AW74" s="195"/>
      <c r="AX74" s="195"/>
      <c r="AY74" s="201"/>
      <c r="AZ74" s="196"/>
      <c r="BA74" s="197"/>
      <c r="BB74" s="198"/>
      <c r="BC74" s="202"/>
      <c r="BD74" s="199"/>
      <c r="BE74" s="200"/>
      <c r="BF74" s="195"/>
      <c r="BG74" s="195"/>
      <c r="BH74" s="201"/>
      <c r="BI74" s="196"/>
      <c r="BJ74" s="197"/>
      <c r="BK74" s="198"/>
      <c r="BL74" s="202"/>
      <c r="BM74" s="199"/>
      <c r="BN74" s="200"/>
      <c r="BO74" s="195"/>
      <c r="BP74" s="195"/>
      <c r="BQ74" s="201"/>
      <c r="BR74" s="196"/>
      <c r="BS74" s="197"/>
      <c r="BT74" s="198"/>
      <c r="BU74" s="197"/>
      <c r="BV74" s="199"/>
      <c r="BW74" s="200"/>
      <c r="BX74" s="195"/>
      <c r="BY74" s="195"/>
      <c r="BZ74" s="201"/>
      <c r="CA74" s="196"/>
      <c r="CB74" s="197"/>
      <c r="CC74" s="198"/>
      <c r="CD74" s="197"/>
      <c r="CE74" s="199"/>
      <c r="CF74" s="200"/>
      <c r="CG74" s="195"/>
      <c r="CH74" s="195"/>
      <c r="CI74" s="201"/>
      <c r="CJ74" s="196"/>
      <c r="CK74" s="197"/>
      <c r="CL74" s="198"/>
      <c r="CM74" s="197"/>
      <c r="CN74" s="199"/>
      <c r="CO74" s="200"/>
      <c r="CP74" s="195"/>
      <c r="CQ74" s="195"/>
      <c r="CR74" s="201"/>
      <c r="CS74" s="196"/>
      <c r="CT74" s="197"/>
      <c r="CU74" s="203"/>
      <c r="CV74" s="202"/>
      <c r="CW74" s="204"/>
      <c r="CX74" s="200"/>
      <c r="CY74" s="195"/>
      <c r="CZ74" s="195"/>
      <c r="DA74" s="201"/>
      <c r="DB74" s="196"/>
      <c r="DC74" s="197"/>
      <c r="DD74" s="198"/>
      <c r="DE74" s="197"/>
      <c r="DF74" s="199"/>
      <c r="DG74" s="200"/>
      <c r="DH74" s="195"/>
      <c r="DI74" s="195"/>
      <c r="DJ74" s="201"/>
      <c r="DK74" s="196"/>
      <c r="DL74" s="197"/>
      <c r="DM74" s="203"/>
      <c r="DN74" s="202"/>
      <c r="DO74" s="204"/>
      <c r="DP74" s="200"/>
      <c r="DQ74" s="195"/>
      <c r="DR74" s="195"/>
      <c r="DS74" s="201"/>
      <c r="DT74" s="196"/>
      <c r="DU74" s="197"/>
      <c r="DV74" s="198"/>
      <c r="DW74" s="197"/>
      <c r="DX74" s="199"/>
      <c r="DY74" s="200"/>
      <c r="DZ74" s="195"/>
      <c r="EA74" s="195"/>
      <c r="EB74" s="201"/>
      <c r="EC74" s="196"/>
      <c r="ED74" s="197"/>
      <c r="EE74" s="203"/>
      <c r="EF74" s="202"/>
      <c r="EG74" s="204"/>
      <c r="EH74" s="200"/>
      <c r="EI74" s="195"/>
      <c r="EJ74" s="195"/>
      <c r="EK74" s="201"/>
      <c r="EL74" s="196"/>
      <c r="EM74" s="197"/>
      <c r="EN74" s="203"/>
      <c r="EO74" s="202"/>
      <c r="EP74" s="204"/>
      <c r="EQ74" s="200"/>
      <c r="ER74" s="195"/>
      <c r="ES74" s="195"/>
      <c r="ET74" s="201"/>
      <c r="EU74" s="196"/>
      <c r="EV74" s="197"/>
      <c r="EW74" s="198"/>
      <c r="EX74" s="197"/>
      <c r="EY74" s="199"/>
      <c r="EZ74" s="200"/>
      <c r="FA74" s="195"/>
      <c r="FB74" s="195"/>
      <c r="FC74" s="201"/>
      <c r="FD74" s="196"/>
      <c r="FE74" s="197"/>
      <c r="FF74" s="198"/>
      <c r="FG74" s="197"/>
      <c r="FH74" s="199"/>
      <c r="FI74" s="200"/>
      <c r="FJ74" s="195"/>
      <c r="FK74" s="195"/>
      <c r="FL74" s="201"/>
      <c r="FM74" s="196"/>
      <c r="FN74" s="197"/>
      <c r="FO74" s="198"/>
      <c r="FP74" s="197"/>
      <c r="FQ74" s="199"/>
      <c r="FR74" s="200"/>
      <c r="FS74" s="195"/>
      <c r="FT74" s="195"/>
      <c r="FU74" s="201"/>
      <c r="FV74" s="196"/>
      <c r="FW74" s="197"/>
      <c r="FX74" s="198"/>
      <c r="FY74" s="197"/>
      <c r="FZ74" s="199"/>
      <c r="GA74" s="200"/>
      <c r="GB74" s="195"/>
      <c r="GC74" s="195"/>
      <c r="GD74" s="201"/>
      <c r="GE74" s="196"/>
      <c r="GF74" s="197"/>
      <c r="GG74" s="198"/>
      <c r="GH74" s="197"/>
      <c r="GI74" s="199"/>
      <c r="GJ74" s="200"/>
      <c r="GK74" s="195"/>
      <c r="GL74" s="195"/>
      <c r="GM74" s="201"/>
      <c r="GN74" s="196"/>
      <c r="GO74" s="197"/>
      <c r="GP74" s="198"/>
      <c r="GQ74" s="197"/>
      <c r="GR74" s="199"/>
      <c r="GS74" s="200"/>
      <c r="GT74" s="187"/>
      <c r="GU74" s="29"/>
      <c r="GV74" s="205"/>
      <c r="GZ74" s="33"/>
    </row>
    <row r="75" spans="1:208" ht="19.5" thickBot="1" x14ac:dyDescent="0.3">
      <c r="A75"/>
      <c r="D75" s="35"/>
      <c r="E75" s="36"/>
      <c r="F75" s="37"/>
      <c r="G75" s="38"/>
      <c r="H75" s="39"/>
      <c r="I75" s="40"/>
      <c r="J75" s="208"/>
      <c r="K75" s="452"/>
      <c r="O75" s="873"/>
      <c r="P75" s="193"/>
      <c r="Q75" s="180"/>
      <c r="R75" s="194"/>
      <c r="S75" s="180"/>
      <c r="T75" s="39">
        <f t="shared" si="5"/>
        <v>0</v>
      </c>
      <c r="U75" s="181"/>
      <c r="V75" s="182"/>
      <c r="W75" s="30"/>
      <c r="X75" s="195"/>
      <c r="Y75" s="196"/>
      <c r="Z75" s="197"/>
      <c r="AA75" s="198"/>
      <c r="AB75" s="197"/>
      <c r="AC75" s="199"/>
      <c r="AD75" s="200"/>
      <c r="AE75" s="195"/>
      <c r="AF75" s="195"/>
      <c r="AG75" s="201"/>
      <c r="AH75" s="196"/>
      <c r="AI75" s="197"/>
      <c r="AJ75" s="198"/>
      <c r="AK75" s="202"/>
      <c r="AL75" s="199"/>
      <c r="AM75" s="200"/>
      <c r="AN75" s="195"/>
      <c r="AO75" s="195"/>
      <c r="AP75" s="201"/>
      <c r="AQ75" s="196"/>
      <c r="AR75" s="197"/>
      <c r="AS75" s="198"/>
      <c r="AT75" s="197"/>
      <c r="AU75" s="199"/>
      <c r="AV75" s="200"/>
      <c r="AW75" s="195"/>
      <c r="AX75" s="195"/>
      <c r="AY75" s="201"/>
      <c r="AZ75" s="196"/>
      <c r="BA75" s="197"/>
      <c r="BB75" s="198"/>
      <c r="BC75" s="202"/>
      <c r="BD75" s="199"/>
      <c r="BE75" s="200"/>
      <c r="BF75" s="195"/>
      <c r="BG75" s="195"/>
      <c r="BH75" s="201"/>
      <c r="BI75" s="196"/>
      <c r="BJ75" s="197"/>
      <c r="BK75" s="198"/>
      <c r="BL75" s="202"/>
      <c r="BM75" s="199"/>
      <c r="BN75" s="200"/>
      <c r="BO75" s="195"/>
      <c r="BP75" s="195"/>
      <c r="BQ75" s="201"/>
      <c r="BR75" s="196"/>
      <c r="BS75" s="197"/>
      <c r="BT75" s="198"/>
      <c r="BU75" s="197"/>
      <c r="BV75" s="199"/>
      <c r="BW75" s="200"/>
      <c r="BX75" s="195"/>
      <c r="BY75" s="195"/>
      <c r="BZ75" s="201"/>
      <c r="CA75" s="196"/>
      <c r="CB75" s="197"/>
      <c r="CC75" s="198"/>
      <c r="CD75" s="197"/>
      <c r="CE75" s="199"/>
      <c r="CF75" s="200"/>
      <c r="CG75" s="195"/>
      <c r="CH75" s="195"/>
      <c r="CI75" s="201"/>
      <c r="CJ75" s="196"/>
      <c r="CK75" s="197"/>
      <c r="CL75" s="198"/>
      <c r="CM75" s="197"/>
      <c r="CN75" s="199"/>
      <c r="CO75" s="200"/>
      <c r="CP75" s="195"/>
      <c r="CQ75" s="195"/>
      <c r="CR75" s="201"/>
      <c r="CS75" s="196"/>
      <c r="CT75" s="197"/>
      <c r="CU75" s="203"/>
      <c r="CV75" s="202"/>
      <c r="CW75" s="204"/>
      <c r="CX75" s="200"/>
      <c r="CY75" s="195"/>
      <c r="CZ75" s="195"/>
      <c r="DA75" s="201"/>
      <c r="DB75" s="196"/>
      <c r="DC75" s="197"/>
      <c r="DD75" s="198"/>
      <c r="DE75" s="197"/>
      <c r="DF75" s="199"/>
      <c r="DG75" s="200"/>
      <c r="DH75" s="195"/>
      <c r="DI75" s="195"/>
      <c r="DJ75" s="201"/>
      <c r="DK75" s="196"/>
      <c r="DL75" s="197"/>
      <c r="DM75" s="203"/>
      <c r="DN75" s="202"/>
      <c r="DO75" s="204"/>
      <c r="DP75" s="200"/>
      <c r="DQ75" s="195"/>
      <c r="DR75" s="195"/>
      <c r="DS75" s="201"/>
      <c r="DT75" s="196"/>
      <c r="DU75" s="197"/>
      <c r="DV75" s="198"/>
      <c r="DW75" s="197"/>
      <c r="DX75" s="199"/>
      <c r="DY75" s="200"/>
      <c r="DZ75" s="195"/>
      <c r="EA75" s="195"/>
      <c r="EB75" s="201"/>
      <c r="EC75" s="196"/>
      <c r="ED75" s="197"/>
      <c r="EE75" s="203"/>
      <c r="EF75" s="202"/>
      <c r="EG75" s="204"/>
      <c r="EH75" s="200"/>
      <c r="EI75" s="195"/>
      <c r="EJ75" s="195"/>
      <c r="EK75" s="201"/>
      <c r="EL75" s="196"/>
      <c r="EM75" s="197"/>
      <c r="EN75" s="203"/>
      <c r="EO75" s="202"/>
      <c r="EP75" s="204"/>
      <c r="EQ75" s="200"/>
      <c r="ER75" s="195"/>
      <c r="ES75" s="195"/>
      <c r="ET75" s="201"/>
      <c r="EU75" s="196"/>
      <c r="EV75" s="197"/>
      <c r="EW75" s="198"/>
      <c r="EX75" s="197"/>
      <c r="EY75" s="199"/>
      <c r="EZ75" s="200"/>
      <c r="FA75" s="195"/>
      <c r="FB75" s="195"/>
      <c r="FC75" s="201"/>
      <c r="FD75" s="196"/>
      <c r="FE75" s="197"/>
      <c r="FF75" s="198"/>
      <c r="FG75" s="197"/>
      <c r="FH75" s="199"/>
      <c r="FI75" s="200"/>
      <c r="FJ75" s="195"/>
      <c r="FK75" s="195"/>
      <c r="FL75" s="201"/>
      <c r="FM75" s="196"/>
      <c r="FN75" s="197"/>
      <c r="FO75" s="198"/>
      <c r="FP75" s="197"/>
      <c r="FQ75" s="199"/>
      <c r="FR75" s="200"/>
      <c r="FS75" s="195"/>
      <c r="FT75" s="195"/>
      <c r="FU75" s="201"/>
      <c r="FV75" s="196"/>
      <c r="FW75" s="197"/>
      <c r="FX75" s="198"/>
      <c r="FY75" s="197"/>
      <c r="FZ75" s="199"/>
      <c r="GA75" s="200"/>
      <c r="GB75" s="195"/>
      <c r="GC75" s="195"/>
      <c r="GD75" s="201"/>
      <c r="GE75" s="196"/>
      <c r="GF75" s="197"/>
      <c r="GG75" s="198"/>
      <c r="GH75" s="197"/>
      <c r="GI75" s="199"/>
      <c r="GJ75" s="200"/>
      <c r="GK75" s="195"/>
      <c r="GL75" s="195"/>
      <c r="GM75" s="201"/>
      <c r="GN75" s="196"/>
      <c r="GO75" s="197"/>
      <c r="GP75" s="198"/>
      <c r="GQ75" s="197"/>
      <c r="GR75" s="199"/>
      <c r="GS75" s="200"/>
      <c r="GT75" s="187"/>
      <c r="GU75" s="29"/>
      <c r="GV75" s="205"/>
      <c r="GZ75" s="33"/>
    </row>
    <row r="76" spans="1:208" ht="16.5" thickTop="1" x14ac:dyDescent="0.25">
      <c r="A76"/>
      <c r="D76" s="35"/>
      <c r="E76" s="36"/>
      <c r="F76" s="37"/>
      <c r="G76" s="38"/>
      <c r="H76" s="39"/>
      <c r="I76" s="40"/>
      <c r="J76" s="177"/>
      <c r="K76" s="452"/>
      <c r="P76" s="27"/>
      <c r="Q76" s="180"/>
      <c r="R76" s="180"/>
      <c r="S76" s="180"/>
      <c r="T76" s="39">
        <f t="shared" si="5"/>
        <v>0</v>
      </c>
      <c r="U76" s="181"/>
      <c r="V76" s="182"/>
      <c r="W76" s="30"/>
      <c r="X76" s="195"/>
      <c r="Y76" s="196"/>
      <c r="Z76" s="197"/>
      <c r="AA76" s="198"/>
      <c r="AB76" s="197"/>
      <c r="AC76" s="199"/>
      <c r="AD76" s="200"/>
      <c r="AE76" s="195"/>
      <c r="AF76" s="195"/>
      <c r="AG76" s="201"/>
      <c r="AH76" s="196"/>
      <c r="AI76" s="197"/>
      <c r="AJ76" s="198"/>
      <c r="AK76" s="202"/>
      <c r="AL76" s="199"/>
      <c r="AM76" s="200"/>
      <c r="AN76" s="195"/>
      <c r="AO76" s="195"/>
      <c r="AP76" s="201"/>
      <c r="AQ76" s="196"/>
      <c r="AR76" s="197"/>
      <c r="AS76" s="198"/>
      <c r="AT76" s="197"/>
      <c r="AU76" s="199"/>
      <c r="AV76" s="200"/>
      <c r="AW76" s="195"/>
      <c r="AX76" s="195"/>
      <c r="AY76" s="201"/>
      <c r="AZ76" s="196"/>
      <c r="BA76" s="197"/>
      <c r="BB76" s="198"/>
      <c r="BC76" s="202"/>
      <c r="BD76" s="199"/>
      <c r="BE76" s="200"/>
      <c r="BF76" s="195"/>
      <c r="BG76" s="195"/>
      <c r="BH76" s="201"/>
      <c r="BI76" s="196"/>
      <c r="BJ76" s="197"/>
      <c r="BK76" s="198"/>
      <c r="BL76" s="202"/>
      <c r="BM76" s="199"/>
      <c r="BN76" s="200"/>
      <c r="BO76" s="195"/>
      <c r="BP76" s="195"/>
      <c r="BQ76" s="201"/>
      <c r="BR76" s="196"/>
      <c r="BS76" s="197"/>
      <c r="BT76" s="198"/>
      <c r="BU76" s="197"/>
      <c r="BV76" s="199"/>
      <c r="BW76" s="200"/>
      <c r="BX76" s="195"/>
      <c r="BY76" s="195"/>
      <c r="BZ76" s="201"/>
      <c r="CA76" s="196"/>
      <c r="CB76" s="197"/>
      <c r="CC76" s="198"/>
      <c r="CD76" s="197"/>
      <c r="CE76" s="199"/>
      <c r="CF76" s="200"/>
      <c r="CG76" s="195"/>
      <c r="CH76" s="195"/>
      <c r="CI76" s="201"/>
      <c r="CJ76" s="196"/>
      <c r="CK76" s="197"/>
      <c r="CL76" s="198"/>
      <c r="CM76" s="197"/>
      <c r="CN76" s="199"/>
      <c r="CO76" s="200"/>
      <c r="CP76" s="195"/>
      <c r="CQ76" s="195"/>
      <c r="CR76" s="201"/>
      <c r="CS76" s="196"/>
      <c r="CT76" s="197"/>
      <c r="CU76" s="203"/>
      <c r="CV76" s="202"/>
      <c r="CW76" s="204"/>
      <c r="CX76" s="200"/>
      <c r="CY76" s="195"/>
      <c r="CZ76" s="195"/>
      <c r="DA76" s="201"/>
      <c r="DB76" s="196"/>
      <c r="DC76" s="197"/>
      <c r="DD76" s="198"/>
      <c r="DE76" s="197"/>
      <c r="DF76" s="199"/>
      <c r="DG76" s="200"/>
      <c r="DH76" s="195"/>
      <c r="DI76" s="195"/>
      <c r="DJ76" s="201"/>
      <c r="DK76" s="196"/>
      <c r="DL76" s="197"/>
      <c r="DM76" s="203"/>
      <c r="DN76" s="202"/>
      <c r="DO76" s="204"/>
      <c r="DP76" s="200"/>
      <c r="DQ76" s="195"/>
      <c r="DR76" s="195"/>
      <c r="DS76" s="201"/>
      <c r="DT76" s="196"/>
      <c r="DU76" s="197"/>
      <c r="DV76" s="198"/>
      <c r="DW76" s="197"/>
      <c r="DX76" s="199"/>
      <c r="DY76" s="200"/>
      <c r="DZ76" s="195"/>
      <c r="EA76" s="195"/>
      <c r="EB76" s="201"/>
      <c r="EC76" s="196"/>
      <c r="ED76" s="197"/>
      <c r="EE76" s="203"/>
      <c r="EF76" s="202"/>
      <c r="EG76" s="204"/>
      <c r="EH76" s="200"/>
      <c r="EI76" s="195"/>
      <c r="EJ76" s="195"/>
      <c r="EK76" s="201"/>
      <c r="EL76" s="196"/>
      <c r="EM76" s="197"/>
      <c r="EN76" s="203"/>
      <c r="EO76" s="202"/>
      <c r="EP76" s="204"/>
      <c r="EQ76" s="200"/>
      <c r="ER76" s="195"/>
      <c r="ES76" s="195"/>
      <c r="ET76" s="201"/>
      <c r="EU76" s="196"/>
      <c r="EV76" s="197"/>
      <c r="EW76" s="198"/>
      <c r="EX76" s="197"/>
      <c r="EY76" s="199"/>
      <c r="EZ76" s="200"/>
      <c r="FA76" s="195"/>
      <c r="FB76" s="195"/>
      <c r="FC76" s="201"/>
      <c r="FD76" s="196"/>
      <c r="FE76" s="197"/>
      <c r="FF76" s="198"/>
      <c r="FG76" s="197"/>
      <c r="FH76" s="199"/>
      <c r="FI76" s="200"/>
      <c r="FJ76" s="195"/>
      <c r="FK76" s="195"/>
      <c r="FL76" s="201"/>
      <c r="FM76" s="196"/>
      <c r="FN76" s="197"/>
      <c r="FO76" s="198"/>
      <c r="FP76" s="197"/>
      <c r="FQ76" s="199"/>
      <c r="FR76" s="200"/>
      <c r="FS76" s="195"/>
      <c r="FT76" s="195"/>
      <c r="FU76" s="201"/>
      <c r="FV76" s="196"/>
      <c r="FW76" s="197"/>
      <c r="FX76" s="198"/>
      <c r="FY76" s="197"/>
      <c r="FZ76" s="199"/>
      <c r="GA76" s="200"/>
      <c r="GB76" s="195"/>
      <c r="GC76" s="195"/>
      <c r="GD76" s="201"/>
      <c r="GE76" s="196"/>
      <c r="GF76" s="197"/>
      <c r="GG76" s="198"/>
      <c r="GH76" s="197"/>
      <c r="GI76" s="199"/>
      <c r="GJ76" s="200"/>
      <c r="GK76" s="195"/>
      <c r="GL76" s="195"/>
      <c r="GM76" s="201"/>
      <c r="GN76" s="196"/>
      <c r="GO76" s="197"/>
      <c r="GP76" s="198"/>
      <c r="GQ76" s="197"/>
      <c r="GR76" s="199"/>
      <c r="GS76" s="200"/>
      <c r="GT76" s="187"/>
      <c r="GU76" s="29"/>
      <c r="GV76" s="205"/>
      <c r="GZ76" s="33"/>
    </row>
    <row r="77" spans="1:208" ht="16.5" thickBot="1" x14ac:dyDescent="0.3">
      <c r="A77"/>
      <c r="D77" s="35"/>
      <c r="E77" s="36"/>
      <c r="F77" s="37"/>
      <c r="G77" s="38"/>
      <c r="H77" s="39"/>
      <c r="I77" s="40"/>
      <c r="J77" s="177"/>
      <c r="K77" s="452"/>
      <c r="P77" s="27"/>
      <c r="Q77" s="209"/>
      <c r="T77" s="39">
        <f t="shared" si="5"/>
        <v>0</v>
      </c>
      <c r="U77" s="210"/>
      <c r="W77" s="30"/>
      <c r="X77" s="195"/>
      <c r="Y77" s="183"/>
      <c r="Z77" s="197"/>
      <c r="AA77" s="198"/>
      <c r="AB77" s="197"/>
      <c r="AC77" s="199"/>
      <c r="AD77" s="200"/>
      <c r="AE77" s="195"/>
      <c r="AF77" s="195"/>
      <c r="AG77" s="201"/>
      <c r="AH77" s="183"/>
      <c r="AI77" s="197"/>
      <c r="AJ77" s="198"/>
      <c r="AK77" s="202"/>
      <c r="AL77" s="199"/>
      <c r="AM77" s="200"/>
      <c r="AN77" s="195"/>
      <c r="AO77" s="195"/>
      <c r="AP77" s="201"/>
      <c r="AQ77" s="183"/>
      <c r="AR77" s="197"/>
      <c r="AS77" s="198"/>
      <c r="AT77" s="197"/>
      <c r="AU77" s="199"/>
      <c r="AV77" s="200"/>
      <c r="AW77" s="195"/>
      <c r="AX77" s="195"/>
      <c r="AY77" s="201"/>
      <c r="AZ77" s="183"/>
      <c r="BA77" s="197"/>
      <c r="BB77" s="198"/>
      <c r="BC77" s="202"/>
      <c r="BD77" s="199"/>
      <c r="BE77" s="200"/>
      <c r="BF77" s="195"/>
      <c r="BG77" s="195"/>
      <c r="BH77" s="201"/>
      <c r="BI77" s="183"/>
      <c r="BJ77" s="197"/>
      <c r="BK77" s="198"/>
      <c r="BL77" s="202"/>
      <c r="BM77" s="199"/>
      <c r="BN77" s="200"/>
      <c r="BO77" s="195"/>
      <c r="BP77" s="195"/>
      <c r="BQ77" s="201"/>
      <c r="BR77" s="183"/>
      <c r="BS77" s="197"/>
      <c r="BT77" s="198"/>
      <c r="BU77" s="197"/>
      <c r="BV77" s="199"/>
      <c r="BW77" s="200"/>
      <c r="BX77" s="195"/>
      <c r="BY77" s="195"/>
      <c r="BZ77" s="201"/>
      <c r="CA77" s="183"/>
      <c r="CB77" s="197"/>
      <c r="CC77" s="198"/>
      <c r="CD77" s="197"/>
      <c r="CE77" s="199"/>
      <c r="CF77" s="200"/>
      <c r="CG77" s="195"/>
      <c r="CH77" s="195"/>
      <c r="CI77" s="201"/>
      <c r="CJ77" s="183"/>
      <c r="CK77" s="197"/>
      <c r="CL77" s="198"/>
      <c r="CM77" s="197"/>
      <c r="CN77" s="199"/>
      <c r="CO77" s="200"/>
      <c r="CP77" s="195"/>
      <c r="CQ77" s="195"/>
      <c r="CR77" s="201"/>
      <c r="CS77" s="183"/>
      <c r="CT77" s="197"/>
      <c r="CU77" s="203"/>
      <c r="CV77" s="202"/>
      <c r="CW77" s="204"/>
      <c r="CX77" s="200"/>
      <c r="CY77" s="195"/>
      <c r="CZ77" s="195"/>
      <c r="DA77" s="201"/>
      <c r="DB77" s="183"/>
      <c r="DC77" s="197"/>
      <c r="DD77" s="198"/>
      <c r="DE77" s="197"/>
      <c r="DF77" s="199"/>
      <c r="DG77" s="200"/>
      <c r="DH77" s="195"/>
      <c r="DI77" s="195"/>
      <c r="DJ77" s="201"/>
      <c r="DK77" s="183"/>
      <c r="DL77" s="197"/>
      <c r="DM77" s="203"/>
      <c r="DN77" s="202"/>
      <c r="DO77" s="204"/>
      <c r="DP77" s="200"/>
      <c r="DQ77" s="195"/>
      <c r="DR77" s="195"/>
      <c r="DS77" s="201"/>
      <c r="DT77" s="183"/>
      <c r="DU77" s="197"/>
      <c r="DV77" s="198"/>
      <c r="DW77" s="197"/>
      <c r="DX77" s="199"/>
      <c r="DY77" s="200"/>
      <c r="DZ77" s="195"/>
      <c r="EA77" s="195"/>
      <c r="EB77" s="201"/>
      <c r="EC77" s="183"/>
      <c r="ED77" s="197"/>
      <c r="EE77" s="203"/>
      <c r="EF77" s="202"/>
      <c r="EG77" s="204"/>
      <c r="EH77" s="200"/>
      <c r="EI77" s="195"/>
      <c r="EJ77" s="195"/>
      <c r="EK77" s="201"/>
      <c r="EL77" s="183"/>
      <c r="EM77" s="197"/>
      <c r="EN77" s="203"/>
      <c r="EO77" s="202"/>
      <c r="EP77" s="204"/>
      <c r="EQ77" s="200"/>
      <c r="ER77" s="195"/>
      <c r="ES77" s="195"/>
      <c r="ET77" s="201"/>
      <c r="EU77" s="183"/>
      <c r="EV77" s="197"/>
      <c r="EW77" s="198"/>
      <c r="EX77" s="197"/>
      <c r="EY77" s="199"/>
      <c r="EZ77" s="200"/>
      <c r="FA77" s="195"/>
      <c r="FB77" s="195"/>
      <c r="FC77" s="201"/>
      <c r="FD77" s="183"/>
      <c r="FE77" s="197"/>
      <c r="FF77" s="198"/>
      <c r="FG77" s="197"/>
      <c r="FH77" s="199"/>
      <c r="FI77" s="200"/>
      <c r="FJ77" s="195"/>
      <c r="FK77" s="195"/>
      <c r="FL77" s="201"/>
      <c r="FM77" s="183"/>
      <c r="FN77" s="197"/>
      <c r="FO77" s="198"/>
      <c r="FP77" s="197"/>
      <c r="FQ77" s="199"/>
      <c r="FR77" s="200"/>
      <c r="FS77" s="195"/>
      <c r="FT77" s="195"/>
      <c r="FU77" s="201"/>
      <c r="FV77" s="183"/>
      <c r="FW77" s="197"/>
      <c r="FX77" s="198"/>
      <c r="FY77" s="197"/>
      <c r="FZ77" s="199"/>
      <c r="GA77" s="200"/>
      <c r="GB77" s="195"/>
      <c r="GC77" s="195"/>
      <c r="GD77" s="201"/>
      <c r="GE77" s="183"/>
      <c r="GF77" s="197"/>
      <c r="GG77" s="198"/>
      <c r="GH77" s="197"/>
      <c r="GI77" s="199"/>
      <c r="GJ77" s="200"/>
      <c r="GK77" s="195"/>
      <c r="GL77" s="195"/>
      <c r="GM77" s="201"/>
      <c r="GN77" s="183"/>
      <c r="GO77" s="197"/>
      <c r="GP77" s="198"/>
      <c r="GQ77" s="197"/>
      <c r="GR77" s="199"/>
      <c r="GS77" s="200"/>
      <c r="GT77" s="187"/>
      <c r="GU77" s="29"/>
      <c r="GV77" s="211"/>
      <c r="GZ77" s="33"/>
    </row>
    <row r="78" spans="1:208" ht="17.25" thickTop="1" thickBot="1" x14ac:dyDescent="0.3">
      <c r="A78"/>
      <c r="D78" s="35"/>
      <c r="E78" s="36"/>
      <c r="F78" s="37"/>
      <c r="G78" s="38"/>
      <c r="H78" s="39"/>
      <c r="I78" s="40"/>
      <c r="J78" s="177"/>
      <c r="M78" s="212"/>
      <c r="N78" s="213"/>
      <c r="O78" s="874" t="s">
        <v>29</v>
      </c>
      <c r="P78" s="875"/>
      <c r="Q78" s="875"/>
      <c r="R78" s="214">
        <f>SUM(R9:R77)</f>
        <v>0</v>
      </c>
      <c r="S78" s="215"/>
      <c r="T78" s="216">
        <f>SUM(T9:T77)</f>
        <v>18014134.305</v>
      </c>
      <c r="U78" s="217"/>
      <c r="W78" s="218">
        <f t="shared" ref="W78:CH78" si="6">SUM(W9:W77)</f>
        <v>466348.89999999997</v>
      </c>
      <c r="X78" s="219">
        <f t="shared" si="6"/>
        <v>0</v>
      </c>
      <c r="Y78" s="219">
        <f t="shared" si="6"/>
        <v>0</v>
      </c>
      <c r="Z78" s="219">
        <f t="shared" si="6"/>
        <v>0</v>
      </c>
      <c r="AA78" s="219">
        <f t="shared" si="6"/>
        <v>0</v>
      </c>
      <c r="AB78" s="219">
        <f t="shared" si="6"/>
        <v>0</v>
      </c>
      <c r="AC78" s="219">
        <f t="shared" si="6"/>
        <v>0</v>
      </c>
      <c r="AD78" s="219">
        <f t="shared" si="6"/>
        <v>0</v>
      </c>
      <c r="AE78" s="219">
        <f t="shared" si="6"/>
        <v>0</v>
      </c>
      <c r="AF78" s="219">
        <f t="shared" si="6"/>
        <v>0</v>
      </c>
      <c r="AG78" s="219">
        <f t="shared" si="6"/>
        <v>0</v>
      </c>
      <c r="AH78" s="219">
        <f t="shared" si="6"/>
        <v>0</v>
      </c>
      <c r="AI78" s="219">
        <f t="shared" si="6"/>
        <v>0</v>
      </c>
      <c r="AJ78" s="219">
        <f t="shared" si="6"/>
        <v>0</v>
      </c>
      <c r="AK78" s="219">
        <f t="shared" si="6"/>
        <v>0</v>
      </c>
      <c r="AL78" s="219">
        <f t="shared" si="6"/>
        <v>0</v>
      </c>
      <c r="AM78" s="219">
        <f t="shared" si="6"/>
        <v>0</v>
      </c>
      <c r="AN78" s="219">
        <f t="shared" si="6"/>
        <v>0</v>
      </c>
      <c r="AO78" s="219">
        <f t="shared" si="6"/>
        <v>0</v>
      </c>
      <c r="AP78" s="219">
        <f t="shared" si="6"/>
        <v>0</v>
      </c>
      <c r="AQ78" s="219">
        <f t="shared" si="6"/>
        <v>0</v>
      </c>
      <c r="AR78" s="219">
        <f t="shared" si="6"/>
        <v>0</v>
      </c>
      <c r="AS78" s="219">
        <f t="shared" si="6"/>
        <v>0</v>
      </c>
      <c r="AT78" s="219">
        <f t="shared" si="6"/>
        <v>0</v>
      </c>
      <c r="AU78" s="219">
        <f t="shared" si="6"/>
        <v>0</v>
      </c>
      <c r="AV78" s="219">
        <f t="shared" si="6"/>
        <v>0</v>
      </c>
      <c r="AW78" s="219">
        <f t="shared" si="6"/>
        <v>0</v>
      </c>
      <c r="AX78" s="219">
        <f t="shared" si="6"/>
        <v>0</v>
      </c>
      <c r="AY78" s="219">
        <f t="shared" si="6"/>
        <v>0</v>
      </c>
      <c r="AZ78" s="219">
        <f t="shared" si="6"/>
        <v>0</v>
      </c>
      <c r="BA78" s="219">
        <f t="shared" si="6"/>
        <v>0</v>
      </c>
      <c r="BB78" s="219">
        <f t="shared" si="6"/>
        <v>0</v>
      </c>
      <c r="BC78" s="219">
        <f t="shared" si="6"/>
        <v>0</v>
      </c>
      <c r="BD78" s="219">
        <f t="shared" si="6"/>
        <v>0</v>
      </c>
      <c r="BE78" s="219">
        <f t="shared" si="6"/>
        <v>0</v>
      </c>
      <c r="BF78" s="219">
        <f t="shared" si="6"/>
        <v>0</v>
      </c>
      <c r="BG78" s="219">
        <f t="shared" si="6"/>
        <v>0</v>
      </c>
      <c r="BH78" s="219">
        <f t="shared" si="6"/>
        <v>0</v>
      </c>
      <c r="BI78" s="219">
        <f t="shared" si="6"/>
        <v>0</v>
      </c>
      <c r="BJ78" s="219">
        <f t="shared" si="6"/>
        <v>0</v>
      </c>
      <c r="BK78" s="219">
        <f t="shared" si="6"/>
        <v>0</v>
      </c>
      <c r="BL78" s="219">
        <f t="shared" si="6"/>
        <v>0</v>
      </c>
      <c r="BM78" s="219">
        <f t="shared" si="6"/>
        <v>0</v>
      </c>
      <c r="BN78" s="219">
        <f t="shared" si="6"/>
        <v>0</v>
      </c>
      <c r="BO78" s="219">
        <f t="shared" si="6"/>
        <v>0</v>
      </c>
      <c r="BP78" s="219">
        <f t="shared" si="6"/>
        <v>0</v>
      </c>
      <c r="BQ78" s="219">
        <f t="shared" si="6"/>
        <v>0</v>
      </c>
      <c r="BR78" s="219">
        <f t="shared" si="6"/>
        <v>0</v>
      </c>
      <c r="BS78" s="219">
        <f t="shared" si="6"/>
        <v>0</v>
      </c>
      <c r="BT78" s="219">
        <f t="shared" si="6"/>
        <v>0</v>
      </c>
      <c r="BU78" s="219">
        <f t="shared" si="6"/>
        <v>0</v>
      </c>
      <c r="BV78" s="219">
        <f t="shared" si="6"/>
        <v>0</v>
      </c>
      <c r="BW78" s="219">
        <f t="shared" si="6"/>
        <v>0</v>
      </c>
      <c r="BX78" s="219">
        <f t="shared" si="6"/>
        <v>0</v>
      </c>
      <c r="BY78" s="219">
        <f t="shared" si="6"/>
        <v>0</v>
      </c>
      <c r="BZ78" s="219">
        <f t="shared" si="6"/>
        <v>0</v>
      </c>
      <c r="CA78" s="219">
        <f t="shared" si="6"/>
        <v>0</v>
      </c>
      <c r="CB78" s="219">
        <f t="shared" si="6"/>
        <v>0</v>
      </c>
      <c r="CC78" s="219">
        <f t="shared" si="6"/>
        <v>0</v>
      </c>
      <c r="CD78" s="219">
        <f t="shared" si="6"/>
        <v>0</v>
      </c>
      <c r="CE78" s="219">
        <f t="shared" si="6"/>
        <v>0</v>
      </c>
      <c r="CF78" s="219">
        <f t="shared" si="6"/>
        <v>0</v>
      </c>
      <c r="CG78" s="219">
        <f t="shared" si="6"/>
        <v>0</v>
      </c>
      <c r="CH78" s="219">
        <f t="shared" si="6"/>
        <v>0</v>
      </c>
      <c r="CI78" s="219">
        <f t="shared" ref="CI78:ET78" si="7">SUM(CI9:CI77)</f>
        <v>0</v>
      </c>
      <c r="CJ78" s="219">
        <f t="shared" si="7"/>
        <v>0</v>
      </c>
      <c r="CK78" s="219">
        <f t="shared" si="7"/>
        <v>0</v>
      </c>
      <c r="CL78" s="219">
        <f t="shared" si="7"/>
        <v>0</v>
      </c>
      <c r="CM78" s="219">
        <f t="shared" si="7"/>
        <v>0</v>
      </c>
      <c r="CN78" s="219">
        <f t="shared" si="7"/>
        <v>0</v>
      </c>
      <c r="CO78" s="219">
        <f t="shared" si="7"/>
        <v>0</v>
      </c>
      <c r="CP78" s="219">
        <f t="shared" si="7"/>
        <v>0</v>
      </c>
      <c r="CQ78" s="219">
        <f t="shared" si="7"/>
        <v>0</v>
      </c>
      <c r="CR78" s="219">
        <f t="shared" si="7"/>
        <v>0</v>
      </c>
      <c r="CS78" s="219">
        <f t="shared" si="7"/>
        <v>0</v>
      </c>
      <c r="CT78" s="219">
        <f t="shared" si="7"/>
        <v>0</v>
      </c>
      <c r="CU78" s="219">
        <f t="shared" si="7"/>
        <v>0</v>
      </c>
      <c r="CV78" s="219">
        <f t="shared" si="7"/>
        <v>0</v>
      </c>
      <c r="CW78" s="219">
        <f t="shared" si="7"/>
        <v>0</v>
      </c>
      <c r="CX78" s="219">
        <f t="shared" si="7"/>
        <v>0</v>
      </c>
      <c r="CY78" s="219">
        <f t="shared" si="7"/>
        <v>0</v>
      </c>
      <c r="CZ78" s="219">
        <f t="shared" si="7"/>
        <v>0</v>
      </c>
      <c r="DA78" s="219">
        <f t="shared" si="7"/>
        <v>0</v>
      </c>
      <c r="DB78" s="219">
        <f t="shared" si="7"/>
        <v>0</v>
      </c>
      <c r="DC78" s="219">
        <f t="shared" si="7"/>
        <v>0</v>
      </c>
      <c r="DD78" s="219">
        <f t="shared" si="7"/>
        <v>0</v>
      </c>
      <c r="DE78" s="219">
        <f t="shared" si="7"/>
        <v>0</v>
      </c>
      <c r="DF78" s="219">
        <f t="shared" si="7"/>
        <v>0</v>
      </c>
      <c r="DG78" s="219">
        <f t="shared" si="7"/>
        <v>0</v>
      </c>
      <c r="DH78" s="219">
        <f t="shared" si="7"/>
        <v>0</v>
      </c>
      <c r="DI78" s="219">
        <f t="shared" si="7"/>
        <v>0</v>
      </c>
      <c r="DJ78" s="219">
        <f t="shared" si="7"/>
        <v>0</v>
      </c>
      <c r="DK78" s="219">
        <f t="shared" si="7"/>
        <v>0</v>
      </c>
      <c r="DL78" s="219">
        <f t="shared" si="7"/>
        <v>0</v>
      </c>
      <c r="DM78" s="219">
        <f t="shared" si="7"/>
        <v>0</v>
      </c>
      <c r="DN78" s="219">
        <f t="shared" si="7"/>
        <v>0</v>
      </c>
      <c r="DO78" s="219">
        <f t="shared" si="7"/>
        <v>0</v>
      </c>
      <c r="DP78" s="219">
        <f t="shared" si="7"/>
        <v>0</v>
      </c>
      <c r="DQ78" s="219">
        <f t="shared" si="7"/>
        <v>0</v>
      </c>
      <c r="DR78" s="219">
        <f t="shared" si="7"/>
        <v>0</v>
      </c>
      <c r="DS78" s="219">
        <f t="shared" si="7"/>
        <v>0</v>
      </c>
      <c r="DT78" s="219">
        <f t="shared" si="7"/>
        <v>0</v>
      </c>
      <c r="DU78" s="219">
        <f t="shared" si="7"/>
        <v>0</v>
      </c>
      <c r="DV78" s="219">
        <f t="shared" si="7"/>
        <v>0</v>
      </c>
      <c r="DW78" s="219">
        <f t="shared" si="7"/>
        <v>0</v>
      </c>
      <c r="DX78" s="219">
        <f t="shared" si="7"/>
        <v>0</v>
      </c>
      <c r="DY78" s="219">
        <f t="shared" si="7"/>
        <v>0</v>
      </c>
      <c r="DZ78" s="219">
        <f t="shared" si="7"/>
        <v>0</v>
      </c>
      <c r="EA78" s="219">
        <f t="shared" si="7"/>
        <v>0</v>
      </c>
      <c r="EB78" s="219">
        <f t="shared" si="7"/>
        <v>0</v>
      </c>
      <c r="EC78" s="219">
        <f t="shared" si="7"/>
        <v>0</v>
      </c>
      <c r="ED78" s="219">
        <f t="shared" si="7"/>
        <v>0</v>
      </c>
      <c r="EE78" s="219">
        <f t="shared" si="7"/>
        <v>0</v>
      </c>
      <c r="EF78" s="219">
        <f t="shared" si="7"/>
        <v>0</v>
      </c>
      <c r="EG78" s="219">
        <f t="shared" si="7"/>
        <v>0</v>
      </c>
      <c r="EH78" s="219">
        <f t="shared" si="7"/>
        <v>0</v>
      </c>
      <c r="EI78" s="219">
        <f t="shared" si="7"/>
        <v>0</v>
      </c>
      <c r="EJ78" s="219">
        <f t="shared" si="7"/>
        <v>0</v>
      </c>
      <c r="EK78" s="219">
        <f t="shared" si="7"/>
        <v>0</v>
      </c>
      <c r="EL78" s="219">
        <f t="shared" si="7"/>
        <v>0</v>
      </c>
      <c r="EM78" s="219">
        <f t="shared" si="7"/>
        <v>0</v>
      </c>
      <c r="EN78" s="219">
        <f t="shared" si="7"/>
        <v>0</v>
      </c>
      <c r="EO78" s="219">
        <f t="shared" si="7"/>
        <v>0</v>
      </c>
      <c r="EP78" s="219">
        <f t="shared" si="7"/>
        <v>0</v>
      </c>
      <c r="EQ78" s="219">
        <f t="shared" si="7"/>
        <v>0</v>
      </c>
      <c r="ER78" s="219">
        <f t="shared" si="7"/>
        <v>0</v>
      </c>
      <c r="ES78" s="219">
        <f t="shared" si="7"/>
        <v>0</v>
      </c>
      <c r="ET78" s="219">
        <f t="shared" si="7"/>
        <v>0</v>
      </c>
      <c r="EU78" s="219">
        <f t="shared" ref="EU78:GS78" si="8">SUM(EU9:EU77)</f>
        <v>0</v>
      </c>
      <c r="EV78" s="219">
        <f t="shared" si="8"/>
        <v>0</v>
      </c>
      <c r="EW78" s="219">
        <f t="shared" si="8"/>
        <v>0</v>
      </c>
      <c r="EX78" s="219">
        <f t="shared" si="8"/>
        <v>0</v>
      </c>
      <c r="EY78" s="219">
        <f t="shared" si="8"/>
        <v>0</v>
      </c>
      <c r="EZ78" s="219">
        <f t="shared" si="8"/>
        <v>0</v>
      </c>
      <c r="FA78" s="219">
        <f t="shared" si="8"/>
        <v>0</v>
      </c>
      <c r="FB78" s="219">
        <f t="shared" si="8"/>
        <v>0</v>
      </c>
      <c r="FC78" s="219">
        <f t="shared" si="8"/>
        <v>0</v>
      </c>
      <c r="FD78" s="219">
        <f t="shared" si="8"/>
        <v>0</v>
      </c>
      <c r="FE78" s="219">
        <f t="shared" si="8"/>
        <v>0</v>
      </c>
      <c r="FF78" s="219">
        <f t="shared" si="8"/>
        <v>0</v>
      </c>
      <c r="FG78" s="219">
        <f t="shared" si="8"/>
        <v>0</v>
      </c>
      <c r="FH78" s="219">
        <f t="shared" si="8"/>
        <v>0</v>
      </c>
      <c r="FI78" s="219">
        <f t="shared" si="8"/>
        <v>0</v>
      </c>
      <c r="FJ78" s="219">
        <f t="shared" si="8"/>
        <v>0</v>
      </c>
      <c r="FK78" s="219">
        <f t="shared" si="8"/>
        <v>0</v>
      </c>
      <c r="FL78" s="219">
        <f t="shared" si="8"/>
        <v>0</v>
      </c>
      <c r="FM78" s="219">
        <f t="shared" si="8"/>
        <v>0</v>
      </c>
      <c r="FN78" s="219">
        <f t="shared" si="8"/>
        <v>0</v>
      </c>
      <c r="FO78" s="219">
        <f t="shared" si="8"/>
        <v>0</v>
      </c>
      <c r="FP78" s="219">
        <f t="shared" si="8"/>
        <v>0</v>
      </c>
      <c r="FQ78" s="219">
        <f t="shared" si="8"/>
        <v>0</v>
      </c>
      <c r="FR78" s="219">
        <f t="shared" si="8"/>
        <v>0</v>
      </c>
      <c r="FS78" s="219">
        <f t="shared" si="8"/>
        <v>0</v>
      </c>
      <c r="FT78" s="219">
        <f t="shared" si="8"/>
        <v>0</v>
      </c>
      <c r="FU78" s="219">
        <f t="shared" si="8"/>
        <v>0</v>
      </c>
      <c r="FV78" s="219">
        <f t="shared" si="8"/>
        <v>0</v>
      </c>
      <c r="FW78" s="219">
        <f t="shared" si="8"/>
        <v>0</v>
      </c>
      <c r="FX78" s="219">
        <f t="shared" si="8"/>
        <v>0</v>
      </c>
      <c r="FY78" s="219">
        <f t="shared" si="8"/>
        <v>0</v>
      </c>
      <c r="FZ78" s="219">
        <f t="shared" si="8"/>
        <v>0</v>
      </c>
      <c r="GA78" s="219">
        <f t="shared" si="8"/>
        <v>0</v>
      </c>
      <c r="GB78" s="219">
        <f t="shared" si="8"/>
        <v>0</v>
      </c>
      <c r="GC78" s="219">
        <f t="shared" si="8"/>
        <v>0</v>
      </c>
      <c r="GD78" s="219">
        <f t="shared" si="8"/>
        <v>0</v>
      </c>
      <c r="GE78" s="219">
        <f t="shared" si="8"/>
        <v>0</v>
      </c>
      <c r="GF78" s="219">
        <f t="shared" si="8"/>
        <v>0</v>
      </c>
      <c r="GG78" s="219">
        <f t="shared" si="8"/>
        <v>0</v>
      </c>
      <c r="GH78" s="219">
        <f t="shared" si="8"/>
        <v>0</v>
      </c>
      <c r="GI78" s="219">
        <f t="shared" si="8"/>
        <v>0</v>
      </c>
      <c r="GJ78" s="219">
        <f t="shared" si="8"/>
        <v>0</v>
      </c>
      <c r="GK78" s="219">
        <f t="shared" si="8"/>
        <v>0</v>
      </c>
      <c r="GL78" s="219">
        <f t="shared" si="8"/>
        <v>0</v>
      </c>
      <c r="GM78" s="219">
        <f t="shared" si="8"/>
        <v>0</v>
      </c>
      <c r="GN78" s="219">
        <f t="shared" si="8"/>
        <v>0</v>
      </c>
      <c r="GO78" s="219">
        <f t="shared" si="8"/>
        <v>0</v>
      </c>
      <c r="GP78" s="219">
        <f t="shared" si="8"/>
        <v>0</v>
      </c>
      <c r="GQ78" s="219">
        <f t="shared" si="8"/>
        <v>0</v>
      </c>
      <c r="GR78" s="219">
        <f t="shared" si="8"/>
        <v>0</v>
      </c>
      <c r="GS78" s="219">
        <f t="shared" si="8"/>
        <v>0</v>
      </c>
      <c r="GT78" s="219"/>
      <c r="GU78" s="220">
        <f>SUM(GU9:GU77)</f>
        <v>0</v>
      </c>
      <c r="GV78" s="221"/>
      <c r="GW78" s="62"/>
      <c r="GX78" s="62"/>
      <c r="GY78" s="219"/>
      <c r="GZ78" s="223">
        <f>SUM(GZ9:GZ77)</f>
        <v>167457.60000000001</v>
      </c>
    </row>
    <row r="79" spans="1:208" x14ac:dyDescent="0.25">
      <c r="D79" s="35"/>
      <c r="E79" s="36"/>
      <c r="F79" s="37"/>
      <c r="G79" s="38"/>
      <c r="H79" s="39"/>
      <c r="I79" s="40"/>
      <c r="J79" s="177"/>
      <c r="M79" s="212"/>
      <c r="N79" s="213"/>
      <c r="O79" s="224"/>
      <c r="P79" s="225"/>
      <c r="Q79" s="226"/>
      <c r="R79" s="226"/>
      <c r="S79" s="226"/>
      <c r="T79" s="39"/>
      <c r="U79" s="217"/>
      <c r="X79" s="227"/>
      <c r="Y79" s="228"/>
      <c r="Z79" s="229"/>
      <c r="AA79" s="36"/>
      <c r="AB79" s="229"/>
      <c r="AC79" s="230"/>
      <c r="AD79" s="87"/>
      <c r="AG79" s="227"/>
      <c r="AH79" s="228"/>
      <c r="AI79" s="229"/>
      <c r="AJ79" s="36"/>
      <c r="AK79" s="231"/>
      <c r="AL79" s="230"/>
      <c r="AM79" s="87"/>
      <c r="AP79" s="227"/>
      <c r="AQ79" s="228"/>
      <c r="AR79" s="229"/>
      <c r="AS79" s="36"/>
      <c r="AT79" s="229"/>
      <c r="AU79" s="230"/>
      <c r="AV79" s="87"/>
      <c r="AY79" s="227"/>
      <c r="AZ79" s="228"/>
      <c r="BA79" s="229"/>
      <c r="BB79" s="36"/>
      <c r="BC79" s="231"/>
      <c r="BD79" s="230"/>
      <c r="BE79" s="87"/>
      <c r="BH79" s="227"/>
      <c r="BI79" s="228"/>
      <c r="BJ79" s="229"/>
      <c r="BK79" s="36"/>
      <c r="BL79" s="231"/>
      <c r="BM79" s="230"/>
      <c r="BN79" s="87"/>
      <c r="BQ79" s="227"/>
      <c r="BR79" s="228"/>
      <c r="BS79" s="229"/>
      <c r="BT79" s="36"/>
      <c r="BU79" s="229"/>
      <c r="BV79" s="230"/>
      <c r="BW79" s="87"/>
      <c r="BZ79" s="227"/>
      <c r="CA79" s="228"/>
      <c r="CB79" s="229"/>
      <c r="CC79" s="36"/>
      <c r="CD79" s="229"/>
      <c r="CE79" s="230"/>
      <c r="CF79" s="87"/>
      <c r="CI79" s="227"/>
      <c r="CJ79" s="228"/>
      <c r="CK79" s="229"/>
      <c r="CL79" s="36"/>
      <c r="CM79" s="229"/>
      <c r="CN79" s="230"/>
      <c r="CO79" s="87"/>
      <c r="CR79" s="227"/>
      <c r="CS79" s="228"/>
      <c r="CT79" s="229"/>
      <c r="CU79" s="232"/>
      <c r="CV79" s="231"/>
      <c r="CW79" s="233"/>
      <c r="CX79" s="87"/>
      <c r="DA79" s="227"/>
      <c r="DB79" s="228"/>
      <c r="DC79" s="229"/>
      <c r="DD79" s="36"/>
      <c r="DE79" s="229"/>
      <c r="DF79" s="230"/>
      <c r="DG79" s="87"/>
      <c r="DJ79" s="227"/>
      <c r="DK79" s="228"/>
      <c r="DL79" s="229"/>
      <c r="DM79" s="232"/>
      <c r="DN79" s="231"/>
      <c r="DO79" s="233"/>
      <c r="DP79" s="87"/>
      <c r="DS79" s="227"/>
      <c r="DT79" s="228"/>
      <c r="DU79" s="229"/>
      <c r="DV79" s="36"/>
      <c r="DW79" s="229"/>
      <c r="DX79" s="230"/>
      <c r="DY79" s="87"/>
      <c r="EB79" s="227"/>
      <c r="EC79" s="228"/>
      <c r="ED79" s="229"/>
      <c r="EE79" s="232"/>
      <c r="EF79" s="231"/>
      <c r="EG79" s="233"/>
      <c r="EH79" s="87"/>
      <c r="EK79" s="227"/>
      <c r="EL79" s="228"/>
      <c r="EM79" s="229"/>
      <c r="EN79" s="232"/>
      <c r="EO79" s="231"/>
      <c r="EP79" s="233"/>
      <c r="EQ79" s="87"/>
      <c r="ET79" s="227"/>
      <c r="EU79" s="228"/>
      <c r="EV79" s="229"/>
      <c r="EW79" s="36"/>
      <c r="EX79" s="229"/>
      <c r="EY79" s="230"/>
      <c r="EZ79" s="87"/>
      <c r="FC79" s="227"/>
      <c r="FD79" s="228"/>
      <c r="FE79" s="229"/>
      <c r="FF79" s="36"/>
      <c r="FG79" s="229"/>
      <c r="FH79" s="230"/>
      <c r="FI79" s="87"/>
      <c r="FL79" s="227"/>
      <c r="FM79" s="228"/>
      <c r="FN79" s="229"/>
      <c r="FO79" s="36"/>
      <c r="FP79" s="229"/>
      <c r="FQ79" s="230"/>
      <c r="FR79" s="87"/>
      <c r="FU79" s="227"/>
      <c r="FV79" s="228"/>
      <c r="FW79" s="229"/>
      <c r="FX79" s="36"/>
      <c r="FY79" s="229"/>
      <c r="FZ79" s="230"/>
      <c r="GA79" s="87"/>
      <c r="GD79" s="227"/>
      <c r="GE79" s="228"/>
      <c r="GF79" s="229"/>
      <c r="GG79" s="36"/>
      <c r="GH79" s="229"/>
      <c r="GI79" s="230"/>
      <c r="GJ79" s="87"/>
      <c r="GM79" s="227"/>
      <c r="GN79" s="228"/>
      <c r="GO79" s="229"/>
      <c r="GP79" s="36"/>
      <c r="GQ79" s="229"/>
      <c r="GR79" s="230"/>
      <c r="GS79" s="87"/>
      <c r="GT79" s="187"/>
      <c r="GU79"/>
      <c r="GW79" s="235"/>
      <c r="GX79" s="235"/>
      <c r="GY79" s="195"/>
      <c r="GZ79"/>
    </row>
    <row r="80" spans="1:208" ht="16.5" thickBot="1" x14ac:dyDescent="0.3">
      <c r="D80" s="35"/>
      <c r="E80" s="36"/>
      <c r="F80" s="37"/>
      <c r="G80" s="38"/>
      <c r="H80" s="39"/>
      <c r="I80" s="40"/>
      <c r="J80" s="177"/>
      <c r="M80" s="212"/>
      <c r="N80" s="213"/>
      <c r="O80" s="224"/>
      <c r="P80" s="225"/>
      <c r="Q80" s="226"/>
      <c r="R80" s="226"/>
      <c r="S80" s="226"/>
      <c r="T80" s="39"/>
      <c r="U80" s="217"/>
      <c r="X80" s="227"/>
      <c r="Y80" s="228"/>
      <c r="Z80" s="229"/>
      <c r="AA80" s="36"/>
      <c r="AB80" s="229"/>
      <c r="AC80" s="230"/>
      <c r="AD80" s="87"/>
      <c r="AG80" s="227"/>
      <c r="AH80" s="228"/>
      <c r="AI80" s="229"/>
      <c r="AJ80" s="36"/>
      <c r="AK80" s="231"/>
      <c r="AL80" s="230"/>
      <c r="AM80" s="87"/>
      <c r="AP80" s="227"/>
      <c r="AQ80" s="228"/>
      <c r="AR80" s="229"/>
      <c r="AS80" s="36"/>
      <c r="AT80" s="229"/>
      <c r="AU80" s="230"/>
      <c r="AV80" s="87"/>
      <c r="AY80" s="227"/>
      <c r="AZ80" s="228"/>
      <c r="BA80" s="229"/>
      <c r="BB80" s="36"/>
      <c r="BC80" s="231"/>
      <c r="BD80" s="230"/>
      <c r="BE80" s="87"/>
      <c r="BH80" s="227"/>
      <c r="BI80" s="228"/>
      <c r="BJ80" s="229"/>
      <c r="BK80" s="36"/>
      <c r="BL80" s="231"/>
      <c r="BM80" s="230"/>
      <c r="BN80" s="87"/>
      <c r="BQ80" s="227"/>
      <c r="BR80" s="228"/>
      <c r="BS80" s="229"/>
      <c r="BT80" s="36"/>
      <c r="BU80" s="229"/>
      <c r="BV80" s="230"/>
      <c r="BW80" s="87"/>
      <c r="BZ80" s="227"/>
      <c r="CA80" s="228"/>
      <c r="CB80" s="229"/>
      <c r="CC80" s="36"/>
      <c r="CD80" s="229"/>
      <c r="CE80" s="230"/>
      <c r="CF80" s="87"/>
      <c r="CI80" s="227"/>
      <c r="CJ80" s="228"/>
      <c r="CK80" s="229"/>
      <c r="CL80" s="36"/>
      <c r="CM80" s="229"/>
      <c r="CN80" s="230"/>
      <c r="CO80" s="87"/>
      <c r="CR80" s="227"/>
      <c r="CS80" s="228"/>
      <c r="CT80" s="229"/>
      <c r="CU80" s="232"/>
      <c r="CV80" s="231"/>
      <c r="CW80" s="233"/>
      <c r="CX80" s="87"/>
      <c r="DA80" s="227"/>
      <c r="DB80" s="228"/>
      <c r="DC80" s="229"/>
      <c r="DD80" s="36"/>
      <c r="DE80" s="229"/>
      <c r="DF80" s="230"/>
      <c r="DG80" s="87"/>
      <c r="DJ80" s="227"/>
      <c r="DK80" s="228"/>
      <c r="DL80" s="229"/>
      <c r="DM80" s="232"/>
      <c r="DN80" s="231"/>
      <c r="DO80" s="233"/>
      <c r="DP80" s="87"/>
      <c r="DS80" s="227"/>
      <c r="DT80" s="228"/>
      <c r="DU80" s="229"/>
      <c r="DV80" s="36"/>
      <c r="DW80" s="229"/>
      <c r="DX80" s="230"/>
      <c r="DY80" s="87"/>
      <c r="EB80" s="227"/>
      <c r="EC80" s="228"/>
      <c r="ED80" s="229"/>
      <c r="EE80" s="232"/>
      <c r="EF80" s="231"/>
      <c r="EG80" s="233"/>
      <c r="EH80" s="87"/>
      <c r="EK80" s="227"/>
      <c r="EL80" s="228"/>
      <c r="EM80" s="229"/>
      <c r="EN80" s="232"/>
      <c r="EO80" s="231"/>
      <c r="EP80" s="233"/>
      <c r="EQ80" s="87"/>
      <c r="ET80" s="227"/>
      <c r="EU80" s="228"/>
      <c r="EV80" s="229"/>
      <c r="EW80" s="36"/>
      <c r="EX80" s="229"/>
      <c r="EY80" s="230"/>
      <c r="EZ80" s="87"/>
      <c r="FC80" s="227"/>
      <c r="FD80" s="228"/>
      <c r="FE80" s="229"/>
      <c r="FF80" s="36"/>
      <c r="FG80" s="229"/>
      <c r="FH80" s="230"/>
      <c r="FI80" s="87"/>
      <c r="FL80" s="227"/>
      <c r="FM80" s="228"/>
      <c r="FN80" s="229"/>
      <c r="FO80" s="36"/>
      <c r="FP80" s="229"/>
      <c r="FQ80" s="230"/>
      <c r="FR80" s="87"/>
      <c r="FU80" s="227"/>
      <c r="FV80" s="228"/>
      <c r="FW80" s="229"/>
      <c r="FX80" s="36"/>
      <c r="FY80" s="229"/>
      <c r="FZ80" s="230"/>
      <c r="GA80" s="87"/>
      <c r="GD80" s="227"/>
      <c r="GE80" s="228"/>
      <c r="GF80" s="229"/>
      <c r="GG80" s="36"/>
      <c r="GH80" s="229"/>
      <c r="GI80" s="230"/>
      <c r="GJ80" s="87"/>
      <c r="GM80" s="227"/>
      <c r="GN80" s="228"/>
      <c r="GO80" s="229"/>
      <c r="GP80" s="36"/>
      <c r="GQ80" s="229"/>
      <c r="GR80" s="230"/>
      <c r="GS80" s="87"/>
      <c r="GT80" s="187"/>
      <c r="GU80"/>
      <c r="GW80" s="235"/>
      <c r="GX80" s="235"/>
      <c r="GY80" s="195"/>
      <c r="GZ80"/>
    </row>
    <row r="81" spans="1:208" ht="16.5" thickTop="1" x14ac:dyDescent="0.25">
      <c r="D81" s="35"/>
      <c r="E81" s="36"/>
      <c r="F81" s="37"/>
      <c r="G81" s="38"/>
      <c r="H81" s="39"/>
      <c r="I81" s="40"/>
      <c r="J81" s="177"/>
      <c r="M81" s="212"/>
      <c r="O81" s="876" t="s">
        <v>30</v>
      </c>
      <c r="P81" s="877"/>
      <c r="Q81" s="877"/>
      <c r="R81" s="237"/>
      <c r="S81" s="237"/>
      <c r="T81" s="880">
        <f>GZ78+GU78+W78+T78+R78</f>
        <v>18647940.805</v>
      </c>
      <c r="U81" s="881"/>
      <c r="X81" s="227"/>
      <c r="Y81" s="228"/>
      <c r="Z81" s="229"/>
      <c r="AA81" s="36"/>
      <c r="AB81" s="229"/>
      <c r="AC81" s="230"/>
      <c r="AD81" s="87"/>
      <c r="AG81" s="227"/>
      <c r="AH81" s="228"/>
      <c r="AI81" s="229"/>
      <c r="AJ81" s="36"/>
      <c r="AK81" s="231"/>
      <c r="AL81" s="230"/>
      <c r="AM81" s="87"/>
      <c r="AP81" s="227"/>
      <c r="AQ81" s="228"/>
      <c r="AR81" s="229"/>
      <c r="AS81" s="36"/>
      <c r="AT81" s="229"/>
      <c r="AU81" s="230"/>
      <c r="AV81" s="87"/>
      <c r="AY81" s="227"/>
      <c r="AZ81" s="228"/>
      <c r="BA81" s="229"/>
      <c r="BB81" s="36"/>
      <c r="BC81" s="231"/>
      <c r="BD81" s="230"/>
      <c r="BE81" s="87"/>
      <c r="BH81" s="227"/>
      <c r="BI81" s="228"/>
      <c r="BJ81" s="229"/>
      <c r="BK81" s="36"/>
      <c r="BL81" s="231"/>
      <c r="BM81" s="230"/>
      <c r="BN81" s="87"/>
      <c r="BQ81" s="227"/>
      <c r="BR81" s="228"/>
      <c r="BS81" s="229"/>
      <c r="BT81" s="36"/>
      <c r="BU81" s="229"/>
      <c r="BV81" s="230"/>
      <c r="BW81" s="87"/>
      <c r="BZ81" s="227"/>
      <c r="CA81" s="228"/>
      <c r="CB81" s="229"/>
      <c r="CC81" s="36"/>
      <c r="CD81" s="229"/>
      <c r="CE81" s="230"/>
      <c r="CF81" s="87"/>
      <c r="CI81" s="227"/>
      <c r="CJ81" s="228"/>
      <c r="CK81" s="229"/>
      <c r="CL81" s="36"/>
      <c r="CM81" s="229"/>
      <c r="CN81" s="230"/>
      <c r="CO81" s="87"/>
      <c r="CR81" s="227"/>
      <c r="CS81" s="228"/>
      <c r="CT81" s="229"/>
      <c r="CU81" s="232"/>
      <c r="CV81" s="231"/>
      <c r="CW81" s="233"/>
      <c r="CX81" s="87"/>
      <c r="DA81" s="227"/>
      <c r="DB81" s="228"/>
      <c r="DC81" s="229"/>
      <c r="DD81" s="36"/>
      <c r="DE81" s="229"/>
      <c r="DF81" s="230"/>
      <c r="DG81" s="87"/>
      <c r="DJ81" s="227"/>
      <c r="DK81" s="228"/>
      <c r="DL81" s="229"/>
      <c r="DM81" s="232"/>
      <c r="DN81" s="231"/>
      <c r="DO81" s="233"/>
      <c r="DP81" s="87"/>
      <c r="DS81" s="227"/>
      <c r="DT81" s="228"/>
      <c r="DU81" s="229"/>
      <c r="DV81" s="36"/>
      <c r="DW81" s="229"/>
      <c r="DX81" s="230"/>
      <c r="DY81" s="87"/>
      <c r="EB81" s="227"/>
      <c r="EC81" s="228"/>
      <c r="ED81" s="229"/>
      <c r="EE81" s="232"/>
      <c r="EF81" s="231"/>
      <c r="EG81" s="233"/>
      <c r="EH81" s="87"/>
      <c r="EK81" s="227"/>
      <c r="EL81" s="228"/>
      <c r="EM81" s="229"/>
      <c r="EN81" s="232"/>
      <c r="EO81" s="231"/>
      <c r="EP81" s="233"/>
      <c r="EQ81" s="87"/>
      <c r="ET81" s="227"/>
      <c r="EU81" s="228"/>
      <c r="EV81" s="229"/>
      <c r="EW81" s="36"/>
      <c r="EX81" s="229"/>
      <c r="EY81" s="230"/>
      <c r="EZ81" s="87"/>
      <c r="FC81" s="227"/>
      <c r="FD81" s="228"/>
      <c r="FE81" s="229"/>
      <c r="FF81" s="36"/>
      <c r="FG81" s="229"/>
      <c r="FH81" s="230"/>
      <c r="FI81" s="87"/>
      <c r="FL81" s="227"/>
      <c r="FM81" s="228"/>
      <c r="FN81" s="229"/>
      <c r="FO81" s="36"/>
      <c r="FP81" s="229"/>
      <c r="FQ81" s="230"/>
      <c r="FR81" s="87"/>
      <c r="FU81" s="227"/>
      <c r="FV81" s="228"/>
      <c r="FW81" s="229"/>
      <c r="FX81" s="36"/>
      <c r="FY81" s="229"/>
      <c r="FZ81" s="230"/>
      <c r="GA81" s="87"/>
      <c r="GD81" s="227"/>
      <c r="GE81" s="228"/>
      <c r="GF81" s="229"/>
      <c r="GG81" s="36"/>
      <c r="GH81" s="229"/>
      <c r="GI81" s="230"/>
      <c r="GJ81" s="87"/>
      <c r="GM81" s="227"/>
      <c r="GN81" s="228"/>
      <c r="GO81" s="229"/>
      <c r="GP81" s="36"/>
      <c r="GQ81" s="229"/>
      <c r="GR81" s="230"/>
      <c r="GS81" s="87"/>
      <c r="GT81" s="187"/>
      <c r="GU81"/>
      <c r="GW81" s="235"/>
      <c r="GX81" s="235"/>
      <c r="GY81" s="195"/>
      <c r="GZ81"/>
    </row>
    <row r="82" spans="1:208" ht="16.5" thickBot="1" x14ac:dyDescent="0.3">
      <c r="D82" s="35"/>
      <c r="E82" s="36"/>
      <c r="F82" s="37"/>
      <c r="G82" s="38"/>
      <c r="H82" s="39"/>
      <c r="I82" s="40"/>
      <c r="J82" s="238"/>
      <c r="M82" s="212"/>
      <c r="O82" s="878"/>
      <c r="P82" s="879"/>
      <c r="Q82" s="879"/>
      <c r="R82" s="239"/>
      <c r="S82" s="239"/>
      <c r="T82" s="882"/>
      <c r="U82" s="883"/>
      <c r="X82" s="227"/>
      <c r="Y82" s="228"/>
      <c r="Z82" s="229"/>
      <c r="AA82" s="36"/>
      <c r="AB82" s="229"/>
      <c r="AC82" s="230"/>
      <c r="AD82" s="87"/>
      <c r="AG82" s="227"/>
      <c r="AH82" s="228"/>
      <c r="AI82" s="229"/>
      <c r="AJ82" s="36"/>
      <c r="AK82" s="231"/>
      <c r="AL82" s="230"/>
      <c r="AM82" s="87"/>
      <c r="AP82" s="227"/>
      <c r="AQ82" s="228"/>
      <c r="AR82" s="229"/>
      <c r="AS82" s="36"/>
      <c r="AT82" s="229"/>
      <c r="AU82" s="230"/>
      <c r="AV82" s="87"/>
      <c r="AY82" s="227"/>
      <c r="AZ82" s="228"/>
      <c r="BA82" s="229"/>
      <c r="BB82" s="36"/>
      <c r="BC82" s="231"/>
      <c r="BD82" s="230"/>
      <c r="BE82" s="87"/>
      <c r="BH82" s="227"/>
      <c r="BI82" s="228"/>
      <c r="BJ82" s="229"/>
      <c r="BK82" s="36"/>
      <c r="BL82" s="231"/>
      <c r="BM82" s="230"/>
      <c r="BN82" s="87"/>
      <c r="BQ82" s="227"/>
      <c r="BR82" s="228"/>
      <c r="BS82" s="229"/>
      <c r="BT82" s="36"/>
      <c r="BU82" s="229"/>
      <c r="BV82" s="230"/>
      <c r="BW82" s="87"/>
      <c r="BZ82" s="227"/>
      <c r="CA82" s="228"/>
      <c r="CB82" s="229"/>
      <c r="CC82" s="36"/>
      <c r="CD82" s="229"/>
      <c r="CE82" s="230"/>
      <c r="CF82" s="87"/>
      <c r="CI82" s="227"/>
      <c r="CJ82" s="228"/>
      <c r="CK82" s="229"/>
      <c r="CL82" s="36"/>
      <c r="CM82" s="229"/>
      <c r="CN82" s="230"/>
      <c r="CO82" s="87"/>
      <c r="CR82" s="227"/>
      <c r="CS82" s="228"/>
      <c r="CT82" s="229"/>
      <c r="CU82" s="232"/>
      <c r="CV82" s="231"/>
      <c r="CW82" s="233"/>
      <c r="CX82" s="87"/>
      <c r="DA82" s="227"/>
      <c r="DB82" s="228"/>
      <c r="DC82" s="229"/>
      <c r="DD82" s="36"/>
      <c r="DE82" s="229"/>
      <c r="DF82" s="230"/>
      <c r="DG82" s="87"/>
      <c r="DJ82" s="227"/>
      <c r="DK82" s="228"/>
      <c r="DL82" s="229"/>
      <c r="DM82" s="232"/>
      <c r="DN82" s="231"/>
      <c r="DO82" s="233"/>
      <c r="DP82" s="87"/>
      <c r="DS82" s="227"/>
      <c r="DT82" s="228"/>
      <c r="DU82" s="229"/>
      <c r="DV82" s="36"/>
      <c r="DW82" s="229"/>
      <c r="DX82" s="230"/>
      <c r="DY82" s="87"/>
      <c r="EB82" s="227"/>
      <c r="EC82" s="228"/>
      <c r="ED82" s="229"/>
      <c r="EE82" s="232"/>
      <c r="EF82" s="231"/>
      <c r="EG82" s="233"/>
      <c r="EH82" s="87"/>
      <c r="EK82" s="227"/>
      <c r="EL82" s="228"/>
      <c r="EM82" s="229"/>
      <c r="EN82" s="232"/>
      <c r="EO82" s="231"/>
      <c r="EP82" s="233"/>
      <c r="EQ82" s="87"/>
      <c r="ET82" s="227"/>
      <c r="EU82" s="228"/>
      <c r="EV82" s="229"/>
      <c r="EW82" s="36"/>
      <c r="EX82" s="229"/>
      <c r="EY82" s="230"/>
      <c r="EZ82" s="87"/>
      <c r="FC82" s="227"/>
      <c r="FD82" s="228"/>
      <c r="FE82" s="229"/>
      <c r="FF82" s="36"/>
      <c r="FG82" s="229"/>
      <c r="FH82" s="230"/>
      <c r="FI82" s="87"/>
      <c r="FL82" s="227"/>
      <c r="FM82" s="228"/>
      <c r="FN82" s="229"/>
      <c r="FO82" s="36"/>
      <c r="FP82" s="229"/>
      <c r="FQ82" s="230"/>
      <c r="FR82" s="87"/>
      <c r="FU82" s="227"/>
      <c r="FV82" s="228"/>
      <c r="FW82" s="229"/>
      <c r="FX82" s="36"/>
      <c r="FY82" s="229"/>
      <c r="FZ82" s="230"/>
      <c r="GA82" s="87"/>
      <c r="GD82" s="227"/>
      <c r="GE82" s="228"/>
      <c r="GF82" s="229"/>
      <c r="GG82" s="36"/>
      <c r="GH82" s="229"/>
      <c r="GI82" s="230"/>
      <c r="GJ82" s="87"/>
      <c r="GM82" s="227"/>
      <c r="GN82" s="228"/>
      <c r="GO82" s="229"/>
      <c r="GP82" s="36"/>
      <c r="GQ82" s="229"/>
      <c r="GR82" s="230"/>
      <c r="GS82" s="87"/>
      <c r="GT82" s="187"/>
      <c r="GU82"/>
      <c r="GW82" s="235"/>
      <c r="GX82" s="235"/>
      <c r="GY82" s="195"/>
      <c r="GZ82"/>
    </row>
    <row r="83" spans="1:208" ht="16.5" thickTop="1" x14ac:dyDescent="0.25">
      <c r="D83" s="35"/>
      <c r="E83" s="36"/>
      <c r="F83" s="37"/>
      <c r="G83" s="38"/>
      <c r="H83" s="39"/>
      <c r="I83" s="40"/>
      <c r="J83" s="238"/>
      <c r="M83" s="212"/>
      <c r="O83" s="224"/>
      <c r="P83" s="225"/>
      <c r="Q83" s="226"/>
      <c r="R83" s="226"/>
      <c r="S83" s="226"/>
      <c r="T83" s="39"/>
      <c r="U83" s="217"/>
      <c r="X83" s="227"/>
      <c r="Y83" s="228"/>
      <c r="Z83" s="229"/>
      <c r="AA83" s="36"/>
      <c r="AB83" s="229"/>
      <c r="AC83" s="230"/>
      <c r="AD83" s="87"/>
      <c r="AG83" s="227"/>
      <c r="AH83" s="228"/>
      <c r="AI83" s="229"/>
      <c r="AJ83" s="36"/>
      <c r="AK83" s="231"/>
      <c r="AL83" s="230"/>
      <c r="AM83" s="87"/>
      <c r="AP83" s="227"/>
      <c r="AQ83" s="228"/>
      <c r="AR83" s="229"/>
      <c r="AS83" s="36"/>
      <c r="AT83" s="229"/>
      <c r="AU83" s="230"/>
      <c r="AV83" s="87"/>
      <c r="AY83" s="227"/>
      <c r="AZ83" s="228"/>
      <c r="BA83" s="229"/>
      <c r="BB83" s="36"/>
      <c r="BC83" s="231"/>
      <c r="BD83" s="230"/>
      <c r="BE83" s="87"/>
      <c r="BH83" s="227"/>
      <c r="BI83" s="228"/>
      <c r="BJ83" s="229"/>
      <c r="BK83" s="36"/>
      <c r="BL83" s="231"/>
      <c r="BM83" s="230"/>
      <c r="BN83" s="87"/>
      <c r="BQ83" s="227"/>
      <c r="BR83" s="228"/>
      <c r="BS83" s="229"/>
      <c r="BT83" s="36"/>
      <c r="BU83" s="229"/>
      <c r="BV83" s="230"/>
      <c r="BW83" s="87"/>
      <c r="BZ83" s="227"/>
      <c r="CA83" s="228"/>
      <c r="CB83" s="229"/>
      <c r="CC83" s="36"/>
      <c r="CD83" s="229"/>
      <c r="CE83" s="230"/>
      <c r="CF83" s="87"/>
      <c r="CI83" s="227"/>
      <c r="CJ83" s="228"/>
      <c r="CK83" s="229"/>
      <c r="CL83" s="36"/>
      <c r="CM83" s="229"/>
      <c r="CN83" s="230"/>
      <c r="CO83" s="87"/>
      <c r="CR83" s="227"/>
      <c r="CS83" s="228"/>
      <c r="CT83" s="229"/>
      <c r="CU83" s="232"/>
      <c r="CV83" s="231"/>
      <c r="CW83" s="233"/>
      <c r="CX83" s="87"/>
      <c r="DA83" s="227"/>
      <c r="DB83" s="228"/>
      <c r="DC83" s="229"/>
      <c r="DD83" s="36"/>
      <c r="DE83" s="229"/>
      <c r="DF83" s="230"/>
      <c r="DG83" s="87"/>
      <c r="DJ83" s="227"/>
      <c r="DK83" s="228"/>
      <c r="DL83" s="229"/>
      <c r="DM83" s="232"/>
      <c r="DN83" s="231"/>
      <c r="DO83" s="233"/>
      <c r="DP83" s="87"/>
      <c r="DS83" s="227"/>
      <c r="DT83" s="228"/>
      <c r="DU83" s="229"/>
      <c r="DV83" s="36"/>
      <c r="DW83" s="229"/>
      <c r="DX83" s="230"/>
      <c r="DY83" s="87"/>
      <c r="EB83" s="227"/>
      <c r="EC83" s="228"/>
      <c r="ED83" s="229"/>
      <c r="EE83" s="232"/>
      <c r="EF83" s="231"/>
      <c r="EG83" s="233"/>
      <c r="EH83" s="87"/>
      <c r="EK83" s="227"/>
      <c r="EL83" s="228"/>
      <c r="EM83" s="229"/>
      <c r="EN83" s="232"/>
      <c r="EO83" s="231"/>
      <c r="EP83" s="233"/>
      <c r="EQ83" s="87"/>
      <c r="ET83" s="227"/>
      <c r="EU83" s="228"/>
      <c r="EV83" s="229"/>
      <c r="EW83" s="36"/>
      <c r="EX83" s="229"/>
      <c r="EY83" s="230"/>
      <c r="EZ83" s="87"/>
      <c r="FC83" s="227"/>
      <c r="FD83" s="228"/>
      <c r="FE83" s="229"/>
      <c r="FF83" s="36"/>
      <c r="FG83" s="229"/>
      <c r="FH83" s="230"/>
      <c r="FI83" s="87"/>
      <c r="FL83" s="227"/>
      <c r="FM83" s="228"/>
      <c r="FN83" s="229"/>
      <c r="FO83" s="36"/>
      <c r="FP83" s="229"/>
      <c r="FQ83" s="230"/>
      <c r="FR83" s="87"/>
      <c r="FU83" s="227"/>
      <c r="FV83" s="228"/>
      <c r="FW83" s="229"/>
      <c r="FX83" s="36"/>
      <c r="FY83" s="229"/>
      <c r="FZ83" s="230"/>
      <c r="GA83" s="87"/>
      <c r="GD83" s="227"/>
      <c r="GE83" s="228"/>
      <c r="GF83" s="229"/>
      <c r="GG83" s="36"/>
      <c r="GH83" s="229"/>
      <c r="GI83" s="230"/>
      <c r="GJ83" s="87"/>
      <c r="GM83" s="227"/>
      <c r="GN83" s="228"/>
      <c r="GO83" s="229"/>
      <c r="GP83" s="36"/>
      <c r="GQ83" s="229"/>
      <c r="GR83" s="230"/>
      <c r="GS83" s="87"/>
      <c r="GT83" s="187"/>
      <c r="GU83"/>
      <c r="GW83" s="235"/>
      <c r="GX83" s="235"/>
      <c r="GY83" s="195"/>
      <c r="GZ83"/>
    </row>
    <row r="84" spans="1:208" x14ac:dyDescent="0.25">
      <c r="D84" s="35"/>
      <c r="E84" s="36"/>
      <c r="F84" s="37"/>
      <c r="G84" s="38"/>
      <c r="H84" s="39"/>
      <c r="I84" s="40"/>
      <c r="J84" s="177"/>
      <c r="M84" s="212"/>
      <c r="O84" s="224"/>
      <c r="P84" s="225"/>
      <c r="Q84" s="226"/>
      <c r="R84" s="226"/>
      <c r="S84" s="226"/>
      <c r="T84" s="39"/>
      <c r="U84" s="217"/>
      <c r="X84" s="227"/>
      <c r="Y84" s="228"/>
      <c r="Z84" s="229"/>
      <c r="AA84" s="36"/>
      <c r="AB84" s="229"/>
      <c r="AC84" s="230"/>
      <c r="AD84" s="87"/>
      <c r="AG84" s="227"/>
      <c r="AH84" s="228"/>
      <c r="AI84" s="229"/>
      <c r="AJ84" s="36"/>
      <c r="AK84" s="231"/>
      <c r="AL84" s="230"/>
      <c r="AM84" s="87"/>
      <c r="AP84" s="227"/>
      <c r="AQ84" s="228"/>
      <c r="AR84" s="229"/>
      <c r="AS84" s="36"/>
      <c r="AT84" s="229"/>
      <c r="AU84" s="230"/>
      <c r="AV84" s="87"/>
      <c r="AY84" s="227"/>
      <c r="AZ84" s="228"/>
      <c r="BA84" s="229"/>
      <c r="BB84" s="36"/>
      <c r="BC84" s="231"/>
      <c r="BD84" s="230"/>
      <c r="BE84" s="87"/>
      <c r="BH84" s="227"/>
      <c r="BI84" s="228"/>
      <c r="BJ84" s="229"/>
      <c r="BK84" s="36"/>
      <c r="BL84" s="231"/>
      <c r="BM84" s="230"/>
      <c r="BN84" s="87"/>
      <c r="BQ84" s="227"/>
      <c r="BR84" s="228"/>
      <c r="BS84" s="229"/>
      <c r="BT84" s="36"/>
      <c r="BU84" s="229"/>
      <c r="BV84" s="230"/>
      <c r="BW84" s="87"/>
      <c r="BZ84" s="227"/>
      <c r="CA84" s="228"/>
      <c r="CB84" s="229"/>
      <c r="CC84" s="36"/>
      <c r="CD84" s="229"/>
      <c r="CE84" s="230"/>
      <c r="CF84" s="87"/>
      <c r="CI84" s="227"/>
      <c r="CJ84" s="228"/>
      <c r="CK84" s="229"/>
      <c r="CL84" s="36"/>
      <c r="CM84" s="229"/>
      <c r="CN84" s="230"/>
      <c r="CO84" s="87"/>
      <c r="CR84" s="227"/>
      <c r="CS84" s="228"/>
      <c r="CT84" s="229"/>
      <c r="CU84" s="232"/>
      <c r="CV84" s="231"/>
      <c r="CW84" s="233"/>
      <c r="CX84" s="87"/>
      <c r="DA84" s="227"/>
      <c r="DB84" s="228"/>
      <c r="DC84" s="229"/>
      <c r="DD84" s="36"/>
      <c r="DE84" s="229"/>
      <c r="DF84" s="230"/>
      <c r="DG84" s="87"/>
      <c r="DJ84" s="227"/>
      <c r="DK84" s="228"/>
      <c r="DL84" s="229"/>
      <c r="DM84" s="232"/>
      <c r="DN84" s="231"/>
      <c r="DO84" s="233"/>
      <c r="DP84" s="87"/>
      <c r="DS84" s="227"/>
      <c r="DT84" s="228"/>
      <c r="DU84" s="229"/>
      <c r="DV84" s="36"/>
      <c r="DW84" s="229"/>
      <c r="DX84" s="230"/>
      <c r="DY84" s="87"/>
      <c r="EB84" s="227"/>
      <c r="EC84" s="228"/>
      <c r="ED84" s="229"/>
      <c r="EE84" s="232"/>
      <c r="EF84" s="231"/>
      <c r="EG84" s="233"/>
      <c r="EH84" s="87"/>
      <c r="EK84" s="227"/>
      <c r="EL84" s="228"/>
      <c r="EM84" s="229"/>
      <c r="EN84" s="232"/>
      <c r="EO84" s="231"/>
      <c r="EP84" s="233"/>
      <c r="EQ84" s="87"/>
      <c r="ET84" s="227"/>
      <c r="EU84" s="228"/>
      <c r="EV84" s="229"/>
      <c r="EW84" s="36"/>
      <c r="EX84" s="229"/>
      <c r="EY84" s="230"/>
      <c r="EZ84" s="87"/>
      <c r="FC84" s="227"/>
      <c r="FD84" s="228"/>
      <c r="FE84" s="229"/>
      <c r="FF84" s="36"/>
      <c r="FG84" s="229"/>
      <c r="FH84" s="230"/>
      <c r="FI84" s="87"/>
      <c r="FL84" s="227"/>
      <c r="FM84" s="228"/>
      <c r="FN84" s="229"/>
      <c r="FO84" s="36"/>
      <c r="FP84" s="229"/>
      <c r="FQ84" s="230"/>
      <c r="FR84" s="87"/>
      <c r="FU84" s="227"/>
      <c r="FV84" s="228"/>
      <c r="FW84" s="229"/>
      <c r="FX84" s="36"/>
      <c r="FY84" s="229"/>
      <c r="FZ84" s="230"/>
      <c r="GA84" s="87"/>
      <c r="GD84" s="227"/>
      <c r="GE84" s="228"/>
      <c r="GF84" s="229"/>
      <c r="GG84" s="36"/>
      <c r="GH84" s="229"/>
      <c r="GI84" s="230"/>
      <c r="GJ84" s="87"/>
      <c r="GM84" s="227"/>
      <c r="GN84" s="228"/>
      <c r="GO84" s="229"/>
      <c r="GP84" s="36"/>
      <c r="GQ84" s="229"/>
      <c r="GR84" s="230"/>
      <c r="GS84" s="87"/>
      <c r="GT84" s="187"/>
      <c r="GU84"/>
      <c r="GW84" s="235"/>
      <c r="GX84" s="235"/>
      <c r="GY84" s="195"/>
      <c r="GZ84"/>
    </row>
    <row r="85" spans="1:208" x14ac:dyDescent="0.25">
      <c r="A85" s="1">
        <v>25</v>
      </c>
      <c r="B85" t="e">
        <f>#REF!</f>
        <v>#REF!</v>
      </c>
      <c r="C85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77"/>
      <c r="M85" s="212"/>
      <c r="O85" s="224"/>
      <c r="P85" s="240"/>
      <c r="Q85" s="226"/>
      <c r="R85" s="226"/>
      <c r="S85" s="226"/>
      <c r="T85" s="39"/>
      <c r="U85" s="241"/>
      <c r="X85" s="227"/>
      <c r="Y85" s="228"/>
      <c r="Z85" s="229"/>
      <c r="AA85" s="198"/>
      <c r="AB85" s="197"/>
      <c r="AC85" s="199"/>
      <c r="AD85" s="200"/>
      <c r="AG85" s="227"/>
      <c r="AH85" s="228"/>
      <c r="AI85" s="229"/>
      <c r="AJ85" s="232"/>
      <c r="AK85" s="231"/>
      <c r="AL85" s="233"/>
      <c r="AM85" s="87"/>
      <c r="AP85" s="227"/>
      <c r="AQ85" s="228">
        <v>21</v>
      </c>
      <c r="AR85" s="229"/>
      <c r="AS85" s="232"/>
      <c r="AT85" s="229"/>
      <c r="AU85" s="233"/>
      <c r="AV85" s="87"/>
      <c r="AY85" s="227"/>
      <c r="AZ85" s="228">
        <v>21</v>
      </c>
      <c r="BA85" s="229"/>
      <c r="BB85" s="232"/>
      <c r="BC85" s="231"/>
      <c r="BD85" s="233"/>
      <c r="BE85" s="87"/>
      <c r="BH85" s="227"/>
      <c r="BI85" s="228"/>
      <c r="BJ85" s="229"/>
      <c r="BK85" s="232"/>
      <c r="BL85" s="231"/>
      <c r="BM85" s="233"/>
      <c r="BN85" s="87"/>
      <c r="BQ85" s="227"/>
      <c r="BR85" s="228"/>
      <c r="BS85" s="229"/>
      <c r="BT85" s="36"/>
      <c r="BU85" s="229"/>
      <c r="BV85" s="230"/>
      <c r="BW85" s="87"/>
      <c r="BZ85" s="227"/>
      <c r="CA85" s="228"/>
      <c r="CB85" s="229"/>
      <c r="CC85" s="36"/>
      <c r="CD85" s="229"/>
      <c r="CE85" s="230"/>
      <c r="CF85" s="87"/>
      <c r="CI85" s="227"/>
      <c r="CJ85" s="228">
        <v>21</v>
      </c>
      <c r="CK85" s="229"/>
      <c r="CL85" s="36"/>
      <c r="CM85" s="229"/>
      <c r="CN85" s="230"/>
      <c r="CO85" s="87"/>
      <c r="CR85" s="227"/>
      <c r="CS85" s="228"/>
      <c r="CT85" s="229"/>
      <c r="CU85" s="232"/>
      <c r="CV85" s="231"/>
      <c r="CW85" s="233"/>
      <c r="CX85" s="87"/>
      <c r="DA85" s="227"/>
      <c r="DB85" s="228">
        <v>21</v>
      </c>
      <c r="DC85" s="229"/>
      <c r="DD85" s="36"/>
      <c r="DE85" s="229"/>
      <c r="DF85" s="230"/>
      <c r="DG85" s="87"/>
      <c r="DJ85" s="227"/>
      <c r="DK85" s="228"/>
      <c r="DL85" s="229"/>
      <c r="DM85" s="232"/>
      <c r="DN85" s="231"/>
      <c r="DO85" s="233"/>
      <c r="DP85" s="87"/>
      <c r="DS85" s="227"/>
      <c r="DT85" s="228"/>
      <c r="DU85" s="229"/>
      <c r="DV85" s="36"/>
      <c r="DW85" s="229"/>
      <c r="DX85" s="230"/>
      <c r="DY85" s="87"/>
      <c r="EB85" s="227"/>
      <c r="EC85" s="228">
        <v>21</v>
      </c>
      <c r="ED85" s="229"/>
      <c r="EE85" s="232"/>
      <c r="EF85" s="231"/>
      <c r="EG85" s="233"/>
      <c r="EH85" s="87"/>
      <c r="EK85" s="227"/>
      <c r="EL85" s="228">
        <v>21</v>
      </c>
      <c r="EM85" s="229"/>
      <c r="EN85" s="232"/>
      <c r="EO85" s="231"/>
      <c r="EP85" s="233"/>
      <c r="EQ85" s="87"/>
      <c r="ET85" s="227"/>
      <c r="EU85" s="228">
        <v>21</v>
      </c>
      <c r="EV85" s="229"/>
      <c r="EW85" s="36"/>
      <c r="EX85" s="229"/>
      <c r="EY85" s="230"/>
      <c r="EZ85" s="87"/>
      <c r="FC85" s="227"/>
      <c r="FD85" s="228">
        <v>21</v>
      </c>
      <c r="FE85" s="229"/>
      <c r="FF85" s="36"/>
      <c r="FG85" s="229"/>
      <c r="FH85" s="230"/>
      <c r="FI85" s="87"/>
      <c r="FL85" s="227"/>
      <c r="FM85" s="228">
        <v>21</v>
      </c>
      <c r="FN85" s="229"/>
      <c r="FO85" s="36"/>
      <c r="FP85" s="229"/>
      <c r="FQ85" s="230"/>
      <c r="FR85" s="87"/>
      <c r="FU85" s="227"/>
      <c r="FV85" s="228">
        <v>21</v>
      </c>
      <c r="FW85" s="229"/>
      <c r="FX85" s="36"/>
      <c r="FY85" s="229"/>
      <c r="FZ85" s="230"/>
      <c r="GA85" s="87"/>
      <c r="GD85" s="227"/>
      <c r="GE85" s="228">
        <v>21</v>
      </c>
      <c r="GF85" s="229"/>
      <c r="GG85" s="36"/>
      <c r="GH85" s="229"/>
      <c r="GI85" s="230"/>
      <c r="GJ85" s="87"/>
      <c r="GM85" s="227"/>
      <c r="GN85" s="228">
        <v>21</v>
      </c>
      <c r="GO85" s="229"/>
      <c r="GP85" s="36"/>
      <c r="GQ85" s="229"/>
      <c r="GR85" s="230"/>
      <c r="GS85" s="87"/>
      <c r="GT85" s="187"/>
      <c r="GU85"/>
      <c r="GW85" s="235"/>
      <c r="GX85" s="235"/>
      <c r="GY85" s="195"/>
      <c r="GZ85"/>
    </row>
    <row r="86" spans="1:208" x14ac:dyDescent="0.25">
      <c r="A86" s="1">
        <v>26</v>
      </c>
      <c r="B86" t="e">
        <f>#REF!</f>
        <v>#REF!</v>
      </c>
      <c r="C86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38"/>
      <c r="M86" s="212"/>
      <c r="T86" s="39"/>
      <c r="U86" s="242"/>
      <c r="X86" s="227"/>
      <c r="Y86" s="228"/>
      <c r="Z86" s="229"/>
      <c r="AA86" s="36"/>
      <c r="AB86" s="229"/>
      <c r="AC86" s="230"/>
      <c r="AD86" s="87"/>
      <c r="AG86" s="227"/>
      <c r="AH86" s="228"/>
      <c r="AI86" s="229"/>
      <c r="AJ86" s="232"/>
      <c r="AK86" s="231"/>
      <c r="AL86" s="233"/>
      <c r="AM86" s="87"/>
      <c r="AP86" s="227"/>
      <c r="AQ86" s="228">
        <v>22</v>
      </c>
      <c r="AR86" s="231"/>
      <c r="AS86" s="232"/>
      <c r="AT86" s="229"/>
      <c r="AU86" s="233"/>
      <c r="AV86" s="87"/>
      <c r="AY86" s="227"/>
      <c r="AZ86" s="228">
        <v>22</v>
      </c>
      <c r="BA86" s="229"/>
      <c r="BB86" s="232"/>
      <c r="BC86" s="231"/>
      <c r="BD86" s="233"/>
      <c r="BE86" s="87"/>
      <c r="BH86" s="227"/>
      <c r="BI86" s="228"/>
      <c r="BJ86" s="229"/>
      <c r="BK86" s="232"/>
      <c r="BL86" s="231"/>
      <c r="BM86" s="233"/>
      <c r="BN86" s="87"/>
      <c r="BQ86" s="227"/>
      <c r="BR86" s="228"/>
      <c r="BS86" s="229"/>
      <c r="BT86" s="36"/>
      <c r="BU86" s="229"/>
      <c r="BV86" s="230"/>
      <c r="BW86" s="87"/>
      <c r="BZ86" s="227"/>
      <c r="CA86" s="228"/>
      <c r="CB86" s="229"/>
      <c r="CC86" s="36"/>
      <c r="CD86" s="229"/>
      <c r="CE86" s="230"/>
      <c r="CF86" s="87"/>
      <c r="CI86" s="227"/>
      <c r="CJ86" s="228">
        <v>22</v>
      </c>
      <c r="CK86" s="229"/>
      <c r="CL86" s="36"/>
      <c r="CM86" s="229"/>
      <c r="CN86" s="230"/>
      <c r="CO86" s="87"/>
      <c r="CR86" s="227"/>
      <c r="CS86" s="228"/>
      <c r="CT86" s="229"/>
      <c r="CU86" s="232"/>
      <c r="CV86" s="231"/>
      <c r="CW86" s="233"/>
      <c r="CX86" s="87"/>
      <c r="DA86" s="227"/>
      <c r="DB86" s="228">
        <v>22</v>
      </c>
      <c r="DC86" s="229"/>
      <c r="DD86" s="232"/>
      <c r="DE86" s="231"/>
      <c r="DF86" s="233"/>
      <c r="DG86" s="87"/>
      <c r="DJ86" s="227"/>
      <c r="DK86" s="228"/>
      <c r="DL86" s="229">
        <v>0</v>
      </c>
      <c r="DM86" s="232"/>
      <c r="DN86" s="231"/>
      <c r="DO86" s="233"/>
      <c r="DP86" s="87"/>
      <c r="DS86" s="227"/>
      <c r="DT86" s="228"/>
      <c r="DU86" s="229"/>
      <c r="DV86" s="36"/>
      <c r="DW86" s="229"/>
      <c r="DX86" s="230"/>
      <c r="DY86" s="87"/>
      <c r="EB86" s="227"/>
      <c r="EC86" s="228">
        <v>22</v>
      </c>
      <c r="ED86" s="229"/>
      <c r="EE86" s="232"/>
      <c r="EF86" s="231"/>
      <c r="EG86" s="233"/>
      <c r="EH86" s="87"/>
      <c r="EK86" s="227"/>
      <c r="EL86" s="228">
        <v>22</v>
      </c>
      <c r="EM86" s="229"/>
      <c r="EN86" s="232"/>
      <c r="EO86" s="231"/>
      <c r="EP86" s="233"/>
      <c r="EQ86" s="87"/>
      <c r="ET86" s="227"/>
      <c r="EU86" s="228">
        <v>22</v>
      </c>
      <c r="EV86" s="229"/>
      <c r="EW86" s="36"/>
      <c r="EX86" s="229"/>
      <c r="EY86" s="230"/>
      <c r="EZ86" s="87"/>
      <c r="FC86" s="227"/>
      <c r="FD86" s="228">
        <v>22</v>
      </c>
      <c r="FE86" s="229"/>
      <c r="FF86" s="36"/>
      <c r="FG86" s="229"/>
      <c r="FH86" s="230"/>
      <c r="FI86" s="87"/>
      <c r="FL86" s="227"/>
      <c r="FM86" s="228">
        <v>22</v>
      </c>
      <c r="FN86" s="229"/>
      <c r="FO86" s="36"/>
      <c r="FP86" s="229"/>
      <c r="FQ86" s="230"/>
      <c r="FR86" s="87"/>
      <c r="FU86" s="227"/>
      <c r="FV86" s="228">
        <v>22</v>
      </c>
      <c r="FW86" s="229"/>
      <c r="FX86" s="36"/>
      <c r="FY86" s="229"/>
      <c r="FZ86" s="230"/>
      <c r="GA86" s="87"/>
      <c r="GD86" s="227"/>
      <c r="GE86" s="228">
        <v>22</v>
      </c>
      <c r="GF86" s="229"/>
      <c r="GG86" s="36"/>
      <c r="GH86" s="229"/>
      <c r="GI86" s="230"/>
      <c r="GJ86" s="87"/>
      <c r="GM86" s="227"/>
      <c r="GN86" s="228">
        <v>22</v>
      </c>
      <c r="GO86" s="229"/>
      <c r="GP86" s="36"/>
      <c r="GQ86" s="229"/>
      <c r="GR86" s="230"/>
      <c r="GS86" s="87"/>
      <c r="GT86" s="187"/>
      <c r="GU86"/>
      <c r="GW86" s="235"/>
      <c r="GX86" s="235"/>
      <c r="GY86" s="195"/>
      <c r="GZ86"/>
    </row>
    <row r="87" spans="1:208" ht="16.5" thickBot="1" x14ac:dyDescent="0.3">
      <c r="A87" s="1">
        <v>27</v>
      </c>
      <c r="B87" t="e">
        <f>#REF!</f>
        <v>#REF!</v>
      </c>
      <c r="C87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38"/>
      <c r="U87" s="242"/>
      <c r="X87" s="227"/>
      <c r="Y87" s="228"/>
      <c r="Z87" s="231"/>
      <c r="AA87" s="36"/>
      <c r="AB87" s="229"/>
      <c r="AC87" s="230"/>
      <c r="AD87" s="87"/>
      <c r="AG87" s="243"/>
      <c r="AH87" s="244"/>
      <c r="AI87" s="245"/>
      <c r="AJ87" s="246"/>
      <c r="AK87" s="247"/>
      <c r="AL87" s="248"/>
      <c r="AP87" s="227"/>
      <c r="AQ87" s="228">
        <v>23</v>
      </c>
      <c r="AR87" s="231"/>
      <c r="AS87" s="232"/>
      <c r="AT87" s="229"/>
      <c r="AU87" s="230"/>
      <c r="AV87" s="87"/>
      <c r="AY87" s="227"/>
      <c r="AZ87" s="228"/>
      <c r="BA87" s="231"/>
      <c r="BB87" s="232"/>
      <c r="BC87" s="249"/>
      <c r="BD87" s="230"/>
      <c r="BE87" s="87"/>
      <c r="BH87" s="243"/>
      <c r="BI87" s="250"/>
      <c r="BJ87" s="245"/>
      <c r="BK87" s="251"/>
      <c r="BL87" s="247"/>
      <c r="BM87" s="252"/>
      <c r="BN87" s="87"/>
      <c r="BR87" s="228"/>
      <c r="BS87" s="231"/>
      <c r="BT87" s="36"/>
      <c r="BU87" s="231"/>
      <c r="BV87" s="230"/>
      <c r="BW87" s="87"/>
      <c r="BZ87" s="243"/>
      <c r="CA87" s="253"/>
      <c r="CB87" s="245"/>
      <c r="CC87" s="246"/>
      <c r="CD87" s="247"/>
      <c r="CE87" s="248"/>
      <c r="CI87" s="227"/>
      <c r="CJ87" s="228">
        <v>23</v>
      </c>
      <c r="CK87" s="231"/>
      <c r="CM87" s="231"/>
      <c r="CR87" s="243"/>
      <c r="CS87" s="253"/>
      <c r="CT87" s="245">
        <v>0</v>
      </c>
      <c r="CU87" s="246"/>
      <c r="CV87" s="247">
        <v>0</v>
      </c>
      <c r="CW87" s="248"/>
      <c r="DA87" s="243"/>
      <c r="DB87" s="253"/>
      <c r="DC87" s="245">
        <v>0</v>
      </c>
      <c r="DD87" s="246"/>
      <c r="DE87" s="247">
        <v>0</v>
      </c>
      <c r="DF87" s="248"/>
      <c r="DJ87" s="243"/>
      <c r="DK87" s="253"/>
      <c r="DL87" s="245">
        <v>0</v>
      </c>
      <c r="DM87" s="246"/>
      <c r="DN87" s="247">
        <v>0</v>
      </c>
      <c r="DO87" s="248"/>
      <c r="DS87" s="243"/>
      <c r="DT87" s="253"/>
      <c r="DU87" s="245">
        <v>0</v>
      </c>
      <c r="DV87" s="246"/>
      <c r="DW87" s="247">
        <v>0</v>
      </c>
      <c r="DX87" s="248"/>
      <c r="EB87" s="243"/>
      <c r="EC87" s="253"/>
      <c r="ED87" s="245">
        <v>0</v>
      </c>
      <c r="EE87" s="246"/>
      <c r="EF87" s="247">
        <v>0</v>
      </c>
      <c r="EG87" s="248"/>
      <c r="EK87" s="243"/>
      <c r="EL87" s="253"/>
      <c r="EM87" s="245">
        <v>0</v>
      </c>
      <c r="EN87" s="246"/>
      <c r="EO87" s="247">
        <v>0</v>
      </c>
      <c r="EP87" s="248"/>
      <c r="ET87" s="243"/>
      <c r="EU87" s="253"/>
      <c r="EV87" s="245">
        <v>0</v>
      </c>
      <c r="EW87" s="246"/>
      <c r="EX87" s="247">
        <v>0</v>
      </c>
      <c r="EY87" s="248"/>
      <c r="FC87" s="243"/>
      <c r="FD87" s="253"/>
      <c r="FE87" s="245">
        <v>0</v>
      </c>
      <c r="FF87" s="246"/>
      <c r="FG87" s="247">
        <v>0</v>
      </c>
      <c r="FH87" s="248"/>
      <c r="FL87" s="243"/>
      <c r="FM87" s="253"/>
      <c r="FN87" s="245">
        <v>0</v>
      </c>
      <c r="FO87" s="246"/>
      <c r="FP87" s="247">
        <v>0</v>
      </c>
      <c r="FQ87" s="248"/>
      <c r="FU87" s="243"/>
      <c r="FV87" s="253"/>
      <c r="FW87" s="245">
        <v>0</v>
      </c>
      <c r="FX87" s="246"/>
      <c r="FY87" s="247">
        <v>0</v>
      </c>
      <c r="FZ87" s="248"/>
      <c r="GD87" s="243"/>
      <c r="GE87" s="253"/>
      <c r="GF87" s="245">
        <v>0</v>
      </c>
      <c r="GG87" s="246"/>
      <c r="GH87" s="247">
        <v>0</v>
      </c>
      <c r="GI87" s="248"/>
      <c r="GM87" s="243"/>
      <c r="GN87" s="253"/>
      <c r="GO87" s="245">
        <v>0</v>
      </c>
      <c r="GP87" s="246"/>
      <c r="GQ87" s="247">
        <v>0</v>
      </c>
      <c r="GR87" s="248"/>
      <c r="GU87"/>
      <c r="GW87" s="235"/>
      <c r="GX87" s="235"/>
      <c r="GY87" s="195"/>
      <c r="GZ87"/>
    </row>
    <row r="88" spans="1:208" x14ac:dyDescent="0.25">
      <c r="J88" s="177"/>
      <c r="K88" s="452"/>
      <c r="T88" s="39"/>
      <c r="U88" s="217"/>
      <c r="GU88"/>
      <c r="GW88" s="235"/>
      <c r="GX88" s="235"/>
      <c r="GY88" s="195"/>
      <c r="GZ88"/>
    </row>
    <row r="89" spans="1:208" x14ac:dyDescent="0.25">
      <c r="J89" s="238"/>
      <c r="K89" s="452"/>
      <c r="T89" s="39"/>
      <c r="U89" s="217"/>
      <c r="GU89"/>
      <c r="GW89" s="235"/>
      <c r="GX89" s="235"/>
      <c r="GY89" s="195"/>
      <c r="GZ89"/>
    </row>
    <row r="90" spans="1:208" x14ac:dyDescent="0.25">
      <c r="J90" s="177"/>
      <c r="K90" s="452"/>
      <c r="O90" s="224"/>
      <c r="P90" s="225"/>
      <c r="Q90" s="226"/>
      <c r="R90" s="226"/>
      <c r="S90" s="226"/>
      <c r="T90" s="39"/>
      <c r="U90" s="217"/>
      <c r="GU90"/>
      <c r="GW90" s="235"/>
      <c r="GX90" s="235"/>
      <c r="GY90" s="195"/>
      <c r="GZ90"/>
    </row>
    <row r="91" spans="1:208" x14ac:dyDescent="0.25">
      <c r="J91" s="238"/>
      <c r="K91" s="452"/>
      <c r="M91" s="212"/>
      <c r="O91" s="224"/>
      <c r="P91" s="225"/>
      <c r="Q91" s="226"/>
      <c r="R91" s="226"/>
      <c r="S91" s="226"/>
      <c r="T91" s="39"/>
      <c r="U91" s="217"/>
      <c r="GU91"/>
      <c r="GW91" s="235"/>
      <c r="GX91" s="235"/>
      <c r="GY91" s="195"/>
      <c r="GZ91"/>
    </row>
    <row r="92" spans="1:208" x14ac:dyDescent="0.25">
      <c r="J92" s="177"/>
      <c r="K92" s="452"/>
      <c r="M92" s="212"/>
      <c r="O92" s="884"/>
      <c r="P92" s="884"/>
      <c r="Q92" s="884"/>
      <c r="T92" s="39"/>
      <c r="U92" s="217"/>
      <c r="GU92"/>
      <c r="GW92" s="235"/>
      <c r="GX92" s="235"/>
      <c r="GY92" s="195"/>
      <c r="GZ92"/>
    </row>
    <row r="93" spans="1:208" x14ac:dyDescent="0.25">
      <c r="J93" s="238"/>
      <c r="GU93"/>
      <c r="GW93" s="235"/>
      <c r="GX93" s="235"/>
      <c r="GY93" s="195"/>
      <c r="GZ93"/>
    </row>
    <row r="94" spans="1:208" x14ac:dyDescent="0.25">
      <c r="J94" s="177"/>
      <c r="GU94"/>
      <c r="GW94" s="235"/>
      <c r="GX94" s="235"/>
      <c r="GY94" s="195"/>
      <c r="GZ94"/>
    </row>
    <row r="95" spans="1:208" x14ac:dyDescent="0.25">
      <c r="A95"/>
      <c r="F95"/>
      <c r="J95" s="177"/>
      <c r="K95" s="453"/>
      <c r="L95"/>
      <c r="M95"/>
      <c r="N95"/>
      <c r="O95" s="37"/>
      <c r="P95"/>
      <c r="Q95"/>
      <c r="R95"/>
      <c r="S95"/>
      <c r="V95"/>
      <c r="W95"/>
      <c r="GU95"/>
      <c r="GW95" s="235"/>
      <c r="GX95" s="235"/>
      <c r="GY95" s="195"/>
      <c r="GZ95"/>
    </row>
    <row r="96" spans="1:208" x14ac:dyDescent="0.25">
      <c r="A96"/>
      <c r="F96"/>
      <c r="J96" s="238"/>
      <c r="K96" s="453"/>
      <c r="L96"/>
      <c r="M96"/>
      <c r="N96"/>
      <c r="O96" s="37"/>
      <c r="P96"/>
      <c r="Q96"/>
      <c r="R96"/>
      <c r="S96"/>
      <c r="V96"/>
      <c r="W96"/>
      <c r="GU96"/>
      <c r="GW96" s="235"/>
      <c r="GX96" s="235"/>
      <c r="GY96" s="195"/>
      <c r="GZ96"/>
    </row>
    <row r="97" spans="1:208" x14ac:dyDescent="0.25">
      <c r="A97"/>
      <c r="F97"/>
      <c r="J97" s="238"/>
      <c r="K97" s="453"/>
      <c r="L97"/>
      <c r="M97"/>
      <c r="N97"/>
      <c r="O97" s="37"/>
      <c r="P97"/>
      <c r="Q97"/>
      <c r="R97"/>
      <c r="S97"/>
      <c r="V97"/>
      <c r="W97"/>
      <c r="GU97"/>
      <c r="GW97" s="235"/>
      <c r="GX97" s="235"/>
      <c r="GY97" s="195"/>
      <c r="GZ97"/>
    </row>
    <row r="98" spans="1:208" x14ac:dyDescent="0.25">
      <c r="A98"/>
      <c r="F98"/>
      <c r="J98" s="238"/>
      <c r="K98" s="453"/>
      <c r="L98"/>
      <c r="M98"/>
      <c r="N98"/>
      <c r="O98" s="37"/>
      <c r="P98"/>
      <c r="Q98"/>
      <c r="R98"/>
      <c r="S98"/>
      <c r="V98"/>
      <c r="W98"/>
      <c r="GU98"/>
      <c r="GW98" s="235"/>
      <c r="GX98" s="235"/>
      <c r="GY98" s="195"/>
      <c r="GZ98"/>
    </row>
    <row r="99" spans="1:208" x14ac:dyDescent="0.25">
      <c r="A99"/>
      <c r="F99"/>
      <c r="J99" s="255"/>
      <c r="K99" s="453"/>
      <c r="L99"/>
      <c r="M99"/>
      <c r="N99"/>
      <c r="O99" s="37"/>
      <c r="P99"/>
      <c r="Q99"/>
      <c r="R99"/>
      <c r="S99"/>
      <c r="V99"/>
      <c r="W99"/>
      <c r="GU99"/>
      <c r="GW99" s="235"/>
      <c r="GX99" s="235"/>
      <c r="GY99" s="195"/>
      <c r="GZ99"/>
    </row>
    <row r="100" spans="1:208" x14ac:dyDescent="0.25">
      <c r="A100"/>
      <c r="F100"/>
      <c r="J100" s="208"/>
      <c r="K100" s="453"/>
      <c r="L100"/>
      <c r="M100"/>
      <c r="N100"/>
      <c r="O100" s="37"/>
      <c r="P100"/>
      <c r="Q100"/>
      <c r="R100"/>
      <c r="S100"/>
      <c r="V100"/>
      <c r="W100"/>
      <c r="GU100"/>
      <c r="GW100" s="235"/>
      <c r="GX100" s="235"/>
      <c r="GY100" s="195"/>
      <c r="GZ100"/>
    </row>
    <row r="101" spans="1:208" x14ac:dyDescent="0.25">
      <c r="A101"/>
      <c r="F101"/>
      <c r="J101" s="177"/>
      <c r="K101" s="453"/>
      <c r="L101"/>
      <c r="M101"/>
      <c r="N101"/>
      <c r="O101" s="37"/>
      <c r="P101"/>
      <c r="Q101"/>
      <c r="R101"/>
      <c r="S101"/>
      <c r="V101"/>
      <c r="W101"/>
      <c r="GU101"/>
      <c r="GW101" s="235"/>
      <c r="GX101" s="235"/>
      <c r="GY101" s="195"/>
      <c r="GZ101"/>
    </row>
    <row r="102" spans="1:208" x14ac:dyDescent="0.25">
      <c r="A102"/>
      <c r="F102"/>
      <c r="J102" s="177"/>
      <c r="K102" s="453"/>
      <c r="L102"/>
      <c r="M102"/>
      <c r="N102"/>
      <c r="O102" s="37"/>
      <c r="P102"/>
      <c r="Q102"/>
      <c r="R102"/>
      <c r="S102"/>
      <c r="V102"/>
      <c r="W102"/>
      <c r="GU102"/>
      <c r="GW102" s="235"/>
      <c r="GX102" s="235"/>
      <c r="GY102" s="195"/>
      <c r="GZ102"/>
    </row>
    <row r="103" spans="1:208" x14ac:dyDescent="0.25">
      <c r="A103"/>
      <c r="F103"/>
      <c r="J103" s="177"/>
      <c r="K103" s="453"/>
      <c r="L103"/>
      <c r="M103"/>
      <c r="N103"/>
      <c r="O103" s="37"/>
      <c r="P103"/>
      <c r="Q103"/>
      <c r="R103"/>
      <c r="S103"/>
      <c r="V103"/>
      <c r="W103"/>
      <c r="GU103"/>
      <c r="GW103" s="235"/>
      <c r="GX103" s="235"/>
      <c r="GY103" s="195"/>
      <c r="GZ103"/>
    </row>
    <row r="104" spans="1:208" x14ac:dyDescent="0.25">
      <c r="A104"/>
      <c r="F104"/>
      <c r="J104" s="177"/>
      <c r="K104" s="453"/>
      <c r="L104"/>
      <c r="M104"/>
      <c r="N104"/>
      <c r="O104" s="37"/>
      <c r="P104"/>
      <c r="Q104"/>
      <c r="R104"/>
      <c r="S104"/>
      <c r="V104"/>
      <c r="W104"/>
      <c r="GU104"/>
      <c r="GW104" s="235"/>
      <c r="GX104" s="235"/>
      <c r="GY104" s="195"/>
      <c r="GZ104"/>
    </row>
    <row r="105" spans="1:208" x14ac:dyDescent="0.25">
      <c r="A105"/>
      <c r="F105"/>
      <c r="J105" s="177"/>
      <c r="K105" s="453"/>
      <c r="L105"/>
      <c r="M105"/>
      <c r="N105"/>
      <c r="O105" s="37"/>
      <c r="P105"/>
      <c r="Q105"/>
      <c r="R105"/>
      <c r="S105"/>
      <c r="V105"/>
      <c r="W105"/>
      <c r="GU105"/>
      <c r="GW105" s="235"/>
      <c r="GX105" s="235"/>
      <c r="GY105" s="195"/>
      <c r="GZ105"/>
    </row>
    <row r="106" spans="1:208" x14ac:dyDescent="0.25">
      <c r="A106"/>
      <c r="F106"/>
      <c r="J106" s="177"/>
      <c r="K106" s="453"/>
      <c r="L106"/>
      <c r="M106"/>
      <c r="N106"/>
      <c r="O106" s="37"/>
      <c r="P106"/>
      <c r="Q106"/>
      <c r="R106"/>
      <c r="S106"/>
      <c r="V106"/>
      <c r="W106"/>
      <c r="GU106"/>
      <c r="GW106" s="235"/>
      <c r="GX106" s="235"/>
      <c r="GY106" s="195"/>
      <c r="GZ106"/>
    </row>
    <row r="107" spans="1:208" x14ac:dyDescent="0.25">
      <c r="A107"/>
      <c r="F107"/>
      <c r="J107" s="177"/>
      <c r="K107" s="453"/>
      <c r="L107"/>
      <c r="M107"/>
      <c r="N107"/>
      <c r="O107" s="37"/>
      <c r="P107"/>
      <c r="Q107"/>
      <c r="R107"/>
      <c r="S107"/>
      <c r="V107"/>
      <c r="W107"/>
      <c r="GU107"/>
      <c r="GW107" s="235"/>
      <c r="GX107" s="235"/>
      <c r="GY107" s="195"/>
      <c r="GZ107"/>
    </row>
  </sheetData>
  <mergeCells count="32"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81:U82"/>
    <mergeCell ref="O92:Q92"/>
    <mergeCell ref="FT1:FZ1"/>
    <mergeCell ref="GC1:GI1"/>
    <mergeCell ref="GL1:GR1"/>
    <mergeCell ref="R4:S4"/>
    <mergeCell ref="R14:S14"/>
    <mergeCell ref="R39:S39"/>
    <mergeCell ref="DR1:DX1"/>
    <mergeCell ref="EA1:EG1"/>
    <mergeCell ref="EJ1:EP1"/>
    <mergeCell ref="ES1:EY1"/>
    <mergeCell ref="FB1:FH1"/>
    <mergeCell ref="FK1:FQ1"/>
    <mergeCell ref="BP1:BV1"/>
    <mergeCell ref="BY1:CE1"/>
    <mergeCell ref="R29:S29"/>
    <mergeCell ref="M74:N74"/>
    <mergeCell ref="O74:O75"/>
    <mergeCell ref="O78:Q78"/>
    <mergeCell ref="O81:Q82"/>
    <mergeCell ref="R41:S4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CANALES ENERO 2017</vt:lpstr>
      <vt:lpstr>FOLIOS ENERO 2017</vt:lpstr>
      <vt:lpstr>CANALES FEBRERO 2017   </vt:lpstr>
      <vt:lpstr>FOLIOS FEBRERO 2017   </vt:lpstr>
      <vt:lpstr>CANALES MARZO 2017     </vt:lpstr>
      <vt:lpstr>FOLIOS MARZO   2017  </vt:lpstr>
      <vt:lpstr>CANALES  ABRIL    2017</vt:lpstr>
      <vt:lpstr>FOLIOS  ABRIL   2017   </vt:lpstr>
      <vt:lpstr>CANALES MAYO  2017   </vt:lpstr>
      <vt:lpstr>FOLIOS MAYO 2017   </vt:lpstr>
      <vt:lpstr>CANALES  JUNIO  2017    </vt:lpstr>
      <vt:lpstr>FOLIOS   JUNIO  2017  </vt:lpstr>
      <vt:lpstr>CANALES  J U L I O   2017    </vt:lpstr>
      <vt:lpstr>FOLIOS JULIO   2017     </vt:lpstr>
      <vt:lpstr>CANALES  AGOSTOS   2017   </vt:lpstr>
      <vt:lpstr>FOLIOS   AGOSTO   2017      </vt:lpstr>
      <vt:lpstr>CANALES  SEPTIEMBRE 2017      </vt:lpstr>
      <vt:lpstr>FOLIOS  SEPTIEMBRE    2017   </vt:lpstr>
      <vt:lpstr>CANALES  OCTUBRE   2017     </vt:lpstr>
      <vt:lpstr>FOLIOS  OCTUBRE    2017  </vt:lpstr>
      <vt:lpstr>CANALES  NOVIEMBRE 2017   </vt:lpstr>
      <vt:lpstr>FOLIOS  NOVIEMBRE  2017   </vt:lpstr>
      <vt:lpstr>CANALES  DICIEMBRE   2017    </vt:lpstr>
      <vt:lpstr>FOLIOS  DICIEMBRE   2017     </vt:lpstr>
      <vt:lpstr>Hoja2</vt:lpstr>
      <vt:lpstr>Hoja3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2017-01-23T14:29:16Z</dcterms:created>
  <dcterms:modified xsi:type="dcterms:W3CDTF">2021-04-06T13:58:22Z</dcterms:modified>
</cp:coreProperties>
</file>