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1 ENERO 2018\"/>
    </mc:Choice>
  </mc:AlternateContent>
  <bookViews>
    <workbookView xWindow="0" yWindow="0" windowWidth="24000" windowHeight="9735"/>
  </bookViews>
  <sheets>
    <sheet name="enero 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5" i="1" l="1"/>
  <c r="Y95" i="1"/>
  <c r="X95" i="1"/>
  <c r="H95" i="1"/>
  <c r="U94" i="1"/>
  <c r="S94" i="1"/>
  <c r="R94" i="1"/>
  <c r="G94" i="1"/>
  <c r="H94" i="1" s="1"/>
  <c r="P93" i="1"/>
  <c r="X93" i="1" s="1"/>
  <c r="T93" i="1" s="1"/>
  <c r="Y93" i="1" s="1"/>
  <c r="Z93" i="1" s="1"/>
  <c r="H93" i="1"/>
  <c r="F93" i="1"/>
  <c r="U92" i="1"/>
  <c r="S92" i="1"/>
  <c r="R92" i="1"/>
  <c r="G92" i="1"/>
  <c r="H92" i="1" s="1"/>
  <c r="P91" i="1"/>
  <c r="X91" i="1" s="1"/>
  <c r="T91" i="1" s="1"/>
  <c r="Y91" i="1" s="1"/>
  <c r="Z91" i="1" s="1"/>
  <c r="H91" i="1"/>
  <c r="F91" i="1"/>
  <c r="P90" i="1"/>
  <c r="F90" i="1"/>
  <c r="H90" i="1" s="1"/>
  <c r="Y89" i="1"/>
  <c r="Z89" i="1" s="1"/>
  <c r="X89" i="1"/>
  <c r="T89" i="1"/>
  <c r="P89" i="1"/>
  <c r="H89" i="1"/>
  <c r="F89" i="1"/>
  <c r="U88" i="1"/>
  <c r="S88" i="1"/>
  <c r="R88" i="1"/>
  <c r="X88" i="1" s="1"/>
  <c r="T88" i="1" s="1"/>
  <c r="H88" i="1"/>
  <c r="G87" i="1"/>
  <c r="H87" i="1" s="1"/>
  <c r="F87" i="1"/>
  <c r="E87" i="1"/>
  <c r="U87" i="1" s="1"/>
  <c r="Y85" i="1"/>
  <c r="Z85" i="1" s="1"/>
  <c r="X85" i="1"/>
  <c r="H85" i="1"/>
  <c r="P84" i="1"/>
  <c r="X84" i="1" s="1"/>
  <c r="T84" i="1" s="1"/>
  <c r="Y84" i="1" s="1"/>
  <c r="Z84" i="1" s="1"/>
  <c r="H84" i="1"/>
  <c r="F84" i="1"/>
  <c r="U83" i="1"/>
  <c r="S83" i="1"/>
  <c r="R83" i="1"/>
  <c r="H83" i="1"/>
  <c r="Z82" i="1"/>
  <c r="Y82" i="1"/>
  <c r="X82" i="1"/>
  <c r="H82" i="1"/>
  <c r="P81" i="1"/>
  <c r="F81" i="1"/>
  <c r="H81" i="1" s="1"/>
  <c r="U80" i="1"/>
  <c r="S80" i="1"/>
  <c r="R80" i="1"/>
  <c r="X80" i="1" s="1"/>
  <c r="T80" i="1" s="1"/>
  <c r="Y80" i="1" s="1"/>
  <c r="Z80" i="1" s="1"/>
  <c r="H80" i="1"/>
  <c r="U79" i="1"/>
  <c r="S79" i="1"/>
  <c r="R79" i="1"/>
  <c r="H79" i="1"/>
  <c r="X78" i="1"/>
  <c r="T78" i="1" s="1"/>
  <c r="Y78" i="1" s="1"/>
  <c r="Z78" i="1" s="1"/>
  <c r="P78" i="1"/>
  <c r="H78" i="1"/>
  <c r="F78" i="1"/>
  <c r="X77" i="1"/>
  <c r="T77" i="1" s="1"/>
  <c r="U77" i="1"/>
  <c r="S77" i="1"/>
  <c r="R77" i="1"/>
  <c r="H77" i="1"/>
  <c r="X76" i="1"/>
  <c r="T76" i="1" s="1"/>
  <c r="P76" i="1"/>
  <c r="F76" i="1"/>
  <c r="H76" i="1" s="1"/>
  <c r="X75" i="1"/>
  <c r="T75" i="1"/>
  <c r="Y75" i="1" s="1"/>
  <c r="Z75" i="1" s="1"/>
  <c r="H75" i="1"/>
  <c r="F75" i="1"/>
  <c r="U74" i="1"/>
  <c r="S74" i="1"/>
  <c r="R74" i="1"/>
  <c r="H74" i="1"/>
  <c r="G74" i="1"/>
  <c r="P73" i="1"/>
  <c r="H73" i="1"/>
  <c r="F73" i="1"/>
  <c r="Y72" i="1"/>
  <c r="Z72" i="1" s="1"/>
  <c r="X72" i="1"/>
  <c r="T72" i="1" s="1"/>
  <c r="P72" i="1"/>
  <c r="H72" i="1"/>
  <c r="F72" i="1"/>
  <c r="X71" i="1"/>
  <c r="P71" i="1"/>
  <c r="F71" i="1"/>
  <c r="H71" i="1" s="1"/>
  <c r="Z70" i="1"/>
  <c r="Y70" i="1"/>
  <c r="X70" i="1"/>
  <c r="H70" i="1"/>
  <c r="Y69" i="1"/>
  <c r="Z69" i="1" s="1"/>
  <c r="X69" i="1"/>
  <c r="H69" i="1"/>
  <c r="Y68" i="1"/>
  <c r="Z68" i="1" s="1"/>
  <c r="X68" i="1"/>
  <c r="H68" i="1"/>
  <c r="Y67" i="1"/>
  <c r="Z67" i="1" s="1"/>
  <c r="X67" i="1"/>
  <c r="H67" i="1"/>
  <c r="Y66" i="1"/>
  <c r="Z66" i="1" s="1"/>
  <c r="X66" i="1"/>
  <c r="H66" i="1"/>
  <c r="Y65" i="1"/>
  <c r="Z65" i="1" s="1"/>
  <c r="X65" i="1"/>
  <c r="H65" i="1"/>
  <c r="Q64" i="1"/>
  <c r="G64" i="1"/>
  <c r="H64" i="1" s="1"/>
  <c r="F64" i="1"/>
  <c r="E64" i="1"/>
  <c r="U63" i="1"/>
  <c r="S63" i="1"/>
  <c r="R63" i="1"/>
  <c r="X63" i="1" s="1"/>
  <c r="T63" i="1" s="1"/>
  <c r="H63" i="1"/>
  <c r="U62" i="1"/>
  <c r="S62" i="1"/>
  <c r="R62" i="1"/>
  <c r="X62" i="1" s="1"/>
  <c r="T62" i="1" s="1"/>
  <c r="H62" i="1"/>
  <c r="Y60" i="1"/>
  <c r="Z60" i="1" s="1"/>
  <c r="X60" i="1"/>
  <c r="H60" i="1"/>
  <c r="F60" i="1"/>
  <c r="Z59" i="1"/>
  <c r="Y59" i="1"/>
  <c r="X59" i="1"/>
  <c r="H59" i="1"/>
  <c r="Z58" i="1"/>
  <c r="Y58" i="1"/>
  <c r="X58" i="1"/>
  <c r="G58" i="1"/>
  <c r="H58" i="1" s="1"/>
  <c r="Y57" i="1"/>
  <c r="Z57" i="1" s="1"/>
  <c r="P57" i="1"/>
  <c r="X57" i="1" s="1"/>
  <c r="T57" i="1" s="1"/>
  <c r="H57" i="1"/>
  <c r="F57" i="1"/>
  <c r="U56" i="1"/>
  <c r="S56" i="1"/>
  <c r="R56" i="1"/>
  <c r="X56" i="1" s="1"/>
  <c r="T56" i="1" s="1"/>
  <c r="H56" i="1"/>
  <c r="U55" i="1"/>
  <c r="S55" i="1"/>
  <c r="R55" i="1"/>
  <c r="X55" i="1" s="1"/>
  <c r="T55" i="1" s="1"/>
  <c r="H55" i="1"/>
  <c r="X54" i="1"/>
  <c r="T54" i="1" s="1"/>
  <c r="U54" i="1"/>
  <c r="S54" i="1"/>
  <c r="R54" i="1"/>
  <c r="H54" i="1"/>
  <c r="U53" i="1"/>
  <c r="S53" i="1"/>
  <c r="R53" i="1"/>
  <c r="H53" i="1"/>
  <c r="X52" i="1"/>
  <c r="P52" i="1"/>
  <c r="F52" i="1"/>
  <c r="H52" i="1" s="1"/>
  <c r="U51" i="1"/>
  <c r="S51" i="1"/>
  <c r="R51" i="1"/>
  <c r="H51" i="1"/>
  <c r="G51" i="1"/>
  <c r="X50" i="1"/>
  <c r="T50" i="1" s="1"/>
  <c r="P50" i="1"/>
  <c r="H50" i="1"/>
  <c r="U49" i="1"/>
  <c r="S49" i="1"/>
  <c r="R49" i="1"/>
  <c r="G49" i="1"/>
  <c r="H49" i="1" s="1"/>
  <c r="X48" i="1"/>
  <c r="T48" i="1"/>
  <c r="Y48" i="1" s="1"/>
  <c r="Z48" i="1" s="1"/>
  <c r="P48" i="1"/>
  <c r="F48" i="1"/>
  <c r="H48" i="1" s="1"/>
  <c r="P47" i="1"/>
  <c r="F47" i="1"/>
  <c r="H47" i="1" s="1"/>
  <c r="Y46" i="1"/>
  <c r="Z46" i="1" s="1"/>
  <c r="X46" i="1"/>
  <c r="F46" i="1"/>
  <c r="H46" i="1" s="1"/>
  <c r="U45" i="1"/>
  <c r="S45" i="1"/>
  <c r="R45" i="1"/>
  <c r="Q45" i="1"/>
  <c r="H45" i="1"/>
  <c r="G45" i="1"/>
  <c r="U44" i="1"/>
  <c r="S44" i="1"/>
  <c r="R44" i="1"/>
  <c r="H44" i="1"/>
  <c r="R43" i="1"/>
  <c r="Q43" i="1"/>
  <c r="G43" i="1"/>
  <c r="H43" i="1" s="1"/>
  <c r="F43" i="1"/>
  <c r="E43" i="1"/>
  <c r="U43" i="1" s="1"/>
  <c r="X41" i="1"/>
  <c r="T41" i="1" s="1"/>
  <c r="P41" i="1"/>
  <c r="F41" i="1"/>
  <c r="H41" i="1" s="1"/>
  <c r="U40" i="1"/>
  <c r="S40" i="1"/>
  <c r="R40" i="1"/>
  <c r="H40" i="1"/>
  <c r="U39" i="1"/>
  <c r="S39" i="1"/>
  <c r="R39" i="1"/>
  <c r="H39" i="1"/>
  <c r="X38" i="1"/>
  <c r="T38" i="1"/>
  <c r="Y38" i="1" s="1"/>
  <c r="Z38" i="1" s="1"/>
  <c r="P38" i="1"/>
  <c r="F38" i="1"/>
  <c r="H38" i="1" s="1"/>
  <c r="P37" i="1"/>
  <c r="F37" i="1"/>
  <c r="H37" i="1" s="1"/>
  <c r="U36" i="1"/>
  <c r="S36" i="1"/>
  <c r="R36" i="1"/>
  <c r="H36" i="1"/>
  <c r="S35" i="1"/>
  <c r="Q35" i="1"/>
  <c r="G35" i="1"/>
  <c r="H35" i="1" s="1"/>
  <c r="F35" i="1"/>
  <c r="E35" i="1"/>
  <c r="R35" i="1" s="1"/>
  <c r="Y34" i="1"/>
  <c r="Z34" i="1" s="1"/>
  <c r="X34" i="1"/>
  <c r="H34" i="1"/>
  <c r="Y33" i="1"/>
  <c r="Z33" i="1" s="1"/>
  <c r="P33" i="1"/>
  <c r="X33" i="1" s="1"/>
  <c r="T33" i="1" s="1"/>
  <c r="H33" i="1"/>
  <c r="F33" i="1"/>
  <c r="X32" i="1"/>
  <c r="T32" i="1" s="1"/>
  <c r="U32" i="1"/>
  <c r="S32" i="1"/>
  <c r="R32" i="1"/>
  <c r="G32" i="1"/>
  <c r="H32" i="1" s="1"/>
  <c r="Y31" i="1"/>
  <c r="Z31" i="1" s="1"/>
  <c r="X31" i="1"/>
  <c r="H31" i="1"/>
  <c r="Y30" i="1"/>
  <c r="Z30" i="1" s="1"/>
  <c r="X30" i="1"/>
  <c r="H30" i="1"/>
  <c r="X29" i="1"/>
  <c r="T29" i="1" s="1"/>
  <c r="Y29" i="1" s="1"/>
  <c r="Z29" i="1" s="1"/>
  <c r="P29" i="1"/>
  <c r="H29" i="1"/>
  <c r="F29" i="1"/>
  <c r="X28" i="1"/>
  <c r="T28" i="1" s="1"/>
  <c r="U28" i="1"/>
  <c r="S28" i="1"/>
  <c r="R28" i="1"/>
  <c r="H28" i="1"/>
  <c r="G28" i="1"/>
  <c r="Y27" i="1"/>
  <c r="Z27" i="1" s="1"/>
  <c r="X27" i="1"/>
  <c r="T27" i="1" s="1"/>
  <c r="P27" i="1"/>
  <c r="H27" i="1"/>
  <c r="F27" i="1"/>
  <c r="X26" i="1"/>
  <c r="P26" i="1"/>
  <c r="F26" i="1"/>
  <c r="H26" i="1" s="1"/>
  <c r="Z25" i="1"/>
  <c r="Y25" i="1"/>
  <c r="X25" i="1"/>
  <c r="H25" i="1"/>
  <c r="Z24" i="1"/>
  <c r="Y24" i="1"/>
  <c r="X24" i="1"/>
  <c r="H24" i="1"/>
  <c r="Z23" i="1"/>
  <c r="Y23" i="1"/>
  <c r="X23" i="1"/>
  <c r="H23" i="1"/>
  <c r="Z22" i="1"/>
  <c r="Y22" i="1"/>
  <c r="X22" i="1"/>
  <c r="H22" i="1"/>
  <c r="U21" i="1"/>
  <c r="Q21" i="1"/>
  <c r="H21" i="1"/>
  <c r="G21" i="1"/>
  <c r="E21" i="1"/>
  <c r="S21" i="1" s="1"/>
  <c r="U20" i="1"/>
  <c r="T20" i="1"/>
  <c r="S20" i="1"/>
  <c r="R20" i="1"/>
  <c r="X20" i="1" s="1"/>
  <c r="H20" i="1"/>
  <c r="U19" i="1"/>
  <c r="S19" i="1"/>
  <c r="R19" i="1"/>
  <c r="X19" i="1" s="1"/>
  <c r="T19" i="1" s="1"/>
  <c r="H19" i="1"/>
  <c r="P17" i="1"/>
  <c r="H17" i="1"/>
  <c r="F17" i="1"/>
  <c r="U16" i="1"/>
  <c r="S16" i="1"/>
  <c r="R16" i="1"/>
  <c r="H16" i="1"/>
  <c r="U15" i="1"/>
  <c r="S15" i="1"/>
  <c r="R15" i="1"/>
  <c r="H15" i="1"/>
  <c r="Y14" i="1"/>
  <c r="Z14" i="1" s="1"/>
  <c r="X14" i="1"/>
  <c r="T14" i="1" s="1"/>
  <c r="P14" i="1"/>
  <c r="H14" i="1"/>
  <c r="F14" i="1"/>
  <c r="U13" i="1"/>
  <c r="S13" i="1"/>
  <c r="R13" i="1"/>
  <c r="X13" i="1" s="1"/>
  <c r="T13" i="1" s="1"/>
  <c r="H13" i="1"/>
  <c r="U12" i="1"/>
  <c r="S12" i="1"/>
  <c r="R12" i="1"/>
  <c r="X12" i="1" s="1"/>
  <c r="T12" i="1" s="1"/>
  <c r="H12" i="1"/>
  <c r="H11" i="1"/>
  <c r="G11" i="1"/>
  <c r="F11" i="1"/>
  <c r="E11" i="1"/>
  <c r="X10" i="1"/>
  <c r="T10" i="1"/>
  <c r="Y10" i="1" s="1"/>
  <c r="Z10" i="1" s="1"/>
  <c r="H10" i="1"/>
  <c r="F10" i="1"/>
  <c r="Y9" i="1"/>
  <c r="Z9" i="1" s="1"/>
  <c r="X9" i="1"/>
  <c r="T9" i="1" s="1"/>
  <c r="P9" i="1"/>
  <c r="H9" i="1"/>
  <c r="F9" i="1"/>
  <c r="X8" i="1"/>
  <c r="P8" i="1"/>
  <c r="F8" i="1"/>
  <c r="H8" i="1" s="1"/>
  <c r="X7" i="1"/>
  <c r="T7" i="1"/>
  <c r="Y7" i="1" s="1"/>
  <c r="Z7" i="1" s="1"/>
  <c r="H7" i="1"/>
  <c r="F7" i="1"/>
  <c r="Y6" i="1"/>
  <c r="Z6" i="1" s="1"/>
  <c r="X6" i="1"/>
  <c r="T6" i="1" s="1"/>
  <c r="P6" i="1"/>
  <c r="H6" i="1"/>
  <c r="F6" i="1"/>
  <c r="Y5" i="1"/>
  <c r="Z5" i="1" s="1"/>
  <c r="X5" i="1"/>
  <c r="H5" i="1"/>
  <c r="Y4" i="1"/>
  <c r="Z4" i="1" s="1"/>
  <c r="X4" i="1"/>
  <c r="H4" i="1"/>
  <c r="Y16" i="1" l="1"/>
  <c r="Z16" i="1" s="1"/>
  <c r="Y36" i="1"/>
  <c r="Z36" i="1" s="1"/>
  <c r="X17" i="1"/>
  <c r="T17" i="1" s="1"/>
  <c r="Y17" i="1" s="1"/>
  <c r="Z17" i="1" s="1"/>
  <c r="Y44" i="1"/>
  <c r="Z44" i="1" s="1"/>
  <c r="X47" i="1"/>
  <c r="T47" i="1" s="1"/>
  <c r="Y47" i="1" s="1"/>
  <c r="Z47" i="1" s="1"/>
  <c r="T8" i="1"/>
  <c r="Y8" i="1" s="1"/>
  <c r="Z8" i="1" s="1"/>
  <c r="X15" i="1"/>
  <c r="T15" i="1" s="1"/>
  <c r="Y15" i="1" s="1"/>
  <c r="Z15" i="1" s="1"/>
  <c r="T26" i="1"/>
  <c r="Y26" i="1" s="1"/>
  <c r="Z26" i="1" s="1"/>
  <c r="Y28" i="1"/>
  <c r="Z28" i="1" s="1"/>
  <c r="Y32" i="1"/>
  <c r="Z32" i="1" s="1"/>
  <c r="Y50" i="1"/>
  <c r="Z50" i="1" s="1"/>
  <c r="X51" i="1"/>
  <c r="T51" i="1" s="1"/>
  <c r="Y52" i="1"/>
  <c r="Z52" i="1" s="1"/>
  <c r="Y54" i="1"/>
  <c r="Z54" i="1" s="1"/>
  <c r="Y62" i="1"/>
  <c r="Z62" i="1" s="1"/>
  <c r="Y63" i="1"/>
  <c r="Z63" i="1" s="1"/>
  <c r="T71" i="1"/>
  <c r="Y71" i="1" s="1"/>
  <c r="Z71" i="1" s="1"/>
  <c r="X73" i="1"/>
  <c r="T73" i="1" s="1"/>
  <c r="Y73" i="1" s="1"/>
  <c r="Z73" i="1" s="1"/>
  <c r="X74" i="1"/>
  <c r="T74" i="1" s="1"/>
  <c r="Y74" i="1" s="1"/>
  <c r="Z74" i="1" s="1"/>
  <c r="Y77" i="1"/>
  <c r="Z77" i="1" s="1"/>
  <c r="X81" i="1"/>
  <c r="T81" i="1" s="1"/>
  <c r="Y81" i="1" s="1"/>
  <c r="Z81" i="1" s="1"/>
  <c r="Y94" i="1"/>
  <c r="Z94" i="1" s="1"/>
  <c r="Y19" i="1"/>
  <c r="Z19" i="1" s="1"/>
  <c r="Y37" i="1"/>
  <c r="Z37" i="1" s="1"/>
  <c r="X37" i="1"/>
  <c r="T37" i="1" s="1"/>
  <c r="Y12" i="1"/>
  <c r="Z12" i="1" s="1"/>
  <c r="X16" i="1"/>
  <c r="T16" i="1" s="1"/>
  <c r="Y20" i="1"/>
  <c r="Z20" i="1" s="1"/>
  <c r="X43" i="1"/>
  <c r="T43" i="1" s="1"/>
  <c r="Y43" i="1" s="1"/>
  <c r="Z43" i="1" s="1"/>
  <c r="Y51" i="1"/>
  <c r="Z51" i="1" s="1"/>
  <c r="T52" i="1"/>
  <c r="Y55" i="1"/>
  <c r="Z55" i="1" s="1"/>
  <c r="Y76" i="1"/>
  <c r="Z76" i="1" s="1"/>
  <c r="Y92" i="1"/>
  <c r="Z92" i="1" s="1"/>
  <c r="U11" i="1"/>
  <c r="S11" i="1"/>
  <c r="R11" i="1"/>
  <c r="Y13" i="1"/>
  <c r="Z13" i="1" s="1"/>
  <c r="X36" i="1"/>
  <c r="T36" i="1" s="1"/>
  <c r="Y41" i="1"/>
  <c r="Z41" i="1" s="1"/>
  <c r="X44" i="1"/>
  <c r="T44" i="1" s="1"/>
  <c r="X53" i="1"/>
  <c r="T53" i="1" s="1"/>
  <c r="Y53" i="1" s="1"/>
  <c r="Z53" i="1" s="1"/>
  <c r="Y56" i="1"/>
  <c r="Z56" i="1" s="1"/>
  <c r="S64" i="1"/>
  <c r="R64" i="1"/>
  <c r="U64" i="1"/>
  <c r="X79" i="1"/>
  <c r="T79" i="1" s="1"/>
  <c r="Y79" i="1" s="1"/>
  <c r="Z79" i="1" s="1"/>
  <c r="R87" i="1"/>
  <c r="R21" i="1"/>
  <c r="X39" i="1"/>
  <c r="T39" i="1" s="1"/>
  <c r="Y39" i="1" s="1"/>
  <c r="Z39" i="1" s="1"/>
  <c r="X40" i="1"/>
  <c r="T40" i="1" s="1"/>
  <c r="Y40" i="1" s="1"/>
  <c r="Z40" i="1" s="1"/>
  <c r="S43" i="1"/>
  <c r="S87" i="1"/>
  <c r="Y88" i="1"/>
  <c r="Z88" i="1" s="1"/>
  <c r="U35" i="1"/>
  <c r="X35" i="1" s="1"/>
  <c r="T35" i="1" s="1"/>
  <c r="Y35" i="1" s="1"/>
  <c r="Z35" i="1" s="1"/>
  <c r="X45" i="1"/>
  <c r="T45" i="1" s="1"/>
  <c r="Y45" i="1" s="1"/>
  <c r="Z45" i="1" s="1"/>
  <c r="X49" i="1"/>
  <c r="T49" i="1" s="1"/>
  <c r="Y49" i="1" s="1"/>
  <c r="Z49" i="1" s="1"/>
  <c r="X83" i="1"/>
  <c r="T83" i="1" s="1"/>
  <c r="Y83" i="1" s="1"/>
  <c r="Z83" i="1" s="1"/>
  <c r="X90" i="1"/>
  <c r="T90" i="1" s="1"/>
  <c r="Y90" i="1" s="1"/>
  <c r="Z90" i="1" s="1"/>
  <c r="X92" i="1"/>
  <c r="T92" i="1" s="1"/>
  <c r="X94" i="1"/>
  <c r="T94" i="1" s="1"/>
  <c r="Y64" i="1" l="1"/>
  <c r="Z64" i="1" s="1"/>
  <c r="Y21" i="1"/>
  <c r="Z21" i="1" s="1"/>
  <c r="X64" i="1"/>
  <c r="T64" i="1" s="1"/>
  <c r="X87" i="1"/>
  <c r="T87" i="1" s="1"/>
  <c r="X21" i="1"/>
  <c r="T21" i="1" s="1"/>
  <c r="Y87" i="1"/>
  <c r="Z87" i="1" s="1"/>
  <c r="X11" i="1"/>
  <c r="T11" i="1" s="1"/>
  <c r="Y11" i="1" s="1"/>
  <c r="Z11" i="1" s="1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<sst xmlns="http://schemas.openxmlformats.org/spreadsheetml/2006/main" count="583" uniqueCount="211">
  <si>
    <t>Enero 2018</t>
  </si>
  <si>
    <t>Producto</t>
  </si>
  <si>
    <t>Marca</t>
  </si>
  <si>
    <t>Proveedor</t>
  </si>
  <si>
    <t>unidades</t>
  </si>
  <si>
    <t>Peso total factura</t>
  </si>
  <si>
    <t>Peso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</si>
  <si>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</si>
  <si>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</si>
  <si>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</si>
  <si>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</si>
  <si>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</si>
  <si>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</si>
  <si>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</si>
  <si>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</si>
  <si>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</si>
  <si>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</si>
  <si>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 / matanzas</t>
  </si>
  <si>
    <t>tipo cambio / visceras</t>
  </si>
  <si>
    <t>seguro carga</t>
  </si>
  <si>
    <t>cargada</t>
  </si>
  <si>
    <t>com</t>
  </si>
  <si>
    <t>costo logistica</t>
  </si>
  <si>
    <t>costo integrado</t>
  </si>
  <si>
    <t>costo real</t>
  </si>
  <si>
    <t>$ carga total</t>
  </si>
  <si>
    <t>Filete Basa</t>
  </si>
  <si>
    <t>Baja Bay 7/9</t>
  </si>
  <si>
    <t>Marimex</t>
  </si>
  <si>
    <t>400 cajas</t>
  </si>
  <si>
    <t>fact PUI 2492</t>
  </si>
  <si>
    <t>ma</t>
  </si>
  <si>
    <t>Salmon Porcion</t>
  </si>
  <si>
    <t>Baja By 6/8</t>
  </si>
  <si>
    <t>10 cajas</t>
  </si>
  <si>
    <t>Pernil con piel</t>
  </si>
  <si>
    <t>Farmland</t>
  </si>
  <si>
    <t>20 combos</t>
  </si>
  <si>
    <t>nl17-113</t>
  </si>
  <si>
    <t>Cruz</t>
  </si>
  <si>
    <t>ju</t>
  </si>
  <si>
    <t>hoja + 9.5 vi 29 dic</t>
  </si>
  <si>
    <t>nl17-114</t>
  </si>
  <si>
    <t>mi</t>
  </si>
  <si>
    <t>nl17-112</t>
  </si>
  <si>
    <t>Sanchez</t>
  </si>
  <si>
    <t>hoja + 9.5 lu 25 dic</t>
  </si>
  <si>
    <t>Tyson</t>
  </si>
  <si>
    <t>F0779</t>
  </si>
  <si>
    <t>hoja + 9.5 ju 28 dic</t>
  </si>
  <si>
    <t>F0780</t>
  </si>
  <si>
    <t>Canal de cerdo</t>
  </si>
  <si>
    <t>Nu3</t>
  </si>
  <si>
    <t>El Dorado y Soto</t>
  </si>
  <si>
    <t>fact 1422,1423,1283,1284</t>
  </si>
  <si>
    <t>Agrop El Topete</t>
  </si>
  <si>
    <t>fact 5892, 5893</t>
  </si>
  <si>
    <t>Porc Soto</t>
  </si>
  <si>
    <t>fact 1287, 1288</t>
  </si>
  <si>
    <t>Seaboard</t>
  </si>
  <si>
    <t>21 combos</t>
  </si>
  <si>
    <t>nlse18-01</t>
  </si>
  <si>
    <t>sa</t>
  </si>
  <si>
    <t>hoja + 10.5 lu 1 ene</t>
  </si>
  <si>
    <t>Agrop La Gaby</t>
  </si>
  <si>
    <t>fact 5715,5716</t>
  </si>
  <si>
    <t>vi</t>
  </si>
  <si>
    <t>fact 1289, 1290</t>
  </si>
  <si>
    <t>CANCELADA</t>
  </si>
  <si>
    <t>nl18-01</t>
  </si>
  <si>
    <t>hoja + 9.5 ma 2 ene</t>
  </si>
  <si>
    <t>fact 5895, 5896</t>
  </si>
  <si>
    <t>do</t>
  </si>
  <si>
    <t>Agrop El Dorado</t>
  </si>
  <si>
    <t>fact 1429, 1430</t>
  </si>
  <si>
    <t>fact 1292, 1293</t>
  </si>
  <si>
    <t>lu</t>
  </si>
  <si>
    <t>Menudo</t>
  </si>
  <si>
    <t>86 M Excel</t>
  </si>
  <si>
    <t>Ryc Alimentos</t>
  </si>
  <si>
    <t>680 cajas</t>
  </si>
  <si>
    <t>fact 1008537</t>
  </si>
  <si>
    <t>Cuero belly fco</t>
  </si>
  <si>
    <t>Adams</t>
  </si>
  <si>
    <t>5 combos</t>
  </si>
  <si>
    <t>fact 57287</t>
  </si>
  <si>
    <t>Contra</t>
  </si>
  <si>
    <t>Excell</t>
  </si>
  <si>
    <t>Roel</t>
  </si>
  <si>
    <t>364 cajas</t>
  </si>
  <si>
    <t>fact H4524</t>
  </si>
  <si>
    <t>filete Tilapia 3/5</t>
  </si>
  <si>
    <t>Mares</t>
  </si>
  <si>
    <t>221 cajas</t>
  </si>
  <si>
    <t>fact PUI2580</t>
  </si>
  <si>
    <t>nl18-02</t>
  </si>
  <si>
    <t>hoja + 9.5 ju 4 ene</t>
  </si>
  <si>
    <t>Ideal</t>
  </si>
  <si>
    <t>nlp-04</t>
  </si>
  <si>
    <t>hoja + 10.5 mi 3 ene</t>
  </si>
  <si>
    <t>fact 5720, 5721</t>
  </si>
  <si>
    <t>nlse18-02</t>
  </si>
  <si>
    <t>Tamez</t>
  </si>
  <si>
    <t>hoja + 10.5 ju 4 ene</t>
  </si>
  <si>
    <t>Sesos maqueta</t>
  </si>
  <si>
    <t>103 cajas</t>
  </si>
  <si>
    <t>fact H4537</t>
  </si>
  <si>
    <t xml:space="preserve">corbata </t>
  </si>
  <si>
    <t>swift</t>
  </si>
  <si>
    <t>48 cajas</t>
  </si>
  <si>
    <t>fact 5897, 5898</t>
  </si>
  <si>
    <t>nlse18-03</t>
  </si>
  <si>
    <t>hoja + 10.5 vi 5 ene</t>
  </si>
  <si>
    <t>fact 57504</t>
  </si>
  <si>
    <t>Agrop La Chemita</t>
  </si>
  <si>
    <t>fact 3864, 3865</t>
  </si>
  <si>
    <t>fact 5725, 5726</t>
  </si>
  <si>
    <t>nl17-120</t>
  </si>
  <si>
    <t>hoja + 9.5 vi 5 ene</t>
  </si>
  <si>
    <t>19 combos</t>
  </si>
  <si>
    <t>nl18-03</t>
  </si>
  <si>
    <t>fact 1294, 1295</t>
  </si>
  <si>
    <t>fact 1296, 1297</t>
  </si>
  <si>
    <t>nlse18-04</t>
  </si>
  <si>
    <t>hoja + 10.5 ma 9 ene</t>
  </si>
  <si>
    <t>fact 3869, 3870</t>
  </si>
  <si>
    <t>fact 1440, 1441</t>
  </si>
  <si>
    <t>fact 1442, 1443</t>
  </si>
  <si>
    <t>fact 57537</t>
  </si>
  <si>
    <t>nl18-04</t>
  </si>
  <si>
    <t>hoja + 9.5 ju 11 ene</t>
  </si>
  <si>
    <t>J0601</t>
  </si>
  <si>
    <t>hoja + 9.5 mi 10 ene</t>
  </si>
  <si>
    <t>fact 5732, 5733</t>
  </si>
  <si>
    <t>J0613</t>
  </si>
  <si>
    <t>Porc Paso Blanco</t>
  </si>
  <si>
    <t>fact 2725, 2726</t>
  </si>
  <si>
    <t>nlse18-05</t>
  </si>
  <si>
    <t>hoja + 10.5 vi 12 ene</t>
  </si>
  <si>
    <t>fact 5734, 5735</t>
  </si>
  <si>
    <t>fact 1303, 1304</t>
  </si>
  <si>
    <t>fact 5739, 5740</t>
  </si>
  <si>
    <t>fact 1307, 1308</t>
  </si>
  <si>
    <t>nl18-05</t>
  </si>
  <si>
    <t>hoja + 9.5 lu 15 ene</t>
  </si>
  <si>
    <t>fact FPL1011441</t>
  </si>
  <si>
    <t>2 combos</t>
  </si>
  <si>
    <t>fact 57679</t>
  </si>
  <si>
    <t>Camaron 30/40-40/50</t>
  </si>
  <si>
    <t>ensenada</t>
  </si>
  <si>
    <t>5 cajas</t>
  </si>
  <si>
    <t>fact PUI2739</t>
  </si>
  <si>
    <t xml:space="preserve"> </t>
  </si>
  <si>
    <t>fact 2738, 2739</t>
  </si>
  <si>
    <t>fact 2740, 2741</t>
  </si>
  <si>
    <t>Agrop Gaby y Dorado</t>
  </si>
  <si>
    <t>fact 5742, 5743, 1450, 1451</t>
  </si>
  <si>
    <t>Corbata</t>
  </si>
  <si>
    <t>176 cajas</t>
  </si>
  <si>
    <t>fact H4610</t>
  </si>
  <si>
    <t>Sesos marqueta</t>
  </si>
  <si>
    <t>74 cajas</t>
  </si>
  <si>
    <t>Esp Carnero</t>
  </si>
  <si>
    <t>Alliance</t>
  </si>
  <si>
    <t>212 cajas</t>
  </si>
  <si>
    <t>Queso manchego</t>
  </si>
  <si>
    <t>Aleman</t>
  </si>
  <si>
    <t>34 cajas</t>
  </si>
  <si>
    <t>Nanas</t>
  </si>
  <si>
    <t>15 cajas</t>
  </si>
  <si>
    <t>Buche</t>
  </si>
  <si>
    <t>37 cajas</t>
  </si>
  <si>
    <t>nl18-06</t>
  </si>
  <si>
    <t>hoja + 9.5 ju 18 ene</t>
  </si>
  <si>
    <t>Ideal Trading</t>
  </si>
  <si>
    <t>nlp 005 (7)</t>
  </si>
  <si>
    <t>hoja + 10.5 ju 18 ene</t>
  </si>
  <si>
    <t>I9810</t>
  </si>
  <si>
    <t>hoja + 9.5 mi 17 ene</t>
  </si>
  <si>
    <t>fact 3879, 3880</t>
  </si>
  <si>
    <t>nlse18-06</t>
  </si>
  <si>
    <t>J0614</t>
  </si>
  <si>
    <t>fact 2748, 2749</t>
  </si>
  <si>
    <t>nlse18-07</t>
  </si>
  <si>
    <t>hoja + 10.5 vi 19 ene</t>
  </si>
  <si>
    <t>fact 5748, 5749</t>
  </si>
  <si>
    <t>fact 5918, 5919</t>
  </si>
  <si>
    <t>nl18-07</t>
  </si>
  <si>
    <t>hoja + 9.5 vi 19 ene</t>
  </si>
  <si>
    <t>Delta</t>
  </si>
  <si>
    <t>fact 103131</t>
  </si>
  <si>
    <t>fact 5751, 5752</t>
  </si>
  <si>
    <t>nlse18-08</t>
  </si>
  <si>
    <t>hoja + 10.5 ma 23 ene</t>
  </si>
  <si>
    <t>1 combo</t>
  </si>
  <si>
    <t>fact 57847</t>
  </si>
  <si>
    <t>Agrop Reses y Topete</t>
  </si>
  <si>
    <t>fact 6528,6529,5922,5923</t>
  </si>
  <si>
    <t>Agrop Las Reses</t>
  </si>
  <si>
    <t>fact 5630, 5631</t>
  </si>
  <si>
    <t>nl18-08</t>
  </si>
  <si>
    <t>hoja + 9.5 mi 24 ene</t>
  </si>
  <si>
    <t>J0615</t>
  </si>
  <si>
    <t>nlp 006</t>
  </si>
  <si>
    <t>hoja + 10.5 mi 24 ene</t>
  </si>
  <si>
    <t>fact 2766, 2767</t>
  </si>
  <si>
    <t>J0616</t>
  </si>
  <si>
    <t>hoja + 9.5 ju 25 ene</t>
  </si>
  <si>
    <t>fact 2770, 2771</t>
  </si>
  <si>
    <t>nacional</t>
  </si>
  <si>
    <t>fact 57917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</si>
</sst>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&quot;$&quot;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17" fontId="0" fillId="0" borderId="0" xfId="0" quotePrefix="1" applyNumberFormat="1"/>
    <xf numFmtId="164" fontId="0" fillId="0" borderId="0" xfId="0" applyNumberFormat="1"/>
    <xf numFmtId="164" fontId="0" fillId="0" borderId="0" xfId="0" applyNumberFormat="1" applyFont="1" applyFill="1" applyBorder="1"/>
    <xf numFmtId="44" fontId="0" fillId="0" borderId="0" xfId="1" applyFont="1"/>
    <xf numFmtId="0" fontId="0" fillId="0" borderId="1" xfId="0" applyFont="1" applyBorder="1"/>
    <xf numFmtId="0" fontId="0" fillId="0" borderId="1" xfId="0" applyFont="1" applyFill="1" applyBorder="1"/>
    <xf numFmtId="4" fontId="0" fillId="0" borderId="1" xfId="0" applyNumberFormat="1" applyFont="1" applyFill="1" applyBorder="1" applyAlignment="1">
      <alignment wrapText="1"/>
    </xf>
    <xf numFmtId="4" fontId="2" fillId="0" borderId="1" xfId="0" applyNumberFormat="1" applyFont="1" applyFill="1" applyBorder="1" applyAlignment="1">
      <alignment wrapText="1"/>
    </xf>
    <xf numFmtId="3" fontId="0" fillId="0" borderId="1" xfId="0" applyNumberFormat="1" applyFont="1" applyFill="1" applyBorder="1"/>
    <xf numFmtId="15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164" fontId="2" fillId="0" borderId="1" xfId="0" applyNumberFormat="1" applyFont="1" applyFill="1" applyBorder="1" applyAlignment="1">
      <alignment wrapText="1"/>
    </xf>
    <xf numFmtId="164" fontId="0" fillId="0" borderId="1" xfId="0" applyNumberFormat="1" applyFont="1" applyFill="1" applyBorder="1" applyAlignment="1">
      <alignment wrapText="1"/>
    </xf>
    <xf numFmtId="44" fontId="0" fillId="0" borderId="1" xfId="1" applyFont="1" applyFill="1" applyBorder="1"/>
    <xf numFmtId="0" fontId="3" fillId="2" borderId="2" xfId="0" applyFont="1" applyFill="1" applyBorder="1" applyAlignment="1">
      <alignment textRotation="255"/>
    </xf>
    <xf numFmtId="0" fontId="0" fillId="0" borderId="0" xfId="0" applyFont="1" applyFill="1" applyBorder="1"/>
    <xf numFmtId="4" fontId="0" fillId="0" borderId="0" xfId="0" applyNumberFormat="1" applyFont="1" applyFill="1" applyBorder="1" applyAlignment="1">
      <alignment wrapText="1"/>
    </xf>
    <xf numFmtId="4" fontId="0" fillId="0" borderId="0" xfId="0" applyNumberFormat="1" applyFont="1" applyFill="1" applyBorder="1"/>
    <xf numFmtId="3" fontId="0" fillId="0" borderId="0" xfId="0" applyNumberFormat="1" applyFont="1" applyFill="1" applyBorder="1"/>
    <xf numFmtId="15" fontId="0" fillId="0" borderId="0" xfId="0" applyNumberFormat="1" applyFont="1" applyFill="1" applyBorder="1"/>
    <xf numFmtId="165" fontId="0" fillId="0" borderId="0" xfId="0" applyNumberFormat="1" applyFont="1" applyFill="1" applyBorder="1"/>
    <xf numFmtId="164" fontId="2" fillId="0" borderId="0" xfId="0" applyNumberFormat="1" applyFont="1" applyFill="1" applyBorder="1" applyAlignment="1">
      <alignment wrapText="1"/>
    </xf>
    <xf numFmtId="164" fontId="0" fillId="0" borderId="0" xfId="0" applyNumberFormat="1" applyFont="1" applyFill="1" applyBorder="1" applyAlignment="1">
      <alignment wrapText="1"/>
    </xf>
    <xf numFmtId="44" fontId="0" fillId="0" borderId="0" xfId="1" applyFont="1" applyFill="1" applyBorder="1"/>
    <xf numFmtId="14" fontId="0" fillId="0" borderId="3" xfId="0" applyNumberFormat="1" applyFont="1" applyFill="1" applyBorder="1"/>
    <xf numFmtId="0" fontId="0" fillId="0" borderId="4" xfId="0" applyFont="1" applyFill="1" applyBorder="1"/>
    <xf numFmtId="0" fontId="4" fillId="0" borderId="0" xfId="0" applyFont="1" applyFill="1" applyBorder="1"/>
    <xf numFmtId="4" fontId="4" fillId="0" borderId="0" xfId="0" applyNumberFormat="1" applyFont="1" applyFill="1" applyBorder="1"/>
    <xf numFmtId="0" fontId="0" fillId="0" borderId="0" xfId="0" applyFont="1"/>
    <xf numFmtId="0" fontId="0" fillId="3" borderId="0" xfId="0" applyFont="1" applyFill="1" applyBorder="1"/>
    <xf numFmtId="166" fontId="0" fillId="0" borderId="0" xfId="0" applyNumberFormat="1" applyFont="1" applyFill="1" applyBorder="1"/>
    <xf numFmtId="164" fontId="0" fillId="4" borderId="0" xfId="0" applyNumberFormat="1" applyFont="1" applyFill="1" applyBorder="1"/>
    <xf numFmtId="164" fontId="0" fillId="5" borderId="0" xfId="0" applyNumberFormat="1" applyFont="1" applyFill="1" applyBorder="1"/>
    <xf numFmtId="165" fontId="4" fillId="0" borderId="0" xfId="0" applyNumberFormat="1" applyFont="1" applyFill="1" applyBorder="1"/>
    <xf numFmtId="164" fontId="4" fillId="4" borderId="0" xfId="0" applyNumberFormat="1" applyFont="1" applyFill="1" applyBorder="1"/>
    <xf numFmtId="44" fontId="0" fillId="0" borderId="0" xfId="1" applyFont="1" applyFill="1"/>
    <xf numFmtId="164" fontId="0" fillId="6" borderId="0" xfId="0" applyNumberFormat="1" applyFont="1" applyFill="1" applyBorder="1"/>
    <xf numFmtId="164" fontId="4" fillId="0" borderId="0" xfId="0" applyNumberFormat="1" applyFont="1" applyFill="1" applyBorder="1"/>
    <xf numFmtId="0" fontId="0" fillId="7" borderId="4" xfId="0" applyFont="1" applyFill="1" applyBorder="1"/>
    <xf numFmtId="0" fontId="4" fillId="7" borderId="0" xfId="0" applyFont="1" applyFill="1" applyBorder="1"/>
    <xf numFmtId="14" fontId="0" fillId="8" borderId="0" xfId="0" applyNumberFormat="1" applyFont="1" applyFill="1" applyBorder="1"/>
    <xf numFmtId="4" fontId="4" fillId="7" borderId="0" xfId="0" applyNumberFormat="1" applyFont="1" applyFill="1" applyBorder="1"/>
    <xf numFmtId="4" fontId="0" fillId="7" borderId="0" xfId="0" applyNumberFormat="1" applyFont="1" applyFill="1" applyBorder="1"/>
    <xf numFmtId="0" fontId="0" fillId="7" borderId="0" xfId="0" applyFont="1" applyFill="1"/>
    <xf numFmtId="15" fontId="0" fillId="7" borderId="0" xfId="0" applyNumberFormat="1" applyFont="1" applyFill="1" applyBorder="1"/>
    <xf numFmtId="164" fontId="0" fillId="7" borderId="0" xfId="0" applyNumberFormat="1" applyFont="1" applyFill="1" applyBorder="1"/>
    <xf numFmtId="166" fontId="0" fillId="7" borderId="0" xfId="0" applyNumberFormat="1" applyFont="1" applyFill="1" applyBorder="1"/>
    <xf numFmtId="165" fontId="4" fillId="7" borderId="0" xfId="0" applyNumberFormat="1" applyFont="1" applyFill="1" applyBorder="1"/>
    <xf numFmtId="164" fontId="4" fillId="7" borderId="0" xfId="0" applyNumberFormat="1" applyFont="1" applyFill="1" applyBorder="1"/>
    <xf numFmtId="44" fontId="0" fillId="7" borderId="0" xfId="1" applyFont="1" applyFill="1" applyBorder="1"/>
    <xf numFmtId="14" fontId="0" fillId="8" borderId="3" xfId="0" applyNumberFormat="1" applyFont="1" applyFill="1" applyBorder="1"/>
    <xf numFmtId="0" fontId="3" fillId="2" borderId="5" xfId="0" applyFont="1" applyFill="1" applyBorder="1" applyAlignment="1">
      <alignment textRotation="255"/>
    </xf>
    <xf numFmtId="0" fontId="0" fillId="0" borderId="6" xfId="0" applyFont="1" applyFill="1" applyBorder="1"/>
    <xf numFmtId="4" fontId="0" fillId="0" borderId="1" xfId="0" applyNumberFormat="1" applyFont="1" applyFill="1" applyBorder="1"/>
    <xf numFmtId="14" fontId="0" fillId="0" borderId="7" xfId="0" applyNumberFormat="1" applyFont="1" applyFill="1" applyBorder="1"/>
    <xf numFmtId="0" fontId="3" fillId="5" borderId="8" xfId="0" applyFont="1" applyFill="1" applyBorder="1" applyAlignment="1">
      <alignment textRotation="255"/>
    </xf>
    <xf numFmtId="0" fontId="0" fillId="0" borderId="9" xfId="0" applyFont="1" applyFill="1" applyBorder="1"/>
    <xf numFmtId="0" fontId="4" fillId="0" borderId="9" xfId="0" applyFont="1" applyFill="1" applyBorder="1"/>
    <xf numFmtId="4" fontId="4" fillId="0" borderId="9" xfId="0" applyNumberFormat="1" applyFont="1" applyFill="1" applyBorder="1"/>
    <xf numFmtId="4" fontId="0" fillId="0" borderId="9" xfId="0" applyNumberFormat="1" applyFont="1" applyFill="1" applyBorder="1"/>
    <xf numFmtId="9" fontId="4" fillId="0" borderId="9" xfId="0" applyNumberFormat="1" applyFont="1" applyFill="1" applyBorder="1"/>
    <xf numFmtId="15" fontId="0" fillId="0" borderId="9" xfId="0" applyNumberFormat="1" applyFont="1" applyFill="1" applyBorder="1"/>
    <xf numFmtId="164" fontId="0" fillId="0" borderId="9" xfId="0" applyNumberFormat="1" applyFont="1" applyFill="1" applyBorder="1"/>
    <xf numFmtId="165" fontId="0" fillId="0" borderId="9" xfId="0" applyNumberFormat="1" applyFont="1" applyFill="1" applyBorder="1"/>
    <xf numFmtId="164" fontId="0" fillId="6" borderId="9" xfId="0" applyNumberFormat="1" applyFont="1" applyFill="1" applyBorder="1"/>
    <xf numFmtId="164" fontId="4" fillId="4" borderId="9" xfId="0" applyNumberFormat="1" applyFont="1" applyFill="1" applyBorder="1"/>
    <xf numFmtId="44" fontId="0" fillId="0" borderId="9" xfId="1" applyFont="1" applyFill="1" applyBorder="1"/>
    <xf numFmtId="14" fontId="0" fillId="0" borderId="10" xfId="0" applyNumberFormat="1" applyFont="1" applyFill="1" applyBorder="1"/>
    <xf numFmtId="0" fontId="3" fillId="5" borderId="2" xfId="0" applyFont="1" applyFill="1" applyBorder="1" applyAlignment="1">
      <alignment textRotation="255"/>
    </xf>
    <xf numFmtId="0" fontId="0" fillId="0" borderId="0" xfId="0" applyFont="1" applyFill="1"/>
    <xf numFmtId="4" fontId="4" fillId="9" borderId="0" xfId="0" applyNumberFormat="1" applyFont="1" applyFill="1" applyBorder="1"/>
    <xf numFmtId="44" fontId="0" fillId="10" borderId="0" xfId="1" applyFont="1" applyFill="1"/>
    <xf numFmtId="0" fontId="3" fillId="5" borderId="5" xfId="0" applyFont="1" applyFill="1" applyBorder="1" applyAlignment="1">
      <alignment textRotation="255"/>
    </xf>
    <xf numFmtId="0" fontId="3" fillId="11" borderId="8" xfId="0" applyFont="1" applyFill="1" applyBorder="1" applyAlignment="1">
      <alignment textRotation="255"/>
    </xf>
    <xf numFmtId="164" fontId="0" fillId="4" borderId="9" xfId="0" applyNumberFormat="1" applyFont="1" applyFill="1" applyBorder="1"/>
    <xf numFmtId="0" fontId="3" fillId="11" borderId="2" xfId="0" applyFont="1" applyFill="1" applyBorder="1" applyAlignment="1">
      <alignment textRotation="255"/>
    </xf>
    <xf numFmtId="164" fontId="0" fillId="8" borderId="0" xfId="0" applyNumberFormat="1" applyFont="1" applyFill="1" applyBorder="1"/>
    <xf numFmtId="0" fontId="0" fillId="5" borderId="0" xfId="0" applyFont="1" applyFill="1" applyBorder="1"/>
    <xf numFmtId="164" fontId="0" fillId="11" borderId="0" xfId="0" applyNumberFormat="1" applyFont="1" applyFill="1" applyBorder="1"/>
    <xf numFmtId="44" fontId="0" fillId="11" borderId="0" xfId="1" applyFont="1" applyFill="1"/>
    <xf numFmtId="0" fontId="3" fillId="11" borderId="5" xfId="0" applyFont="1" applyFill="1" applyBorder="1" applyAlignment="1">
      <alignment textRotation="255"/>
    </xf>
    <xf numFmtId="0" fontId="3" fillId="12" borderId="8" xfId="0" applyFont="1" applyFill="1" applyBorder="1" applyAlignment="1">
      <alignment textRotation="255"/>
    </xf>
    <xf numFmtId="164" fontId="4" fillId="0" borderId="9" xfId="0" applyNumberFormat="1" applyFont="1" applyFill="1" applyBorder="1"/>
    <xf numFmtId="0" fontId="3" fillId="12" borderId="2" xfId="0" applyFont="1" applyFill="1" applyBorder="1" applyAlignment="1">
      <alignment textRotation="255"/>
    </xf>
    <xf numFmtId="0" fontId="3" fillId="12" borderId="5" xfId="0" applyFont="1" applyFill="1" applyBorder="1" applyAlignment="1">
      <alignment textRotation="255"/>
    </xf>
    <xf numFmtId="0" fontId="3" fillId="13" borderId="8" xfId="0" applyFont="1" applyFill="1" applyBorder="1" applyAlignment="1">
      <alignment textRotation="255"/>
    </xf>
    <xf numFmtId="0" fontId="3" fillId="13" borderId="2" xfId="0" applyFont="1" applyFill="1" applyBorder="1" applyAlignment="1">
      <alignment textRotation="255"/>
    </xf>
    <xf numFmtId="0" fontId="0" fillId="0" borderId="0" xfId="1" applyNumberFormat="1" applyFont="1"/>
    <xf numFmtId="0" fontId="3" fillId="13" borderId="5" xfId="0" applyFont="1" applyFill="1" applyBorder="1" applyAlignment="1">
      <alignment textRotation="255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99"/>
  <sheetViews>
    <sheetView tabSelected="1" zoomScale="80" zoomScaleNormal="80" workbookViewId="0">
      <selection activeCell="AF17" sqref="AF17"/>
    </sheetView>
  </sheetViews>
  <sheetFormatPr baseColWidth="10" defaultRowHeight="15" x14ac:dyDescent="0.25"/>
  <cols>
    <col min="1" max="1" width="4.140625" customWidth="1"/>
    <col min="2" max="2" width="17.42578125" customWidth="1"/>
    <col min="3" max="3" width="13" bestFit="1" customWidth="1"/>
    <col min="4" max="4" width="17.5703125" customWidth="1"/>
    <col min="5" max="5" width="11.7109375" customWidth="1"/>
    <col min="7" max="7" width="11" customWidth="1"/>
    <col min="10" max="11" width="0" hidden="1" customWidth="1"/>
    <col min="13" max="13" width="4.28515625" customWidth="1"/>
    <col min="14" max="15" width="0" hidden="1" customWidth="1"/>
    <col min="16" max="16" width="10.5703125" hidden="1" customWidth="1"/>
    <col min="17" max="21" width="0" hidden="1" customWidth="1"/>
    <col min="22" max="22" width="7" hidden="1" customWidth="1"/>
    <col min="23" max="23" width="9.85546875" hidden="1" customWidth="1"/>
    <col min="24" max="24" width="11.42578125" hidden="1" customWidth="1"/>
    <col min="25" max="25" width="12.28515625" customWidth="1"/>
    <col min="26" max="26" width="14.7109375" customWidth="1"/>
  </cols>
  <sheetData>
    <row r="2" spans="1:29" x14ac:dyDescent="0.25">
      <c r="A2" s="1" t="s">
        <v>0</v>
      </c>
      <c r="S2" s="2"/>
      <c r="W2" s="3"/>
      <c r="Z2" s="4"/>
    </row>
    <row r="3" spans="1:29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9" x14ac:dyDescent="0.25">
      <c r="A4" s="16"/>
      <c r="B4" s="17" t="s">
        <v>26</v>
      </c>
      <c r="C4" s="17" t="s">
        <v>27</v>
      </c>
      <c r="D4" s="17" t="s">
        <v>28</v>
      </c>
      <c r="E4" s="17" t="s">
        <v>29</v>
      </c>
      <c r="F4" s="18">
        <v>2000</v>
      </c>
      <c r="G4" s="18">
        <v>2000</v>
      </c>
      <c r="H4" s="19">
        <f t="shared" ref="H4:H5" si="0">G4-F4</f>
        <v>0</v>
      </c>
      <c r="I4" s="20" t="s">
        <v>30</v>
      </c>
      <c r="J4" s="17"/>
      <c r="K4" s="21"/>
      <c r="L4" s="21">
        <v>43102</v>
      </c>
      <c r="M4" s="17" t="s">
        <v>31</v>
      </c>
      <c r="N4" s="17"/>
      <c r="O4" s="3">
        <v>38</v>
      </c>
      <c r="P4" s="22"/>
      <c r="Q4" s="3"/>
      <c r="R4" s="23"/>
      <c r="S4" s="23"/>
      <c r="T4" s="24"/>
      <c r="U4" s="3"/>
      <c r="V4" s="3"/>
      <c r="W4" s="3">
        <v>-1.7</v>
      </c>
      <c r="X4" s="3">
        <f t="shared" ref="X4:X7" si="1">IF(O4&gt;0,O4,((P4*2.2046*S4)+(Q4+R4)/G4)+V4)</f>
        <v>38</v>
      </c>
      <c r="Y4" s="3">
        <f t="shared" ref="Y4:Y7" si="2">IF(O4&gt;0,O4,((P4*2.2046*S4)+(Q4+R4+T4)/G4)+V4+W4)</f>
        <v>38</v>
      </c>
      <c r="Z4" s="25">
        <f t="shared" ref="Z4:Z7" si="3">Y4*F4</f>
        <v>76000</v>
      </c>
      <c r="AA4" s="26">
        <v>43102</v>
      </c>
    </row>
    <row r="5" spans="1:29" x14ac:dyDescent="0.25">
      <c r="A5" s="16"/>
      <c r="B5" s="17" t="s">
        <v>32</v>
      </c>
      <c r="C5" s="17" t="s">
        <v>33</v>
      </c>
      <c r="D5" s="17" t="s">
        <v>28</v>
      </c>
      <c r="E5" s="17" t="s">
        <v>34</v>
      </c>
      <c r="F5" s="18">
        <v>100</v>
      </c>
      <c r="G5" s="18">
        <v>100</v>
      </c>
      <c r="H5" s="19">
        <f t="shared" si="0"/>
        <v>0</v>
      </c>
      <c r="I5" s="20" t="s">
        <v>30</v>
      </c>
      <c r="J5" s="17"/>
      <c r="K5" s="21"/>
      <c r="L5" s="21">
        <v>43102</v>
      </c>
      <c r="M5" s="17" t="s">
        <v>31</v>
      </c>
      <c r="N5" s="17"/>
      <c r="O5" s="3">
        <v>170</v>
      </c>
      <c r="P5" s="22"/>
      <c r="Q5" s="3"/>
      <c r="R5" s="23"/>
      <c r="S5" s="23"/>
      <c r="T5" s="24"/>
      <c r="U5" s="3"/>
      <c r="V5" s="3"/>
      <c r="W5" s="3">
        <v>-0.7</v>
      </c>
      <c r="X5" s="3">
        <f t="shared" si="1"/>
        <v>170</v>
      </c>
      <c r="Y5" s="3">
        <f t="shared" si="2"/>
        <v>170</v>
      </c>
      <c r="Z5" s="25">
        <f t="shared" si="3"/>
        <v>17000</v>
      </c>
      <c r="AA5" s="26">
        <v>43102</v>
      </c>
    </row>
    <row r="6" spans="1:29" s="30" customFormat="1" x14ac:dyDescent="0.25">
      <c r="A6" s="16"/>
      <c r="B6" s="27" t="s">
        <v>35</v>
      </c>
      <c r="C6" s="28" t="s">
        <v>36</v>
      </c>
      <c r="D6" s="28" t="s">
        <v>36</v>
      </c>
      <c r="E6" s="17" t="s">
        <v>37</v>
      </c>
      <c r="F6" s="29">
        <f>41610*0.4536</f>
        <v>18874.295999999998</v>
      </c>
      <c r="G6" s="19">
        <v>18825.82</v>
      </c>
      <c r="H6" s="19">
        <f>G6-F6</f>
        <v>-48.475999999998749</v>
      </c>
      <c r="I6" s="30" t="s">
        <v>38</v>
      </c>
      <c r="J6" s="31" t="s">
        <v>39</v>
      </c>
      <c r="K6" s="21">
        <v>43103</v>
      </c>
      <c r="L6" s="21">
        <v>43105</v>
      </c>
      <c r="M6" s="28" t="s">
        <v>40</v>
      </c>
      <c r="N6" s="28" t="s">
        <v>41</v>
      </c>
      <c r="O6" s="3"/>
      <c r="P6" s="32">
        <f>0.5804+0.095</f>
        <v>0.6754</v>
      </c>
      <c r="Q6" s="33">
        <v>23000</v>
      </c>
      <c r="R6" s="34">
        <v>9500</v>
      </c>
      <c r="S6" s="35">
        <v>19.218</v>
      </c>
      <c r="T6" s="36">
        <f>X6*F6*0.005</f>
        <v>2874.7158553462973</v>
      </c>
      <c r="V6" s="3">
        <v>0.12</v>
      </c>
      <c r="W6" s="3">
        <v>0.3</v>
      </c>
      <c r="X6" s="3">
        <f t="shared" si="1"/>
        <v>30.461701515609349</v>
      </c>
      <c r="Y6" s="3">
        <f t="shared" si="2"/>
        <v>30.914402213658427</v>
      </c>
      <c r="Z6" s="25">
        <f t="shared" si="3"/>
        <v>583487.57804364432</v>
      </c>
      <c r="AA6" s="26">
        <v>43112</v>
      </c>
      <c r="AB6" s="37"/>
      <c r="AC6" s="37"/>
    </row>
    <row r="7" spans="1:29" s="30" customFormat="1" x14ac:dyDescent="0.25">
      <c r="A7" s="16"/>
      <c r="B7" s="27" t="s">
        <v>35</v>
      </c>
      <c r="C7" s="28" t="s">
        <v>36</v>
      </c>
      <c r="D7" s="28" t="s">
        <v>36</v>
      </c>
      <c r="E7" s="17" t="s">
        <v>37</v>
      </c>
      <c r="F7" s="29">
        <f>41712*0.4536</f>
        <v>18920.563200000001</v>
      </c>
      <c r="G7" s="19">
        <v>18893.43</v>
      </c>
      <c r="H7" s="19">
        <f>G7-F7</f>
        <v>-27.133200000000215</v>
      </c>
      <c r="I7" s="30" t="s">
        <v>42</v>
      </c>
      <c r="J7" s="31" t="s">
        <v>39</v>
      </c>
      <c r="K7" s="21">
        <v>43102</v>
      </c>
      <c r="L7" s="21">
        <v>43104</v>
      </c>
      <c r="M7" s="28" t="s">
        <v>43</v>
      </c>
      <c r="N7" s="28" t="s">
        <v>41</v>
      </c>
      <c r="O7" s="3"/>
      <c r="P7" s="32">
        <v>0.6754</v>
      </c>
      <c r="Q7" s="33">
        <v>23000</v>
      </c>
      <c r="R7" s="34">
        <v>9500</v>
      </c>
      <c r="S7" s="35">
        <v>19.225000000000001</v>
      </c>
      <c r="T7" s="36">
        <f t="shared" ref="T7:T10" si="4">X7*F7*0.005</f>
        <v>2882.1643484181736</v>
      </c>
      <c r="V7" s="3">
        <v>0.12</v>
      </c>
      <c r="W7" s="3">
        <v>0.3</v>
      </c>
      <c r="X7" s="3">
        <f t="shared" si="1"/>
        <v>30.465946684062484</v>
      </c>
      <c r="Y7" s="3">
        <f t="shared" si="2"/>
        <v>30.918495180995979</v>
      </c>
      <c r="Z7" s="25">
        <f t="shared" si="3"/>
        <v>584995.34212092985</v>
      </c>
      <c r="AA7" s="26">
        <v>43112</v>
      </c>
      <c r="AB7" s="37"/>
      <c r="AC7" s="37"/>
    </row>
    <row r="8" spans="1:29" s="30" customFormat="1" x14ac:dyDescent="0.25">
      <c r="A8" s="16"/>
      <c r="B8" s="27" t="s">
        <v>35</v>
      </c>
      <c r="C8" s="28" t="s">
        <v>36</v>
      </c>
      <c r="D8" s="28" t="s">
        <v>36</v>
      </c>
      <c r="E8" s="17" t="s">
        <v>37</v>
      </c>
      <c r="F8" s="29">
        <f>40962*0.4536</f>
        <v>18580.3632</v>
      </c>
      <c r="G8" s="19">
        <v>18484.59</v>
      </c>
      <c r="H8" s="19">
        <f t="shared" ref="H8:H13" si="5">G8-F8</f>
        <v>-95.773199999999633</v>
      </c>
      <c r="I8" s="30" t="s">
        <v>44</v>
      </c>
      <c r="J8" s="31" t="s">
        <v>45</v>
      </c>
      <c r="K8" s="21">
        <v>43102</v>
      </c>
      <c r="L8" s="21">
        <v>43103</v>
      </c>
      <c r="M8" s="28" t="s">
        <v>43</v>
      </c>
      <c r="N8" s="28" t="s">
        <v>46</v>
      </c>
      <c r="O8" s="3"/>
      <c r="P8" s="32">
        <f>0.5453+0.095</f>
        <v>0.64029999999999998</v>
      </c>
      <c r="Q8" s="33">
        <v>23000</v>
      </c>
      <c r="R8" s="34">
        <v>9500</v>
      </c>
      <c r="S8" s="35">
        <v>19.283999999999999</v>
      </c>
      <c r="T8" s="36">
        <f t="shared" si="4"/>
        <v>2703.4074923254834</v>
      </c>
      <c r="V8" s="3">
        <v>0.12</v>
      </c>
      <c r="W8" s="3">
        <v>0.3</v>
      </c>
      <c r="X8" s="3">
        <f>IF(O8&gt;0,O8,((P8*2.2046*S8)+(Q8+R8)/G8)+V8)</f>
        <v>29.099619455506485</v>
      </c>
      <c r="Y8" s="3">
        <f>IF(O8&gt;0,O8,((P8*2.2046*S8)+(Q8+R8+T8)/G8)+V8+W8)</f>
        <v>29.545871414155581</v>
      </c>
      <c r="Z8" s="25">
        <f>Y8*F8</f>
        <v>548973.02193550835</v>
      </c>
      <c r="AA8" s="26">
        <v>43104</v>
      </c>
      <c r="AB8" s="37"/>
      <c r="AC8" s="37"/>
    </row>
    <row r="9" spans="1:29" s="30" customFormat="1" x14ac:dyDescent="0.25">
      <c r="A9" s="16"/>
      <c r="B9" s="27" t="s">
        <v>35</v>
      </c>
      <c r="C9" s="28" t="s">
        <v>47</v>
      </c>
      <c r="D9" s="28" t="s">
        <v>47</v>
      </c>
      <c r="E9" s="17" t="s">
        <v>37</v>
      </c>
      <c r="F9" s="29">
        <f>41031*0.4536</f>
        <v>18611.661599999999</v>
      </c>
      <c r="G9" s="19">
        <v>18495.07</v>
      </c>
      <c r="H9" s="19">
        <f t="shared" si="5"/>
        <v>-116.59159999999974</v>
      </c>
      <c r="I9" s="30" t="s">
        <v>48</v>
      </c>
      <c r="J9" s="31" t="s">
        <v>45</v>
      </c>
      <c r="K9" s="21">
        <v>43102</v>
      </c>
      <c r="L9" s="21">
        <v>43103</v>
      </c>
      <c r="M9" s="28" t="s">
        <v>43</v>
      </c>
      <c r="N9" s="28" t="s">
        <v>49</v>
      </c>
      <c r="O9" s="3"/>
      <c r="P9" s="32">
        <f>0.5673+0.095</f>
        <v>0.6623</v>
      </c>
      <c r="Q9" s="33">
        <v>23000</v>
      </c>
      <c r="R9" s="3">
        <v>9400</v>
      </c>
      <c r="S9" s="35">
        <v>19.766999999999999</v>
      </c>
      <c r="T9" s="36">
        <f t="shared" si="4"/>
        <v>2860.0303039306905</v>
      </c>
      <c r="V9" s="3">
        <v>0.12</v>
      </c>
      <c r="W9" s="3">
        <v>0.3</v>
      </c>
      <c r="X9" s="3">
        <f t="shared" ref="X9:X10" si="6">IF(O9&gt;0,O9,((P9*2.2046*S9)+(Q9+R9)/G9)+V9)</f>
        <v>30.733744954085029</v>
      </c>
      <c r="Y9" s="3">
        <f t="shared" ref="Y9:Y10" si="7">IF(O9&gt;0,O9,((P9*2.2046*S9)+(Q9+R9+T9)/G9)+V9+W9)</f>
        <v>31.188382395518381</v>
      </c>
      <c r="Z9" s="25">
        <f t="shared" ref="Z9:Z10" si="8">Y9*F9</f>
        <v>580467.61899678549</v>
      </c>
      <c r="AA9" s="26">
        <v>43096</v>
      </c>
      <c r="AB9" s="37"/>
      <c r="AC9" s="37"/>
    </row>
    <row r="10" spans="1:29" s="30" customFormat="1" x14ac:dyDescent="0.25">
      <c r="A10" s="16"/>
      <c r="B10" s="27" t="s">
        <v>35</v>
      </c>
      <c r="C10" s="28" t="s">
        <v>47</v>
      </c>
      <c r="D10" s="28" t="s">
        <v>47</v>
      </c>
      <c r="E10" s="17" t="s">
        <v>37</v>
      </c>
      <c r="F10" s="29">
        <f>41653*0.4536</f>
        <v>18893.800800000001</v>
      </c>
      <c r="G10" s="19">
        <v>18807.990000000002</v>
      </c>
      <c r="H10" s="19">
        <f t="shared" si="5"/>
        <v>-85.81079999999929</v>
      </c>
      <c r="I10" s="30" t="s">
        <v>50</v>
      </c>
      <c r="J10" s="31" t="s">
        <v>45</v>
      </c>
      <c r="K10" s="21">
        <v>43102</v>
      </c>
      <c r="L10" s="21">
        <v>43103</v>
      </c>
      <c r="M10" s="28" t="s">
        <v>43</v>
      </c>
      <c r="N10" s="28" t="s">
        <v>49</v>
      </c>
      <c r="O10" s="3"/>
      <c r="P10" s="32">
        <v>0.6623</v>
      </c>
      <c r="Q10" s="33">
        <v>23000</v>
      </c>
      <c r="R10" s="3">
        <v>9400</v>
      </c>
      <c r="S10" s="35">
        <v>19.79</v>
      </c>
      <c r="T10" s="36">
        <f t="shared" si="4"/>
        <v>2903.8053757598054</v>
      </c>
      <c r="V10" s="3">
        <v>0.12</v>
      </c>
      <c r="W10" s="3">
        <v>0.3</v>
      </c>
      <c r="X10" s="3">
        <f t="shared" si="6"/>
        <v>30.738181337868291</v>
      </c>
      <c r="Y10" s="3">
        <f t="shared" si="7"/>
        <v>31.19257345397213</v>
      </c>
      <c r="Z10" s="25">
        <f t="shared" si="8"/>
        <v>589346.26927871746</v>
      </c>
      <c r="AA10" s="26">
        <v>43096</v>
      </c>
      <c r="AB10" s="37"/>
      <c r="AC10" s="37"/>
    </row>
    <row r="11" spans="1:29" s="30" customFormat="1" x14ac:dyDescent="0.25">
      <c r="A11" s="16"/>
      <c r="B11" s="27" t="s">
        <v>51</v>
      </c>
      <c r="C11" s="17" t="s">
        <v>52</v>
      </c>
      <c r="D11" s="28" t="s">
        <v>53</v>
      </c>
      <c r="E11" s="17">
        <f>250+10</f>
        <v>260</v>
      </c>
      <c r="F11" s="29">
        <f>25470+1025</f>
        <v>26495</v>
      </c>
      <c r="G11" s="19">
        <f>10620+10160</f>
        <v>20780</v>
      </c>
      <c r="H11" s="19">
        <f t="shared" si="5"/>
        <v>-5715</v>
      </c>
      <c r="I11" s="30" t="s">
        <v>54</v>
      </c>
      <c r="J11" s="17"/>
      <c r="K11" s="21"/>
      <c r="L11" s="21">
        <v>43103</v>
      </c>
      <c r="M11" s="28" t="s">
        <v>43</v>
      </c>
      <c r="N11" s="17"/>
      <c r="O11" s="3">
        <v>30</v>
      </c>
      <c r="P11" s="22"/>
      <c r="Q11" s="38">
        <v>19800</v>
      </c>
      <c r="R11" s="3">
        <f>65*E11</f>
        <v>16900</v>
      </c>
      <c r="S11" s="39">
        <f>-38*E11</f>
        <v>-9880</v>
      </c>
      <c r="T11" s="36">
        <f>X11*F11*0.0045</f>
        <v>4721.8794838787298</v>
      </c>
      <c r="U11" s="3">
        <f>E11*5</f>
        <v>1300</v>
      </c>
      <c r="V11" s="17"/>
      <c r="W11" s="3">
        <v>0.3</v>
      </c>
      <c r="X11" s="3">
        <f>((O11*F11)+Q11+R11+S11+U11)/G11</f>
        <v>39.603946102021176</v>
      </c>
      <c r="Y11" s="3">
        <f t="shared" ref="Y11:Y13" si="9">((O11*F11)+Q11+R11+S11+T11+U11)/G11+W11</f>
        <v>40.131178030985502</v>
      </c>
      <c r="Z11" s="25">
        <f>Y11*G11</f>
        <v>833925.87948387873</v>
      </c>
      <c r="AA11" s="26">
        <v>43116</v>
      </c>
      <c r="AB11" s="37"/>
      <c r="AC11" s="37"/>
    </row>
    <row r="12" spans="1:29" s="30" customFormat="1" x14ac:dyDescent="0.25">
      <c r="A12" s="16"/>
      <c r="B12" s="27" t="s">
        <v>51</v>
      </c>
      <c r="C12" s="17" t="s">
        <v>52</v>
      </c>
      <c r="D12" s="28" t="s">
        <v>55</v>
      </c>
      <c r="E12" s="17">
        <v>200</v>
      </c>
      <c r="F12" s="29">
        <v>21535</v>
      </c>
      <c r="G12" s="19">
        <v>17230</v>
      </c>
      <c r="H12" s="19">
        <f t="shared" si="5"/>
        <v>-4305</v>
      </c>
      <c r="I12" s="30" t="s">
        <v>56</v>
      </c>
      <c r="J12" s="17"/>
      <c r="K12" s="21"/>
      <c r="L12" s="21">
        <v>43104</v>
      </c>
      <c r="M12" s="28" t="s">
        <v>40</v>
      </c>
      <c r="N12" s="17"/>
      <c r="O12" s="3">
        <v>30</v>
      </c>
      <c r="P12" s="22"/>
      <c r="Q12" s="38">
        <v>19800</v>
      </c>
      <c r="R12" s="3">
        <f t="shared" ref="R12:R13" si="10">65*E12</f>
        <v>13000</v>
      </c>
      <c r="S12" s="39">
        <f t="shared" ref="S12:S13" si="11">-38*E12</f>
        <v>-7600</v>
      </c>
      <c r="T12" s="36">
        <f t="shared" ref="T12:T13" si="12">X12*F12*0.0045</f>
        <v>3780.9673171793384</v>
      </c>
      <c r="U12" s="3">
        <f t="shared" ref="U12:U13" si="13">E12*5</f>
        <v>1000</v>
      </c>
      <c r="V12" s="17"/>
      <c r="W12" s="3">
        <v>0.3</v>
      </c>
      <c r="X12" s="3">
        <f t="shared" ref="X12:X13" si="14">((O12*F12)+Q12+R12+S12+U12)/G12</f>
        <v>39.01625072547882</v>
      </c>
      <c r="Y12" s="3">
        <f t="shared" si="9"/>
        <v>39.535691660892589</v>
      </c>
      <c r="Z12" s="25">
        <f t="shared" ref="Z12:Z13" si="15">Y12*G12</f>
        <v>681199.96731717931</v>
      </c>
      <c r="AA12" s="26">
        <v>43117</v>
      </c>
      <c r="AB12" s="37"/>
      <c r="AC12" s="37"/>
    </row>
    <row r="13" spans="1:29" s="30" customFormat="1" x14ac:dyDescent="0.25">
      <c r="A13" s="16"/>
      <c r="B13" s="27" t="s">
        <v>51</v>
      </c>
      <c r="C13" s="17" t="s">
        <v>52</v>
      </c>
      <c r="D13" s="28" t="s">
        <v>57</v>
      </c>
      <c r="E13" s="17">
        <v>130</v>
      </c>
      <c r="F13" s="29">
        <v>14180</v>
      </c>
      <c r="G13" s="19">
        <v>11120</v>
      </c>
      <c r="H13" s="19">
        <f t="shared" si="5"/>
        <v>-3060</v>
      </c>
      <c r="I13" s="30" t="s">
        <v>58</v>
      </c>
      <c r="J13" s="17"/>
      <c r="K13" s="21"/>
      <c r="L13" s="21">
        <v>43104</v>
      </c>
      <c r="M13" s="28" t="s">
        <v>40</v>
      </c>
      <c r="N13" s="17"/>
      <c r="O13" s="3">
        <v>30</v>
      </c>
      <c r="P13" s="22"/>
      <c r="Q13" s="33">
        <v>15700</v>
      </c>
      <c r="R13" s="3">
        <f t="shared" si="10"/>
        <v>8450</v>
      </c>
      <c r="S13" s="39">
        <f t="shared" si="11"/>
        <v>-4940</v>
      </c>
      <c r="T13" s="36">
        <f t="shared" si="12"/>
        <v>2555.039622302158</v>
      </c>
      <c r="U13" s="3">
        <f t="shared" si="13"/>
        <v>650</v>
      </c>
      <c r="V13" s="17"/>
      <c r="W13" s="3">
        <v>0.3</v>
      </c>
      <c r="X13" s="3">
        <f t="shared" si="14"/>
        <v>40.041366906474821</v>
      </c>
      <c r="Y13" s="3">
        <f t="shared" si="9"/>
        <v>40.571136656681844</v>
      </c>
      <c r="Z13" s="25">
        <f t="shared" si="15"/>
        <v>451151.03962230211</v>
      </c>
      <c r="AA13" s="26">
        <v>43117</v>
      </c>
      <c r="AB13" s="37"/>
      <c r="AC13" s="37"/>
    </row>
    <row r="14" spans="1:29" s="30" customFormat="1" x14ac:dyDescent="0.25">
      <c r="A14" s="16"/>
      <c r="B14" s="27" t="s">
        <v>35</v>
      </c>
      <c r="C14" s="28" t="s">
        <v>59</v>
      </c>
      <c r="D14" s="28" t="s">
        <v>59</v>
      </c>
      <c r="E14" s="17" t="s">
        <v>60</v>
      </c>
      <c r="F14" s="29">
        <f>42393*0.4536</f>
        <v>19229.464800000002</v>
      </c>
      <c r="G14" s="19">
        <v>19149.22</v>
      </c>
      <c r="H14" s="19">
        <f>G14-F14</f>
        <v>-80.244800000000396</v>
      </c>
      <c r="I14" s="30" t="s">
        <v>61</v>
      </c>
      <c r="J14" s="31" t="s">
        <v>45</v>
      </c>
      <c r="K14" s="21">
        <v>43105</v>
      </c>
      <c r="L14" s="21">
        <v>43105</v>
      </c>
      <c r="M14" s="28" t="s">
        <v>62</v>
      </c>
      <c r="N14" s="28" t="s">
        <v>63</v>
      </c>
      <c r="O14" s="3"/>
      <c r="P14" s="32">
        <f>0.5734+0.105</f>
        <v>0.6784</v>
      </c>
      <c r="Q14" s="33">
        <v>23000</v>
      </c>
      <c r="R14" s="3">
        <v>9400</v>
      </c>
      <c r="S14" s="35">
        <v>19.64</v>
      </c>
      <c r="T14" s="36">
        <f t="shared" ref="T14" si="16">X14*F14*0.005</f>
        <v>2998.4092462483927</v>
      </c>
      <c r="V14" s="3">
        <v>0.12</v>
      </c>
      <c r="W14" s="3">
        <v>0.3</v>
      </c>
      <c r="X14" s="3">
        <f>IF(O14&gt;0,O14,((P14*2.2046*S14)+(Q14+R14)/G14)+V14)</f>
        <v>31.185571490771729</v>
      </c>
      <c r="Y14" s="3">
        <f>IF(O14&gt;0,O14,((P14*2.2046*S14)+(Q14+R14+T14)/G14)+V14+W14)</f>
        <v>31.642152763860054</v>
      </c>
      <c r="Z14" s="25">
        <f>Y14*F14</f>
        <v>608461.66276886966</v>
      </c>
      <c r="AA14" s="26">
        <v>43095</v>
      </c>
      <c r="AB14" s="37"/>
      <c r="AC14" s="37"/>
    </row>
    <row r="15" spans="1:29" s="30" customFormat="1" x14ac:dyDescent="0.25">
      <c r="A15" s="16"/>
      <c r="B15" s="27" t="s">
        <v>51</v>
      </c>
      <c r="C15" s="17" t="s">
        <v>52</v>
      </c>
      <c r="D15" s="28" t="s">
        <v>64</v>
      </c>
      <c r="E15" s="17">
        <v>200</v>
      </c>
      <c r="F15" s="29">
        <v>19730</v>
      </c>
      <c r="G15" s="19">
        <v>16180</v>
      </c>
      <c r="H15" s="19">
        <f t="shared" ref="H15:H16" si="17">G15-F15</f>
        <v>-3550</v>
      </c>
      <c r="I15" s="30" t="s">
        <v>65</v>
      </c>
      <c r="J15" s="17"/>
      <c r="K15" s="21"/>
      <c r="L15" s="21">
        <v>43105</v>
      </c>
      <c r="M15" s="28" t="s">
        <v>66</v>
      </c>
      <c r="N15" s="17"/>
      <c r="O15" s="3">
        <v>30</v>
      </c>
      <c r="P15" s="22"/>
      <c r="Q15" s="33">
        <v>19800</v>
      </c>
      <c r="R15" s="3">
        <f t="shared" ref="R15:R16" si="18">65*E15</f>
        <v>13000</v>
      </c>
      <c r="S15" s="39">
        <f t="shared" ref="S15:S16" si="19">-38*E15</f>
        <v>-7600</v>
      </c>
      <c r="T15" s="36">
        <f>X15*F15*0.0045</f>
        <v>3391.7186959208898</v>
      </c>
      <c r="U15" s="3">
        <f>E15*5</f>
        <v>1000</v>
      </c>
      <c r="V15" s="17"/>
      <c r="W15" s="3">
        <v>0.3</v>
      </c>
      <c r="X15" s="3">
        <f>((O15*F15)+Q15+R15+S15+U15)/G15</f>
        <v>38.201483312731767</v>
      </c>
      <c r="Y15" s="3">
        <f t="shared" ref="Y15:Y16" si="20">((O15*F15)+Q15+R15+S15+T15+U15)/G15+W15</f>
        <v>38.711107459574833</v>
      </c>
      <c r="Z15" s="25">
        <f t="shared" ref="Z15:Z16" si="21">Y15*G15</f>
        <v>626345.71869592078</v>
      </c>
      <c r="AA15" s="26">
        <v>43118</v>
      </c>
      <c r="AB15" s="4"/>
      <c r="AC15" s="4"/>
    </row>
    <row r="16" spans="1:29" s="30" customFormat="1" x14ac:dyDescent="0.25">
      <c r="A16" s="16"/>
      <c r="B16" s="27" t="s">
        <v>51</v>
      </c>
      <c r="C16" s="17" t="s">
        <v>52</v>
      </c>
      <c r="D16" s="28" t="s">
        <v>57</v>
      </c>
      <c r="E16" s="17">
        <v>130</v>
      </c>
      <c r="F16" s="29">
        <v>13795</v>
      </c>
      <c r="G16" s="19">
        <v>10520</v>
      </c>
      <c r="H16" s="19">
        <f t="shared" si="17"/>
        <v>-3275</v>
      </c>
      <c r="I16" s="28" t="s">
        <v>67</v>
      </c>
      <c r="J16" s="17"/>
      <c r="K16" s="21"/>
      <c r="L16" s="21">
        <v>43105</v>
      </c>
      <c r="M16" s="28" t="s">
        <v>66</v>
      </c>
      <c r="N16" s="17"/>
      <c r="O16" s="3">
        <v>30</v>
      </c>
      <c r="P16" s="22"/>
      <c r="Q16" s="33">
        <v>15700</v>
      </c>
      <c r="R16" s="3">
        <f t="shared" si="18"/>
        <v>8450</v>
      </c>
      <c r="S16" s="39">
        <f t="shared" si="19"/>
        <v>-4940</v>
      </c>
      <c r="T16" s="36">
        <f>X16*F16*0.0045</f>
        <v>2559.2806582699618</v>
      </c>
      <c r="U16" s="3">
        <f>E16*5</f>
        <v>650</v>
      </c>
      <c r="V16" s="17"/>
      <c r="W16" s="3">
        <v>0.3</v>
      </c>
      <c r="X16" s="3">
        <f>((O16*F16)+Q16+R16+S16+U16)/G16</f>
        <v>41.227186311787072</v>
      </c>
      <c r="Y16" s="3">
        <f t="shared" si="20"/>
        <v>41.770463940900179</v>
      </c>
      <c r="Z16" s="25">
        <f t="shared" si="21"/>
        <v>439425.28065826988</v>
      </c>
      <c r="AA16" s="26">
        <v>43118</v>
      </c>
      <c r="AB16" s="4"/>
      <c r="AC16" s="4"/>
    </row>
    <row r="17" spans="1:29" s="30" customFormat="1" x14ac:dyDescent="0.25">
      <c r="A17" s="16"/>
      <c r="B17" s="40" t="s">
        <v>35</v>
      </c>
      <c r="C17" s="41" t="s">
        <v>36</v>
      </c>
      <c r="D17" s="41" t="s">
        <v>36</v>
      </c>
      <c r="E17" s="42" t="s">
        <v>68</v>
      </c>
      <c r="F17" s="43">
        <f>42672*0.4536</f>
        <v>19356.019199999999</v>
      </c>
      <c r="G17" s="44">
        <v>19300</v>
      </c>
      <c r="H17" s="44">
        <f>G17-F17</f>
        <v>-56.019199999998818</v>
      </c>
      <c r="I17" s="45" t="s">
        <v>69</v>
      </c>
      <c r="J17" s="42" t="s">
        <v>68</v>
      </c>
      <c r="K17" s="46">
        <v>43105</v>
      </c>
      <c r="L17" s="46">
        <v>43106</v>
      </c>
      <c r="M17" s="41" t="s">
        <v>62</v>
      </c>
      <c r="N17" s="41" t="s">
        <v>70</v>
      </c>
      <c r="O17" s="47"/>
      <c r="P17" s="48">
        <f>0.5804+0.095</f>
        <v>0.6754</v>
      </c>
      <c r="Q17" s="47">
        <v>23000</v>
      </c>
      <c r="R17" s="47">
        <v>9500</v>
      </c>
      <c r="S17" s="49">
        <v>20</v>
      </c>
      <c r="T17" s="50">
        <f t="shared" ref="T17" si="22">X17*F17*0.005</f>
        <v>3056.6710621274374</v>
      </c>
      <c r="U17" s="45"/>
      <c r="V17" s="47">
        <v>0.12</v>
      </c>
      <c r="W17" s="47">
        <v>0.3</v>
      </c>
      <c r="X17" s="47">
        <f>IF(O17&gt;0,O17,((P17*2.2046*S17)+(Q17+R17)/G17)+V17)</f>
        <v>31.583674623834199</v>
      </c>
      <c r="Y17" s="47">
        <f>IF(O17&gt;0,O17,((P17*2.2046*S17)+(Q17+R17+T17)/G17)+V17+W17)</f>
        <v>32.042051362804536</v>
      </c>
      <c r="Z17" s="51">
        <f>Y17*F17</f>
        <v>620206.56138583075</v>
      </c>
      <c r="AA17" s="52" t="s">
        <v>68</v>
      </c>
      <c r="AB17" s="37"/>
      <c r="AC17" s="37"/>
    </row>
    <row r="18" spans="1:29" s="30" customFormat="1" ht="15.75" thickBot="1" x14ac:dyDescent="0.3">
      <c r="A18" s="53"/>
      <c r="B18" s="54"/>
      <c r="C18" s="6"/>
      <c r="D18" s="6"/>
      <c r="E18" s="6"/>
      <c r="F18" s="55"/>
      <c r="G18" s="55"/>
      <c r="H18" s="55"/>
      <c r="I18" s="9"/>
      <c r="J18" s="6"/>
      <c r="K18" s="10"/>
      <c r="L18" s="10"/>
      <c r="M18" s="6"/>
      <c r="N18" s="6"/>
      <c r="O18" s="11"/>
      <c r="P18" s="12"/>
      <c r="Q18" s="11"/>
      <c r="R18" s="11"/>
      <c r="S18" s="11"/>
      <c r="T18" s="11"/>
      <c r="U18" s="11"/>
      <c r="V18" s="11"/>
      <c r="W18" s="11"/>
      <c r="X18" s="11"/>
      <c r="Y18" s="11"/>
      <c r="Z18" s="15"/>
      <c r="AA18" s="56"/>
      <c r="AB18" s="4"/>
      <c r="AC18" s="4"/>
    </row>
    <row r="19" spans="1:29" s="30" customFormat="1" x14ac:dyDescent="0.25">
      <c r="A19" s="57"/>
      <c r="B19" s="58" t="s">
        <v>51</v>
      </c>
      <c r="C19" s="58" t="s">
        <v>52</v>
      </c>
      <c r="D19" s="59" t="s">
        <v>55</v>
      </c>
      <c r="E19" s="58">
        <v>200</v>
      </c>
      <c r="F19" s="60">
        <v>24150</v>
      </c>
      <c r="G19" s="61">
        <v>17430</v>
      </c>
      <c r="H19" s="19">
        <f t="shared" ref="H19:H27" si="23">G19-F19</f>
        <v>-6720</v>
      </c>
      <c r="I19" s="62" t="s">
        <v>71</v>
      </c>
      <c r="J19" s="58"/>
      <c r="K19" s="63"/>
      <c r="L19" s="63">
        <v>43107</v>
      </c>
      <c r="M19" s="59" t="s">
        <v>72</v>
      </c>
      <c r="N19" s="58"/>
      <c r="O19" s="64">
        <v>30</v>
      </c>
      <c r="P19" s="65"/>
      <c r="Q19" s="66">
        <v>19800</v>
      </c>
      <c r="R19" s="64">
        <f t="shared" ref="R19:R20" si="24">65*E19</f>
        <v>13000</v>
      </c>
      <c r="S19" s="64">
        <f t="shared" ref="S19:S20" si="25">-38*E19</f>
        <v>-7600</v>
      </c>
      <c r="T19" s="67">
        <f>X19*F19*0.0045</f>
        <v>4680.5692771084332</v>
      </c>
      <c r="U19" s="64">
        <f>E19*5</f>
        <v>1000</v>
      </c>
      <c r="V19" s="58"/>
      <c r="W19" s="64">
        <v>0.3</v>
      </c>
      <c r="X19" s="64">
        <f>((O19*F19)+Q19+R19+S19+U19)/G19</f>
        <v>43.069420539300054</v>
      </c>
      <c r="Y19" s="68">
        <f t="shared" ref="Y19:Y20" si="26">((O19*F19)+Q19+R19+S19+T19+U19)/G19+W19</f>
        <v>43.63795578181918</v>
      </c>
      <c r="Z19" s="68">
        <f>Y19*G19</f>
        <v>760609.5692771083</v>
      </c>
      <c r="AA19" s="69">
        <v>43122</v>
      </c>
      <c r="AB19" s="4"/>
      <c r="AC19" s="4"/>
    </row>
    <row r="20" spans="1:29" s="30" customFormat="1" x14ac:dyDescent="0.25">
      <c r="A20" s="70"/>
      <c r="B20" s="27" t="s">
        <v>51</v>
      </c>
      <c r="C20" s="17" t="s">
        <v>52</v>
      </c>
      <c r="D20" s="28" t="s">
        <v>73</v>
      </c>
      <c r="E20" s="17">
        <v>129</v>
      </c>
      <c r="F20" s="29">
        <v>13370</v>
      </c>
      <c r="G20" s="19">
        <v>12380</v>
      </c>
      <c r="H20" s="19">
        <f t="shared" si="23"/>
        <v>-990</v>
      </c>
      <c r="I20" s="28" t="s">
        <v>74</v>
      </c>
      <c r="J20" s="17"/>
      <c r="K20" s="21"/>
      <c r="L20" s="21">
        <v>43107</v>
      </c>
      <c r="M20" s="28" t="s">
        <v>72</v>
      </c>
      <c r="N20" s="17"/>
      <c r="O20" s="3">
        <v>30</v>
      </c>
      <c r="P20" s="22"/>
      <c r="Q20" s="33">
        <v>15700</v>
      </c>
      <c r="R20" s="3">
        <f t="shared" si="24"/>
        <v>8385</v>
      </c>
      <c r="S20" s="39">
        <f t="shared" si="25"/>
        <v>-4902</v>
      </c>
      <c r="T20" s="36">
        <f t="shared" ref="T20" si="27">X20*F20*0.0045</f>
        <v>2045.6488788368335</v>
      </c>
      <c r="U20" s="3">
        <f t="shared" ref="U20" si="28">E20*5</f>
        <v>645</v>
      </c>
      <c r="V20" s="17"/>
      <c r="W20" s="3">
        <v>0.3</v>
      </c>
      <c r="X20" s="3">
        <f t="shared" ref="X20" si="29">((O20*F20)+Q20+R20+S20+U20)/G20</f>
        <v>34.000646203554119</v>
      </c>
      <c r="Y20" s="3">
        <f t="shared" si="26"/>
        <v>34.465884400552248</v>
      </c>
      <c r="Z20" s="25">
        <f t="shared" ref="Z20" si="30">Y20*G20</f>
        <v>426687.64887883683</v>
      </c>
      <c r="AA20" s="26">
        <v>43122</v>
      </c>
      <c r="AB20" s="4"/>
      <c r="AC20" s="4"/>
    </row>
    <row r="21" spans="1:29" s="30" customFormat="1" x14ac:dyDescent="0.25">
      <c r="A21" s="70"/>
      <c r="B21" s="27" t="s">
        <v>51</v>
      </c>
      <c r="C21" s="17" t="s">
        <v>52</v>
      </c>
      <c r="D21" s="28" t="s">
        <v>57</v>
      </c>
      <c r="E21" s="17">
        <f>230</f>
        <v>230</v>
      </c>
      <c r="F21" s="29">
        <v>22185</v>
      </c>
      <c r="G21" s="19">
        <f>11120+6150</f>
        <v>17270</v>
      </c>
      <c r="H21" s="19">
        <f>G21-F21</f>
        <v>-4915</v>
      </c>
      <c r="I21" s="28" t="s">
        <v>75</v>
      </c>
      <c r="J21" s="17"/>
      <c r="K21" s="21"/>
      <c r="L21" s="21">
        <v>43108</v>
      </c>
      <c r="M21" s="28" t="s">
        <v>76</v>
      </c>
      <c r="N21" s="17"/>
      <c r="O21" s="3">
        <v>30</v>
      </c>
      <c r="P21" s="22"/>
      <c r="Q21" s="33">
        <f>19800</f>
        <v>19800</v>
      </c>
      <c r="R21" s="3">
        <f>65*E21</f>
        <v>14950</v>
      </c>
      <c r="S21" s="39">
        <f>-38*E21</f>
        <v>-8740</v>
      </c>
      <c r="T21" s="36">
        <f>X21*F21*0.0045</f>
        <v>4004.3411160972782</v>
      </c>
      <c r="U21" s="3">
        <f>E21*5</f>
        <v>1150</v>
      </c>
      <c r="V21" s="17"/>
      <c r="W21" s="3">
        <v>0.3</v>
      </c>
      <c r="X21" s="3">
        <f>((O21*F21)+Q21+R21+S21+U21)/G21</f>
        <v>40.11059640995947</v>
      </c>
      <c r="Y21" s="3">
        <f>((O21*F21)+Q21+R21+S21+T21+U21)/G21+W21</f>
        <v>40.642463295662843</v>
      </c>
      <c r="Z21" s="25">
        <f>Y21*G21</f>
        <v>701895.34111609729</v>
      </c>
      <c r="AA21" s="26">
        <v>43122</v>
      </c>
      <c r="AB21" s="4"/>
      <c r="AC21" s="4"/>
    </row>
    <row r="22" spans="1:29" s="30" customFormat="1" x14ac:dyDescent="0.25">
      <c r="A22" s="70"/>
      <c r="B22" s="27" t="s">
        <v>77</v>
      </c>
      <c r="C22" s="17" t="s">
        <v>78</v>
      </c>
      <c r="D22" s="28" t="s">
        <v>79</v>
      </c>
      <c r="E22" s="17" t="s">
        <v>80</v>
      </c>
      <c r="F22" s="29">
        <v>18506.554</v>
      </c>
      <c r="G22" s="19">
        <v>18506.554</v>
      </c>
      <c r="H22" s="19">
        <f>G22-F22</f>
        <v>0</v>
      </c>
      <c r="I22" s="28" t="s">
        <v>81</v>
      </c>
      <c r="J22" s="17"/>
      <c r="K22" s="21"/>
      <c r="L22" s="21">
        <v>43108</v>
      </c>
      <c r="M22" s="28" t="s">
        <v>76</v>
      </c>
      <c r="N22" s="17"/>
      <c r="O22" s="3">
        <v>42.5</v>
      </c>
      <c r="P22" s="22"/>
      <c r="Q22" s="3"/>
      <c r="R22" s="3"/>
      <c r="S22" s="35"/>
      <c r="T22" s="39"/>
      <c r="U22" s="71"/>
      <c r="V22" s="3"/>
      <c r="W22" s="3"/>
      <c r="X22" s="3">
        <f>IF(O22&gt;0,O22,((P22*2.2046*S22)+(Q22+R22)/G22)+V22)</f>
        <v>42.5</v>
      </c>
      <c r="Y22" s="3">
        <f>IF(O22&gt;0,O22,((P22*2.2046*S22)+(Q22+R22+T22)/G22)+V22+W22)</f>
        <v>42.5</v>
      </c>
      <c r="Z22" s="25">
        <f>Y22*F22</f>
        <v>786528.54500000004</v>
      </c>
      <c r="AA22" s="26">
        <v>43129</v>
      </c>
      <c r="AB22" s="4"/>
      <c r="AC22" s="4"/>
    </row>
    <row r="23" spans="1:29" s="30" customFormat="1" x14ac:dyDescent="0.25">
      <c r="A23" s="70"/>
      <c r="B23" s="27" t="s">
        <v>82</v>
      </c>
      <c r="C23" s="17" t="s">
        <v>59</v>
      </c>
      <c r="D23" s="28" t="s">
        <v>83</v>
      </c>
      <c r="E23" s="17" t="s">
        <v>84</v>
      </c>
      <c r="F23" s="29">
        <v>4545.8</v>
      </c>
      <c r="G23" s="19">
        <v>4645.8</v>
      </c>
      <c r="H23" s="19">
        <f>G23-F23</f>
        <v>100</v>
      </c>
      <c r="I23" s="28" t="s">
        <v>85</v>
      </c>
      <c r="J23" s="17"/>
      <c r="K23" s="21"/>
      <c r="L23" s="21">
        <v>43108</v>
      </c>
      <c r="M23" s="28" t="s">
        <v>76</v>
      </c>
      <c r="N23" s="17"/>
      <c r="O23" s="3">
        <v>20</v>
      </c>
      <c r="P23" s="22"/>
      <c r="Q23" s="3"/>
      <c r="R23" s="3"/>
      <c r="S23" s="35"/>
      <c r="T23" s="39"/>
      <c r="U23" s="71"/>
      <c r="V23" s="3"/>
      <c r="W23" s="3"/>
      <c r="X23" s="3">
        <f>IF(O23&gt;0,O23,((P23*2.2046*S23)+(Q23+R23)/G23)+V23)</f>
        <v>20</v>
      </c>
      <c r="Y23" s="3">
        <f>IF(O23&gt;0,O23,((P23*2.2046*S23)+(Q23+R23+T23)/G23)+V23+W23)</f>
        <v>20</v>
      </c>
      <c r="Z23" s="25">
        <f>Y23*F23</f>
        <v>90916</v>
      </c>
      <c r="AA23" s="26">
        <v>43115</v>
      </c>
      <c r="AB23" s="4"/>
      <c r="AC23" s="4"/>
    </row>
    <row r="24" spans="1:29" s="30" customFormat="1" x14ac:dyDescent="0.25">
      <c r="A24" s="70"/>
      <c r="B24" s="27" t="s">
        <v>86</v>
      </c>
      <c r="C24" s="17" t="s">
        <v>87</v>
      </c>
      <c r="D24" s="28" t="s">
        <v>88</v>
      </c>
      <c r="E24" s="17" t="s">
        <v>89</v>
      </c>
      <c r="F24" s="29">
        <v>10019.02</v>
      </c>
      <c r="G24" s="19">
        <v>10019.620000000001</v>
      </c>
      <c r="H24" s="19">
        <f>G24-F24</f>
        <v>0.6000000000003638</v>
      </c>
      <c r="I24" s="28" t="s">
        <v>90</v>
      </c>
      <c r="J24" s="17"/>
      <c r="K24" s="21"/>
      <c r="L24" s="21">
        <v>43108</v>
      </c>
      <c r="M24" s="28" t="s">
        <v>76</v>
      </c>
      <c r="N24" s="17"/>
      <c r="O24" s="3">
        <v>93</v>
      </c>
      <c r="P24" s="22"/>
      <c r="Q24" s="3"/>
      <c r="R24" s="3"/>
      <c r="S24" s="35"/>
      <c r="T24" s="39"/>
      <c r="U24" s="71"/>
      <c r="V24" s="3"/>
      <c r="W24" s="3"/>
      <c r="X24" s="3">
        <f>IF(O24&gt;0,O24,((P24*2.2046*S24)+(Q24+R24)/G24)+V24)</f>
        <v>93</v>
      </c>
      <c r="Y24" s="3">
        <f>IF(O24&gt;0,O24,((P24*2.2046*S24)+(Q24+R24+T24)/G24)+V24+W24)</f>
        <v>93</v>
      </c>
      <c r="Z24" s="25">
        <f>Y24*F24</f>
        <v>931768.86</v>
      </c>
      <c r="AA24" s="26">
        <v>43116</v>
      </c>
      <c r="AB24" s="4"/>
      <c r="AC24" s="4"/>
    </row>
    <row r="25" spans="1:29" s="30" customFormat="1" x14ac:dyDescent="0.25">
      <c r="A25" s="70"/>
      <c r="B25" s="27" t="s">
        <v>91</v>
      </c>
      <c r="C25" s="17" t="s">
        <v>92</v>
      </c>
      <c r="D25" s="28" t="s">
        <v>28</v>
      </c>
      <c r="E25" s="17" t="s">
        <v>93</v>
      </c>
      <c r="F25" s="29">
        <v>1003.34</v>
      </c>
      <c r="G25" s="19">
        <v>1003.34</v>
      </c>
      <c r="H25" s="19">
        <f t="shared" ref="H25" si="31">G25-F25</f>
        <v>0</v>
      </c>
      <c r="I25" s="28" t="s">
        <v>94</v>
      </c>
      <c r="J25" s="17"/>
      <c r="K25" s="21"/>
      <c r="L25" s="21">
        <v>43108</v>
      </c>
      <c r="M25" s="28" t="s">
        <v>76</v>
      </c>
      <c r="N25" s="17"/>
      <c r="O25" s="3">
        <v>50</v>
      </c>
      <c r="P25" s="22"/>
      <c r="Q25" s="3"/>
      <c r="R25" s="3"/>
      <c r="S25" s="35"/>
      <c r="T25" s="39"/>
      <c r="U25" s="71"/>
      <c r="V25" s="3"/>
      <c r="W25" s="3"/>
      <c r="X25" s="3">
        <f t="shared" ref="X25:X27" si="32">IF(O25&gt;0,O25,((P25*2.2046*S25)+(Q25+R25)/G25)+V25)</f>
        <v>50</v>
      </c>
      <c r="Y25" s="3">
        <f t="shared" ref="Y25:Y27" si="33">IF(O25&gt;0,O25,((P25*2.2046*S25)+(Q25+R25+T25)/G25)+V25+W25)</f>
        <v>50</v>
      </c>
      <c r="Z25" s="25">
        <f t="shared" ref="Z25:Z27" si="34">Y25*F25</f>
        <v>50167</v>
      </c>
      <c r="AA25" s="26">
        <v>43108</v>
      </c>
      <c r="AB25" s="4"/>
      <c r="AC25" s="4"/>
    </row>
    <row r="26" spans="1:29" s="30" customFormat="1" x14ac:dyDescent="0.25">
      <c r="A26" s="70"/>
      <c r="B26" s="27" t="s">
        <v>35</v>
      </c>
      <c r="C26" s="17" t="s">
        <v>36</v>
      </c>
      <c r="D26" s="28" t="s">
        <v>36</v>
      </c>
      <c r="E26" s="17" t="s">
        <v>37</v>
      </c>
      <c r="F26" s="29">
        <f>40543*0.4536</f>
        <v>18390.304800000002</v>
      </c>
      <c r="G26" s="19">
        <v>18217.39</v>
      </c>
      <c r="H26" s="19">
        <f t="shared" si="23"/>
        <v>-172.91480000000229</v>
      </c>
      <c r="I26" s="28" t="s">
        <v>95</v>
      </c>
      <c r="J26" s="31" t="s">
        <v>45</v>
      </c>
      <c r="K26" s="21">
        <v>43108</v>
      </c>
      <c r="L26" s="21">
        <v>43109</v>
      </c>
      <c r="M26" s="28" t="s">
        <v>31</v>
      </c>
      <c r="N26" s="28" t="s">
        <v>96</v>
      </c>
      <c r="O26" s="3"/>
      <c r="P26" s="32">
        <f>0.5726+0.095</f>
        <v>0.66759999999999997</v>
      </c>
      <c r="Q26" s="33">
        <v>23000</v>
      </c>
      <c r="R26" s="47">
        <v>9500</v>
      </c>
      <c r="S26" s="35">
        <v>19.058</v>
      </c>
      <c r="T26" s="36">
        <f t="shared" ref="T26:T28" si="35">X26*F26*0.005</f>
        <v>2754.2609435704858</v>
      </c>
      <c r="V26" s="3">
        <v>0.12</v>
      </c>
      <c r="W26" s="3">
        <v>0.3</v>
      </c>
      <c r="X26" s="3">
        <f t="shared" si="32"/>
        <v>29.953401789952771</v>
      </c>
      <c r="Y26" s="3">
        <f t="shared" si="33"/>
        <v>30.404590348992812</v>
      </c>
      <c r="Z26" s="25">
        <f t="shared" si="34"/>
        <v>559149.68383711623</v>
      </c>
      <c r="AA26" s="26">
        <v>43119</v>
      </c>
      <c r="AB26" s="4"/>
      <c r="AC26" s="4"/>
    </row>
    <row r="27" spans="1:29" s="30" customFormat="1" x14ac:dyDescent="0.25">
      <c r="A27" s="70"/>
      <c r="B27" s="27" t="s">
        <v>35</v>
      </c>
      <c r="C27" s="17" t="s">
        <v>47</v>
      </c>
      <c r="D27" s="28" t="s">
        <v>97</v>
      </c>
      <c r="E27" s="17" t="s">
        <v>37</v>
      </c>
      <c r="F27" s="29">
        <f>41210*0.4536</f>
        <v>18692.856</v>
      </c>
      <c r="G27" s="19">
        <v>18603.2</v>
      </c>
      <c r="H27" s="19">
        <f t="shared" si="23"/>
        <v>-89.65599999999904</v>
      </c>
      <c r="I27" s="28" t="s">
        <v>98</v>
      </c>
      <c r="J27" s="31" t="s">
        <v>45</v>
      </c>
      <c r="K27" s="21">
        <v>43108</v>
      </c>
      <c r="L27" s="21">
        <v>43109</v>
      </c>
      <c r="M27" s="28" t="s">
        <v>31</v>
      </c>
      <c r="N27" s="17" t="s">
        <v>99</v>
      </c>
      <c r="O27" s="3"/>
      <c r="P27" s="32">
        <f>0.5714+0.105</f>
        <v>0.6764</v>
      </c>
      <c r="Q27" s="33">
        <v>23000</v>
      </c>
      <c r="R27" s="3">
        <v>9400</v>
      </c>
      <c r="S27" s="35">
        <v>19.274999999999999</v>
      </c>
      <c r="T27" s="36">
        <f t="shared" si="35"/>
        <v>2860.4136173987458</v>
      </c>
      <c r="V27" s="3">
        <v>0.12</v>
      </c>
      <c r="W27" s="3">
        <v>0.3</v>
      </c>
      <c r="X27" s="3">
        <f t="shared" si="32"/>
        <v>30.604350853596113</v>
      </c>
      <c r="Y27" s="3">
        <f t="shared" si="33"/>
        <v>31.058110078750861</v>
      </c>
      <c r="Z27" s="25">
        <f t="shared" si="34"/>
        <v>580564.7793342385</v>
      </c>
      <c r="AA27" s="26">
        <v>43108</v>
      </c>
      <c r="AB27" s="4"/>
      <c r="AC27" s="4"/>
    </row>
    <row r="28" spans="1:29" s="30" customFormat="1" x14ac:dyDescent="0.25">
      <c r="A28" s="70"/>
      <c r="B28" s="27" t="s">
        <v>51</v>
      </c>
      <c r="C28" s="17" t="s">
        <v>52</v>
      </c>
      <c r="D28" s="28" t="s">
        <v>64</v>
      </c>
      <c r="E28" s="17">
        <v>220</v>
      </c>
      <c r="F28" s="29">
        <v>26760</v>
      </c>
      <c r="G28" s="19">
        <f>14710+6870</f>
        <v>21580</v>
      </c>
      <c r="H28" s="19">
        <f>G28-F28</f>
        <v>-5180</v>
      </c>
      <c r="I28" s="30" t="s">
        <v>100</v>
      </c>
      <c r="J28" s="17"/>
      <c r="K28" s="21"/>
      <c r="L28" s="21">
        <v>43109</v>
      </c>
      <c r="M28" s="28" t="s">
        <v>31</v>
      </c>
      <c r="N28" s="17"/>
      <c r="O28" s="3">
        <v>30</v>
      </c>
      <c r="P28" s="22"/>
      <c r="Q28" s="38">
        <v>19800</v>
      </c>
      <c r="R28" s="3">
        <f>65*E28</f>
        <v>14300</v>
      </c>
      <c r="S28" s="39">
        <f>-38*E28</f>
        <v>-8360</v>
      </c>
      <c r="T28" s="36">
        <f t="shared" si="35"/>
        <v>5143.9217794253937</v>
      </c>
      <c r="U28" s="3">
        <f>E28*5</f>
        <v>1100</v>
      </c>
      <c r="V28" s="17"/>
      <c r="W28" s="3">
        <v>0.3</v>
      </c>
      <c r="X28" s="3">
        <f>((O28*F28)+Q28+R28+S28+U28)/G28</f>
        <v>38.444856348470807</v>
      </c>
      <c r="Y28" s="3">
        <f>((O28*F28)+Q28+R28+S28+T28+U28)/G28+W28</f>
        <v>38.983221583847325</v>
      </c>
      <c r="Z28" s="25">
        <f>Y28*G28</f>
        <v>841257.92177942523</v>
      </c>
      <c r="AA28" s="26">
        <v>43122</v>
      </c>
      <c r="AB28" s="37"/>
      <c r="AC28" s="37"/>
    </row>
    <row r="29" spans="1:29" s="30" customFormat="1" x14ac:dyDescent="0.25">
      <c r="A29" s="70"/>
      <c r="B29" s="27" t="s">
        <v>35</v>
      </c>
      <c r="C29" s="28" t="s">
        <v>59</v>
      </c>
      <c r="D29" s="28" t="s">
        <v>59</v>
      </c>
      <c r="E29" s="17" t="s">
        <v>60</v>
      </c>
      <c r="F29" s="29">
        <f>42283*0.4536</f>
        <v>19179.568800000001</v>
      </c>
      <c r="G29" s="19">
        <v>19135.919999999998</v>
      </c>
      <c r="H29" s="19">
        <f>G29-F29</f>
        <v>-43.648800000002666</v>
      </c>
      <c r="I29" s="28" t="s">
        <v>101</v>
      </c>
      <c r="J29" s="31" t="s">
        <v>102</v>
      </c>
      <c r="K29" s="21">
        <v>43110</v>
      </c>
      <c r="L29" s="21">
        <v>43111</v>
      </c>
      <c r="M29" s="28" t="s">
        <v>40</v>
      </c>
      <c r="N29" s="28" t="s">
        <v>103</v>
      </c>
      <c r="O29" s="3"/>
      <c r="P29" s="32">
        <f>0.5726+0.105</f>
        <v>0.67759999999999998</v>
      </c>
      <c r="Q29" s="33">
        <v>23000</v>
      </c>
      <c r="R29" s="3">
        <v>9400</v>
      </c>
      <c r="S29" s="35">
        <v>19.863</v>
      </c>
      <c r="T29" s="36">
        <f>X29*F29*0.005</f>
        <v>3019.3660994394049</v>
      </c>
      <c r="V29" s="3">
        <v>0.12</v>
      </c>
      <c r="W29" s="3">
        <v>0.3</v>
      </c>
      <c r="X29" s="3">
        <f>IF(O29&gt;0,O29,((P29*2.2046*S29)+(Q29+R29)/G29)+V29)</f>
        <v>31.485234427579048</v>
      </c>
      <c r="Y29" s="3">
        <f>IF(O29&gt;0,O29,((P29*2.2046*S29)+(Q29+R29+T29)/G29)+V29+W29)</f>
        <v>31.94301968689448</v>
      </c>
      <c r="Z29" s="25">
        <f>Y29*F29</f>
        <v>612653.34376454714</v>
      </c>
      <c r="AA29" s="26">
        <v>43097</v>
      </c>
      <c r="AB29" s="37"/>
      <c r="AC29" s="37"/>
    </row>
    <row r="30" spans="1:29" s="30" customFormat="1" x14ac:dyDescent="0.25">
      <c r="A30" s="70"/>
      <c r="B30" s="27" t="s">
        <v>104</v>
      </c>
      <c r="C30" s="17" t="s">
        <v>59</v>
      </c>
      <c r="D30" s="28" t="s">
        <v>88</v>
      </c>
      <c r="E30" s="17" t="s">
        <v>105</v>
      </c>
      <c r="F30" s="29">
        <v>1402.86</v>
      </c>
      <c r="G30" s="19">
        <v>1402.86</v>
      </c>
      <c r="H30" s="19">
        <f>G30-F30</f>
        <v>0</v>
      </c>
      <c r="I30" s="28" t="s">
        <v>106</v>
      </c>
      <c r="J30" s="17"/>
      <c r="K30" s="21"/>
      <c r="L30" s="21">
        <v>43110</v>
      </c>
      <c r="M30" s="28" t="s">
        <v>43</v>
      </c>
      <c r="N30" s="17"/>
      <c r="O30" s="3">
        <v>49</v>
      </c>
      <c r="P30" s="22"/>
      <c r="Q30" s="3"/>
      <c r="R30" s="3"/>
      <c r="S30" s="35"/>
      <c r="T30" s="39"/>
      <c r="U30" s="71"/>
      <c r="V30" s="3"/>
      <c r="W30" s="3"/>
      <c r="X30" s="3">
        <f>IF(O30&gt;0,O30,((P30*2.2046*S30)+(Q30+R30)/G30)+V30)</f>
        <v>49</v>
      </c>
      <c r="Y30" s="3">
        <f>IF(O30&gt;0,O30,((P30*2.2046*S30)+(Q30+R30+T30)/G30)+V30+W30)</f>
        <v>49</v>
      </c>
      <c r="Z30" s="25">
        <f>Y30*F30</f>
        <v>68740.14</v>
      </c>
      <c r="AA30" s="26">
        <v>43116</v>
      </c>
      <c r="AB30" s="4"/>
      <c r="AC30" s="4"/>
    </row>
    <row r="31" spans="1:29" s="30" customFormat="1" x14ac:dyDescent="0.25">
      <c r="A31" s="70"/>
      <c r="B31" s="27" t="s">
        <v>107</v>
      </c>
      <c r="C31" s="17" t="s">
        <v>108</v>
      </c>
      <c r="D31" s="28" t="s">
        <v>88</v>
      </c>
      <c r="E31" s="17" t="s">
        <v>109</v>
      </c>
      <c r="F31" s="29">
        <v>1013.32</v>
      </c>
      <c r="G31" s="19">
        <v>1013.32</v>
      </c>
      <c r="H31" s="19">
        <f>G31-F31</f>
        <v>0</v>
      </c>
      <c r="I31" s="28" t="s">
        <v>106</v>
      </c>
      <c r="J31" s="17"/>
      <c r="K31" s="21"/>
      <c r="L31" s="21">
        <v>43110</v>
      </c>
      <c r="M31" s="28" t="s">
        <v>43</v>
      </c>
      <c r="N31" s="17"/>
      <c r="O31" s="3">
        <v>45.8</v>
      </c>
      <c r="P31" s="22"/>
      <c r="Q31" s="3"/>
      <c r="R31" s="3"/>
      <c r="S31" s="35"/>
      <c r="T31" s="39"/>
      <c r="U31" s="71"/>
      <c r="V31" s="3"/>
      <c r="W31" s="3"/>
      <c r="X31" s="3">
        <f>IF(O31&gt;0,O31,((P31*2.2046*S31)+(Q31+R31)/G31)+V31)</f>
        <v>45.8</v>
      </c>
      <c r="Y31" s="3">
        <f>IF(O31&gt;0,O31,((P31*2.2046*S31)+(Q31+R31+T31)/G31)+V31+W31)</f>
        <v>45.8</v>
      </c>
      <c r="Z31" s="25">
        <f>Y31*F31</f>
        <v>46410.055999999997</v>
      </c>
      <c r="AA31" s="26">
        <v>43116</v>
      </c>
      <c r="AB31" s="4"/>
      <c r="AC31" s="4"/>
    </row>
    <row r="32" spans="1:29" s="30" customFormat="1" x14ac:dyDescent="0.25">
      <c r="A32" s="70"/>
      <c r="B32" s="27" t="s">
        <v>51</v>
      </c>
      <c r="C32" s="17" t="s">
        <v>52</v>
      </c>
      <c r="D32" s="28" t="s">
        <v>55</v>
      </c>
      <c r="E32" s="17">
        <v>220</v>
      </c>
      <c r="F32" s="29">
        <v>24330</v>
      </c>
      <c r="G32" s="19">
        <f>13350+6260</f>
        <v>19610</v>
      </c>
      <c r="H32" s="19">
        <f t="shared" ref="H32" si="36">G32-F32</f>
        <v>-4720</v>
      </c>
      <c r="I32" s="28" t="s">
        <v>110</v>
      </c>
      <c r="J32" s="17"/>
      <c r="K32" s="21"/>
      <c r="L32" s="21">
        <v>43110</v>
      </c>
      <c r="M32" s="28" t="s">
        <v>43</v>
      </c>
      <c r="N32" s="17"/>
      <c r="O32" s="3">
        <v>30</v>
      </c>
      <c r="P32" s="22"/>
      <c r="Q32" s="33">
        <v>19800</v>
      </c>
      <c r="R32" s="3">
        <f>65*E32</f>
        <v>14300</v>
      </c>
      <c r="S32" s="39">
        <f>-38*E32</f>
        <v>-8360</v>
      </c>
      <c r="T32" s="36">
        <f>X32*F32*0.0045</f>
        <v>4224.9708771035184</v>
      </c>
      <c r="U32" s="3">
        <f>E32*5</f>
        <v>1100</v>
      </c>
      <c r="V32" s="17"/>
      <c r="W32" s="3">
        <v>0.3</v>
      </c>
      <c r="X32" s="3">
        <f>((O32*F32)+Q32+R32+S32+U32)/G32</f>
        <v>38.589495155532894</v>
      </c>
      <c r="Y32" s="3">
        <f t="shared" ref="Y32" si="37">((O32*F32)+Q32+R32+S32+T32+U32)/G32+W32</f>
        <v>39.104944970785489</v>
      </c>
      <c r="Z32" s="25">
        <f>Y32*G32</f>
        <v>766847.97087710339</v>
      </c>
      <c r="AA32" s="26">
        <v>43123</v>
      </c>
      <c r="AB32" s="37"/>
      <c r="AC32" s="37"/>
    </row>
    <row r="33" spans="1:29" s="30" customFormat="1" x14ac:dyDescent="0.25">
      <c r="A33" s="70"/>
      <c r="B33" s="27" t="s">
        <v>35</v>
      </c>
      <c r="C33" s="28" t="s">
        <v>59</v>
      </c>
      <c r="D33" s="28" t="s">
        <v>59</v>
      </c>
      <c r="E33" s="17" t="s">
        <v>60</v>
      </c>
      <c r="F33" s="29">
        <f>41935*0.4536</f>
        <v>19021.716</v>
      </c>
      <c r="G33" s="19">
        <v>19016.099999999999</v>
      </c>
      <c r="H33" s="19">
        <f>G33-F33</f>
        <v>-5.6160000000018044</v>
      </c>
      <c r="I33" s="30" t="s">
        <v>111</v>
      </c>
      <c r="J33" s="31" t="s">
        <v>45</v>
      </c>
      <c r="K33" s="21">
        <v>43111</v>
      </c>
      <c r="L33" s="21">
        <v>43112</v>
      </c>
      <c r="M33" s="28" t="s">
        <v>66</v>
      </c>
      <c r="N33" s="28" t="s">
        <v>112</v>
      </c>
      <c r="O33" s="3"/>
      <c r="P33" s="32">
        <f>0.5656+0.105</f>
        <v>0.67059999999999997</v>
      </c>
      <c r="Q33" s="33">
        <v>23000</v>
      </c>
      <c r="R33" s="3">
        <v>9400</v>
      </c>
      <c r="S33" s="35">
        <v>19.53</v>
      </c>
      <c r="T33" s="36">
        <f>X33*F33*0.005</f>
        <v>2920.0543489170245</v>
      </c>
      <c r="V33" s="3">
        <v>0.12</v>
      </c>
      <c r="W33" s="3">
        <v>0.3</v>
      </c>
      <c r="X33" s="3">
        <f>IF(O33&gt;0,O33,((P33*2.2046*S33)+(Q33+R37)/G33)+V33)</f>
        <v>30.702323059780984</v>
      </c>
      <c r="Y33" s="3">
        <f>IF(O33&gt;0,O33,((P33*2.2046*S33)+(Q33+R29+T33)/G33)+V33+W33)</f>
        <v>31.150621309628065</v>
      </c>
      <c r="Z33" s="25">
        <f>Y33*F33</f>
        <v>592538.27177529316</v>
      </c>
      <c r="AA33" s="26">
        <v>43104</v>
      </c>
      <c r="AB33" s="37"/>
      <c r="AC33" s="37"/>
    </row>
    <row r="34" spans="1:29" s="30" customFormat="1" x14ac:dyDescent="0.25">
      <c r="A34" s="70"/>
      <c r="B34" s="27" t="s">
        <v>82</v>
      </c>
      <c r="C34" s="28" t="s">
        <v>59</v>
      </c>
      <c r="D34" s="28" t="s">
        <v>83</v>
      </c>
      <c r="E34" s="17" t="s">
        <v>84</v>
      </c>
      <c r="F34" s="29">
        <v>4534</v>
      </c>
      <c r="G34" s="19">
        <v>4534</v>
      </c>
      <c r="H34" s="19">
        <f t="shared" ref="H34:H36" si="38">G34-F34</f>
        <v>0</v>
      </c>
      <c r="I34" s="28" t="s">
        <v>113</v>
      </c>
      <c r="J34" s="17"/>
      <c r="K34" s="21"/>
      <c r="L34" s="21">
        <v>43112</v>
      </c>
      <c r="M34" s="28" t="s">
        <v>66</v>
      </c>
      <c r="N34" s="28"/>
      <c r="O34" s="3">
        <v>20</v>
      </c>
      <c r="P34" s="32"/>
      <c r="Q34" s="3"/>
      <c r="R34" s="3"/>
      <c r="S34" s="35"/>
      <c r="T34" s="39"/>
      <c r="V34" s="3"/>
      <c r="W34" s="3"/>
      <c r="X34" s="3">
        <f>IF(O34&gt;0,O34,((P34*2.2046*S34)+(Q34+R38)/G34)+V34)</f>
        <v>20</v>
      </c>
      <c r="Y34" s="3">
        <f>IF(O34&gt;0,O34,((P34*2.2046*S34)+(Q34+R30+T34)/G34)+V34+W34)</f>
        <v>20</v>
      </c>
      <c r="Z34" s="25">
        <f>Y34*F34</f>
        <v>90680</v>
      </c>
      <c r="AA34" s="26">
        <v>43119</v>
      </c>
      <c r="AB34" s="37"/>
      <c r="AC34" s="37"/>
    </row>
    <row r="35" spans="1:29" s="30" customFormat="1" x14ac:dyDescent="0.25">
      <c r="A35" s="70"/>
      <c r="B35" s="27" t="s">
        <v>51</v>
      </c>
      <c r="C35" s="17" t="s">
        <v>52</v>
      </c>
      <c r="D35" s="28" t="s">
        <v>114</v>
      </c>
      <c r="E35" s="17">
        <f>218</f>
        <v>218</v>
      </c>
      <c r="F35" s="72">
        <f>31755</f>
        <v>31755</v>
      </c>
      <c r="G35" s="19">
        <f>25640</f>
        <v>25640</v>
      </c>
      <c r="H35" s="19">
        <f t="shared" si="38"/>
        <v>-6115</v>
      </c>
      <c r="I35" s="28" t="s">
        <v>115</v>
      </c>
      <c r="J35" s="17">
        <v>250</v>
      </c>
      <c r="K35" s="21"/>
      <c r="L35" s="21">
        <v>43111</v>
      </c>
      <c r="M35" s="28" t="s">
        <v>40</v>
      </c>
      <c r="N35" s="17"/>
      <c r="O35" s="3">
        <v>30</v>
      </c>
      <c r="P35" s="22"/>
      <c r="Q35" s="38">
        <f>19800</f>
        <v>19800</v>
      </c>
      <c r="R35" s="3">
        <f t="shared" ref="R35:R36" si="39">65*E35</f>
        <v>14170</v>
      </c>
      <c r="S35" s="39">
        <f t="shared" ref="S35:S36" si="40">-38*E35</f>
        <v>-8284</v>
      </c>
      <c r="T35" s="36">
        <f t="shared" ref="T35:T36" si="41">X35*F35*0.0045</f>
        <v>5458.5618890405613</v>
      </c>
      <c r="U35" s="3">
        <f t="shared" ref="U35:U36" si="42">E35*5</f>
        <v>1090</v>
      </c>
      <c r="V35" s="17"/>
      <c r="W35" s="3">
        <v>0.3</v>
      </c>
      <c r="X35" s="3">
        <f t="shared" ref="X35:X36" si="43">((O35*F35)+Q35+R35+S35+U35)/G35</f>
        <v>38.199141965678628</v>
      </c>
      <c r="Y35" s="3">
        <f t="shared" ref="Y35:Y36" si="44">((O35*F35)+Q35+R35+S35+T35+U35)/G35+W35</f>
        <v>38.712034395048377</v>
      </c>
      <c r="Z35" s="25">
        <f t="shared" ref="Z35:Z36" si="45">Y35*G35</f>
        <v>992576.5618890404</v>
      </c>
      <c r="AA35" s="26">
        <v>43124</v>
      </c>
      <c r="AB35" s="37"/>
      <c r="AC35" s="73"/>
    </row>
    <row r="36" spans="1:29" s="30" customFormat="1" x14ac:dyDescent="0.25">
      <c r="A36" s="70"/>
      <c r="B36" s="27" t="s">
        <v>51</v>
      </c>
      <c r="C36" s="17" t="s">
        <v>52</v>
      </c>
      <c r="D36" s="28" t="s">
        <v>64</v>
      </c>
      <c r="E36" s="17">
        <v>160</v>
      </c>
      <c r="F36" s="29">
        <v>18480</v>
      </c>
      <c r="G36" s="19">
        <v>15150</v>
      </c>
      <c r="H36" s="19">
        <f t="shared" si="38"/>
        <v>-3330</v>
      </c>
      <c r="I36" s="28" t="s">
        <v>116</v>
      </c>
      <c r="J36" s="17">
        <v>128</v>
      </c>
      <c r="K36" s="21"/>
      <c r="L36" s="21">
        <v>43111</v>
      </c>
      <c r="M36" s="28" t="s">
        <v>40</v>
      </c>
      <c r="N36" s="17"/>
      <c r="O36" s="3">
        <v>30</v>
      </c>
      <c r="P36" s="22"/>
      <c r="Q36" s="33">
        <v>15700</v>
      </c>
      <c r="R36" s="3">
        <f t="shared" si="39"/>
        <v>10400</v>
      </c>
      <c r="S36" s="39">
        <f t="shared" si="40"/>
        <v>-6080</v>
      </c>
      <c r="T36" s="36">
        <f t="shared" si="41"/>
        <v>3157.445227722772</v>
      </c>
      <c r="U36" s="3">
        <f t="shared" si="42"/>
        <v>800</v>
      </c>
      <c r="V36" s="17"/>
      <c r="W36" s="3">
        <v>0.3</v>
      </c>
      <c r="X36" s="3">
        <f t="shared" si="43"/>
        <v>37.968316831683168</v>
      </c>
      <c r="Y36" s="3">
        <f t="shared" si="44"/>
        <v>38.476729057935493</v>
      </c>
      <c r="Z36" s="25">
        <f t="shared" si="45"/>
        <v>582922.44522772275</v>
      </c>
      <c r="AA36" s="26">
        <v>43124</v>
      </c>
      <c r="AB36" s="37"/>
      <c r="AC36" s="37"/>
    </row>
    <row r="37" spans="1:29" s="30" customFormat="1" x14ac:dyDescent="0.25">
      <c r="A37" s="70"/>
      <c r="B37" s="27" t="s">
        <v>35</v>
      </c>
      <c r="C37" s="17" t="s">
        <v>36</v>
      </c>
      <c r="D37" s="28" t="s">
        <v>36</v>
      </c>
      <c r="E37" s="17" t="s">
        <v>37</v>
      </c>
      <c r="F37" s="29">
        <f>42836*0.4536</f>
        <v>19430.409599999999</v>
      </c>
      <c r="G37" s="19">
        <v>19430.830000000002</v>
      </c>
      <c r="H37" s="19">
        <f>G37-F37</f>
        <v>0.42040000000270084</v>
      </c>
      <c r="I37" s="28" t="s">
        <v>117</v>
      </c>
      <c r="J37" s="31" t="s">
        <v>45</v>
      </c>
      <c r="K37" s="21">
        <v>43111</v>
      </c>
      <c r="L37" s="21">
        <v>43113</v>
      </c>
      <c r="M37" s="28" t="s">
        <v>62</v>
      </c>
      <c r="N37" s="28" t="s">
        <v>118</v>
      </c>
      <c r="O37" s="3"/>
      <c r="P37" s="32">
        <f>0.5656+0.095</f>
        <v>0.66059999999999997</v>
      </c>
      <c r="Q37" s="33">
        <v>23000</v>
      </c>
      <c r="R37" s="47">
        <v>9500</v>
      </c>
      <c r="S37" s="35">
        <v>18.638999999999999</v>
      </c>
      <c r="T37" s="36">
        <f>X37*F37*0.005</f>
        <v>2811.3539636809628</v>
      </c>
      <c r="V37" s="3">
        <v>0.12</v>
      </c>
      <c r="W37" s="3">
        <v>0.3</v>
      </c>
      <c r="X37" s="3">
        <f>IF(O37&gt;0,O37,((P37*2.2046*S37)+(Q37+R37)/G37)+V37)</f>
        <v>28.9376706055745</v>
      </c>
      <c r="Y37" s="3">
        <f>IF(O37&gt;0,O37,((P37*2.2046*S37)+(Q37+R37+T37)/G37)+V37+W37)</f>
        <v>29.382355828165657</v>
      </c>
      <c r="Z37" s="25">
        <f>Y37*F37</f>
        <v>570911.20875420596</v>
      </c>
      <c r="AA37" s="26">
        <v>43123</v>
      </c>
      <c r="AB37" s="4"/>
      <c r="AC37" s="4"/>
    </row>
    <row r="38" spans="1:29" s="30" customFormat="1" x14ac:dyDescent="0.25">
      <c r="A38" s="70"/>
      <c r="B38" s="27" t="s">
        <v>35</v>
      </c>
      <c r="C38" s="28" t="s">
        <v>36</v>
      </c>
      <c r="D38" s="28" t="s">
        <v>36</v>
      </c>
      <c r="E38" s="17" t="s">
        <v>119</v>
      </c>
      <c r="F38" s="29">
        <f>39232*0.4536</f>
        <v>17795.635200000001</v>
      </c>
      <c r="G38" s="19">
        <v>17613.310000000001</v>
      </c>
      <c r="H38" s="19">
        <f>G38-F38</f>
        <v>-182.32519999999931</v>
      </c>
      <c r="I38" s="30" t="s">
        <v>120</v>
      </c>
      <c r="J38" s="31" t="s">
        <v>45</v>
      </c>
      <c r="K38" s="21">
        <v>43111</v>
      </c>
      <c r="L38" s="21">
        <v>43112</v>
      </c>
      <c r="M38" s="28" t="s">
        <v>66</v>
      </c>
      <c r="N38" s="28" t="s">
        <v>118</v>
      </c>
      <c r="O38" s="3"/>
      <c r="P38" s="32">
        <f>0.5656+0.095</f>
        <v>0.66059999999999997</v>
      </c>
      <c r="Q38" s="33">
        <v>23000</v>
      </c>
      <c r="R38" s="47">
        <v>9500</v>
      </c>
      <c r="S38" s="35">
        <v>18.856999999999999</v>
      </c>
      <c r="T38" s="36">
        <f>X38*F38*0.005</f>
        <v>2618.4277516691741</v>
      </c>
      <c r="V38" s="3">
        <v>0.12</v>
      </c>
      <c r="W38" s="3">
        <v>0.3</v>
      </c>
      <c r="X38" s="3">
        <f t="shared" ref="X38" si="46">IF(O38&gt;0,O38,((P38*2.2046*S38)+(Q38+R38)/G38)+V38)</f>
        <v>29.427752617329155</v>
      </c>
      <c r="Y38" s="3">
        <f t="shared" ref="Y38" si="47">IF(O38&gt;0,O38,((P38*2.2046*S38)+(Q38+R38+T38)/G38)+V38+W38)</f>
        <v>29.876414495855631</v>
      </c>
      <c r="Z38" s="25">
        <f t="shared" ref="Z38" si="48">Y38*F38</f>
        <v>531669.77345223876</v>
      </c>
      <c r="AA38" s="26">
        <v>43119</v>
      </c>
      <c r="AB38" s="37"/>
      <c r="AC38" s="37"/>
    </row>
    <row r="39" spans="1:29" s="30" customFormat="1" x14ac:dyDescent="0.25">
      <c r="A39" s="70"/>
      <c r="B39" s="27" t="s">
        <v>51</v>
      </c>
      <c r="C39" s="17" t="s">
        <v>52</v>
      </c>
      <c r="D39" s="28" t="s">
        <v>57</v>
      </c>
      <c r="E39" s="17">
        <v>249</v>
      </c>
      <c r="F39" s="29">
        <v>25530</v>
      </c>
      <c r="G39" s="19">
        <v>20200</v>
      </c>
      <c r="H39" s="19">
        <f t="shared" ref="H39:H40" si="49">G39-F39</f>
        <v>-5330</v>
      </c>
      <c r="I39" s="28" t="s">
        <v>121</v>
      </c>
      <c r="J39" s="17">
        <v>250</v>
      </c>
      <c r="K39" s="21"/>
      <c r="L39" s="21">
        <v>43112</v>
      </c>
      <c r="M39" s="28" t="s">
        <v>66</v>
      </c>
      <c r="N39" s="17"/>
      <c r="O39" s="3">
        <v>30</v>
      </c>
      <c r="P39" s="22"/>
      <c r="Q39" s="33">
        <v>19800</v>
      </c>
      <c r="R39" s="3">
        <f t="shared" ref="R39:R40" si="50">65*E39</f>
        <v>16185</v>
      </c>
      <c r="S39" s="39">
        <f t="shared" ref="S39:S40" si="51">-38*E39</f>
        <v>-9462</v>
      </c>
      <c r="T39" s="36">
        <f>X39*F39*0.0045</f>
        <v>4513.8885237623754</v>
      </c>
      <c r="U39" s="3">
        <f>E39*5</f>
        <v>1245</v>
      </c>
      <c r="V39" s="17"/>
      <c r="W39" s="3">
        <v>0.3</v>
      </c>
      <c r="X39" s="3">
        <f>((O39*F39)+Q39+R39+S39+U39)/G39</f>
        <v>39.290495049504948</v>
      </c>
      <c r="Y39" s="3">
        <f t="shared" ref="Y39:Y40" si="52">((O39*F39)+Q39+R39+S39+T39+U39)/G39+W39</f>
        <v>39.813954877413977</v>
      </c>
      <c r="Z39" s="25">
        <f t="shared" ref="Z39:Z40" si="53">Y39*G39</f>
        <v>804241.88852376235</v>
      </c>
      <c r="AA39" s="26">
        <v>43125</v>
      </c>
      <c r="AB39" s="4"/>
      <c r="AC39" s="4"/>
    </row>
    <row r="40" spans="1:29" s="30" customFormat="1" x14ac:dyDescent="0.25">
      <c r="A40" s="70"/>
      <c r="B40" s="27" t="s">
        <v>51</v>
      </c>
      <c r="C40" s="17" t="s">
        <v>52</v>
      </c>
      <c r="D40" s="28" t="s">
        <v>57</v>
      </c>
      <c r="E40" s="17">
        <v>130</v>
      </c>
      <c r="F40" s="29">
        <v>13445</v>
      </c>
      <c r="G40" s="19">
        <v>10560</v>
      </c>
      <c r="H40" s="19">
        <f t="shared" si="49"/>
        <v>-2885</v>
      </c>
      <c r="I40" s="28" t="s">
        <v>122</v>
      </c>
      <c r="J40" s="17">
        <v>129</v>
      </c>
      <c r="K40" s="21"/>
      <c r="L40" s="21">
        <v>43112</v>
      </c>
      <c r="M40" s="28" t="s">
        <v>66</v>
      </c>
      <c r="N40" s="17"/>
      <c r="O40" s="3">
        <v>30</v>
      </c>
      <c r="P40" s="22"/>
      <c r="Q40" s="33">
        <v>15700</v>
      </c>
      <c r="R40" s="3">
        <f t="shared" si="50"/>
        <v>8450</v>
      </c>
      <c r="S40" s="39">
        <f t="shared" si="51"/>
        <v>-4940</v>
      </c>
      <c r="T40" s="36">
        <f>X40*F40*0.0045</f>
        <v>2424.7408167613635</v>
      </c>
      <c r="U40" s="3">
        <f>E40*5</f>
        <v>650</v>
      </c>
      <c r="V40" s="17"/>
      <c r="W40" s="3">
        <v>0.3</v>
      </c>
      <c r="X40" s="3">
        <f>((O40*F40)+Q40+R40+S40+U40)/G40</f>
        <v>40.076704545454547</v>
      </c>
      <c r="Y40" s="3">
        <f t="shared" si="52"/>
        <v>40.606320153102402</v>
      </c>
      <c r="Z40" s="25">
        <f t="shared" si="53"/>
        <v>428802.74081676139</v>
      </c>
      <c r="AA40" s="26">
        <v>43125</v>
      </c>
      <c r="AB40" s="4"/>
      <c r="AC40" s="4"/>
    </row>
    <row r="41" spans="1:29" s="30" customFormat="1" x14ac:dyDescent="0.25">
      <c r="A41" s="70"/>
      <c r="B41" s="27" t="s">
        <v>35</v>
      </c>
      <c r="C41" s="28" t="s">
        <v>59</v>
      </c>
      <c r="D41" s="28" t="s">
        <v>59</v>
      </c>
      <c r="E41" s="17" t="s">
        <v>60</v>
      </c>
      <c r="F41" s="29">
        <f>41876*0.4536</f>
        <v>18994.953600000001</v>
      </c>
      <c r="G41" s="19">
        <v>18922.810000000001</v>
      </c>
      <c r="H41" s="19">
        <f>G41-F41</f>
        <v>-72.143599999999424</v>
      </c>
      <c r="I41" s="30" t="s">
        <v>123</v>
      </c>
      <c r="J41" s="31" t="s">
        <v>45</v>
      </c>
      <c r="K41" s="21">
        <v>43112</v>
      </c>
      <c r="L41" s="21">
        <v>43113</v>
      </c>
      <c r="M41" s="28" t="s">
        <v>62</v>
      </c>
      <c r="N41" s="28" t="s">
        <v>124</v>
      </c>
      <c r="O41" s="3"/>
      <c r="P41" s="32">
        <f>0.5935+0.105</f>
        <v>0.69850000000000001</v>
      </c>
      <c r="Q41" s="33">
        <v>23000</v>
      </c>
      <c r="R41" s="3">
        <v>9400</v>
      </c>
      <c r="S41" s="35">
        <v>19.283999999999999</v>
      </c>
      <c r="T41" s="36">
        <f t="shared" ref="T41" si="54">X41*F41*0.005</f>
        <v>2994.3553199058256</v>
      </c>
      <c r="V41" s="3">
        <v>0.12</v>
      </c>
      <c r="W41" s="3">
        <v>0.3</v>
      </c>
      <c r="X41" s="3">
        <f>IF(O41&gt;0,O41,((P41*2.2046*S41)+(Q41+R41)/G41)+V41)</f>
        <v>31.527903494387321</v>
      </c>
      <c r="Y41" s="3">
        <f>IF(O41&gt;0,O41,((P41*2.2046*S41)+(Q41+R41+T41)/G41)+V41+W41)</f>
        <v>31.986144015742546</v>
      </c>
      <c r="Z41" s="25">
        <f>Y41*F41</f>
        <v>607575.32142194733</v>
      </c>
      <c r="AA41" s="26">
        <v>43108</v>
      </c>
      <c r="AB41" s="37"/>
      <c r="AC41" s="37"/>
    </row>
    <row r="42" spans="1:29" s="30" customFormat="1" ht="15.75" thickBot="1" x14ac:dyDescent="0.3">
      <c r="A42" s="74"/>
      <c r="B42" s="54"/>
      <c r="C42" s="6"/>
      <c r="D42" s="6"/>
      <c r="E42" s="6"/>
      <c r="F42" s="55"/>
      <c r="G42" s="55"/>
      <c r="H42" s="55"/>
      <c r="I42" s="9"/>
      <c r="J42" s="6"/>
      <c r="K42" s="10"/>
      <c r="L42" s="10"/>
      <c r="M42" s="6"/>
      <c r="N42" s="6"/>
      <c r="O42" s="11"/>
      <c r="P42" s="12"/>
      <c r="Q42" s="11"/>
      <c r="R42" s="11"/>
      <c r="S42" s="11"/>
      <c r="T42" s="11"/>
      <c r="U42" s="11"/>
      <c r="V42" s="11"/>
      <c r="W42" s="11"/>
      <c r="X42" s="11"/>
      <c r="Y42" s="11"/>
      <c r="Z42" s="15"/>
      <c r="AA42" s="56"/>
      <c r="AB42" s="4"/>
      <c r="AC42" s="4"/>
    </row>
    <row r="43" spans="1:29" s="30" customFormat="1" x14ac:dyDescent="0.25">
      <c r="A43" s="75"/>
      <c r="B43" s="58" t="s">
        <v>51</v>
      </c>
      <c r="C43" s="58" t="s">
        <v>52</v>
      </c>
      <c r="D43" s="59" t="s">
        <v>114</v>
      </c>
      <c r="E43" s="58">
        <f>220</f>
        <v>220</v>
      </c>
      <c r="F43" s="60">
        <f>27670</f>
        <v>27670</v>
      </c>
      <c r="G43" s="61">
        <f>24300</f>
        <v>24300</v>
      </c>
      <c r="H43" s="19">
        <f t="shared" ref="H43:H44" si="55">G43-F43</f>
        <v>-3370</v>
      </c>
      <c r="I43" s="62" t="s">
        <v>125</v>
      </c>
      <c r="J43" s="58"/>
      <c r="K43" s="63"/>
      <c r="L43" s="63">
        <v>43114</v>
      </c>
      <c r="M43" s="59" t="s">
        <v>72</v>
      </c>
      <c r="N43" s="58"/>
      <c r="O43" s="64">
        <v>30</v>
      </c>
      <c r="P43" s="65"/>
      <c r="Q43" s="76">
        <f>19800</f>
        <v>19800</v>
      </c>
      <c r="R43" s="64">
        <f t="shared" ref="R43:R44" si="56">65*E43</f>
        <v>14300</v>
      </c>
      <c r="S43" s="64">
        <f t="shared" ref="S43:S44" si="57">-38*E43</f>
        <v>-8360</v>
      </c>
      <c r="T43" s="67">
        <f>X43*F43*0.0045</f>
        <v>4391.0240370370375</v>
      </c>
      <c r="U43" s="64">
        <f>E43*5</f>
        <v>1100</v>
      </c>
      <c r="V43" s="58"/>
      <c r="W43" s="64">
        <v>0.3</v>
      </c>
      <c r="X43" s="64">
        <f>((O43*F43)+Q43+R43+S43+U43)/G43</f>
        <v>35.26502057613169</v>
      </c>
      <c r="Y43" s="68">
        <f t="shared" ref="Y43:Y44" si="58">((O43*F43)+Q43+R43+S43+T43+U43)/G43+W43</f>
        <v>35.745721153787528</v>
      </c>
      <c r="Z43" s="68">
        <f>Y43*G43</f>
        <v>868621.02403703693</v>
      </c>
      <c r="AA43" s="69">
        <v>43129</v>
      </c>
      <c r="AB43" s="4"/>
      <c r="AC43" s="4"/>
    </row>
    <row r="44" spans="1:29" s="30" customFormat="1" x14ac:dyDescent="0.25">
      <c r="A44" s="77"/>
      <c r="B44" s="27" t="s">
        <v>51</v>
      </c>
      <c r="C44" s="17" t="s">
        <v>52</v>
      </c>
      <c r="D44" s="28" t="s">
        <v>73</v>
      </c>
      <c r="E44" s="17">
        <v>160</v>
      </c>
      <c r="F44" s="29">
        <v>17050</v>
      </c>
      <c r="G44" s="19">
        <v>11570</v>
      </c>
      <c r="H44" s="19">
        <f t="shared" si="55"/>
        <v>-5480</v>
      </c>
      <c r="I44" s="28" t="s">
        <v>126</v>
      </c>
      <c r="J44" s="17"/>
      <c r="K44" s="21"/>
      <c r="L44" s="21">
        <v>43114</v>
      </c>
      <c r="M44" s="28" t="s">
        <v>72</v>
      </c>
      <c r="N44" s="17"/>
      <c r="O44" s="3">
        <v>30</v>
      </c>
      <c r="P44" s="22"/>
      <c r="Q44" s="33">
        <v>15700</v>
      </c>
      <c r="R44" s="3">
        <f t="shared" si="56"/>
        <v>10400</v>
      </c>
      <c r="S44" s="39">
        <f t="shared" si="57"/>
        <v>-6080</v>
      </c>
      <c r="T44" s="36">
        <f t="shared" ref="T44" si="59">X44*F44*0.0045</f>
        <v>3530.0131374243729</v>
      </c>
      <c r="U44" s="3">
        <f t="shared" ref="U44" si="60">E44*5</f>
        <v>800</v>
      </c>
      <c r="V44" s="17"/>
      <c r="W44" s="3">
        <v>0.3</v>
      </c>
      <c r="X44" s="3">
        <f t="shared" ref="X44" si="61">((O44*F44)+Q44+R44+S44+U44)/G44</f>
        <v>46.008643042350904</v>
      </c>
      <c r="Y44" s="3">
        <f t="shared" si="58"/>
        <v>46.613743572811089</v>
      </c>
      <c r="Z44" s="25">
        <f t="shared" ref="Z44" si="62">Y44*G44</f>
        <v>539321.01313742425</v>
      </c>
      <c r="AA44" s="26">
        <v>43129</v>
      </c>
      <c r="AB44" s="4"/>
      <c r="AC44" s="4"/>
    </row>
    <row r="45" spans="1:29" s="30" customFormat="1" x14ac:dyDescent="0.25">
      <c r="A45" s="77"/>
      <c r="B45" s="27" t="s">
        <v>51</v>
      </c>
      <c r="C45" s="17" t="s">
        <v>52</v>
      </c>
      <c r="D45" s="28" t="s">
        <v>73</v>
      </c>
      <c r="E45" s="17">
        <v>250</v>
      </c>
      <c r="F45" s="29">
        <v>26190</v>
      </c>
      <c r="G45" s="19">
        <f>12470+8290</f>
        <v>20760</v>
      </c>
      <c r="H45" s="19">
        <f>G45-F45</f>
        <v>-5430</v>
      </c>
      <c r="I45" s="28" t="s">
        <v>127</v>
      </c>
      <c r="J45" s="17"/>
      <c r="K45" s="21"/>
      <c r="L45" s="21">
        <v>43115</v>
      </c>
      <c r="M45" s="28" t="s">
        <v>76</v>
      </c>
      <c r="N45" s="17"/>
      <c r="O45" s="3">
        <v>30</v>
      </c>
      <c r="P45" s="32"/>
      <c r="Q45" s="33">
        <f>19800</f>
        <v>19800</v>
      </c>
      <c r="R45" s="3">
        <f>65*E45</f>
        <v>16250</v>
      </c>
      <c r="S45" s="39">
        <f>-38*E45</f>
        <v>-9500</v>
      </c>
      <c r="T45" s="36">
        <f>X45*F45*0.0045</f>
        <v>4618.2583092485547</v>
      </c>
      <c r="U45" s="3">
        <f>E45*5</f>
        <v>1250</v>
      </c>
      <c r="V45" s="17"/>
      <c r="W45" s="3">
        <v>0.3</v>
      </c>
      <c r="X45" s="3">
        <f>((O45*F45)+Q45+R45+S45+U45)/G45</f>
        <v>39.185934489402698</v>
      </c>
      <c r="Y45" s="3">
        <f>((O45*F45)+Q45+R45+S45+T45+U45)/G45+W45</f>
        <v>39.708393945532201</v>
      </c>
      <c r="Z45" s="25">
        <f>Y45*G45</f>
        <v>824346.25830924849</v>
      </c>
      <c r="AA45" s="26">
        <v>43129</v>
      </c>
      <c r="AB45" s="4"/>
      <c r="AC45" s="4"/>
    </row>
    <row r="46" spans="1:29" s="30" customFormat="1" x14ac:dyDescent="0.25">
      <c r="A46" s="77"/>
      <c r="B46" s="27" t="s">
        <v>82</v>
      </c>
      <c r="C46" s="28" t="s">
        <v>59</v>
      </c>
      <c r="D46" s="28" t="s">
        <v>83</v>
      </c>
      <c r="E46" s="17" t="s">
        <v>84</v>
      </c>
      <c r="F46" s="29">
        <f>900.8+3698.6</f>
        <v>4599.3999999999996</v>
      </c>
      <c r="G46" s="19">
        <v>4599.3999999999996</v>
      </c>
      <c r="H46" s="19">
        <f>G46-F46</f>
        <v>0</v>
      </c>
      <c r="I46" s="28" t="s">
        <v>128</v>
      </c>
      <c r="J46" s="17"/>
      <c r="K46" s="21"/>
      <c r="L46" s="21">
        <v>43115</v>
      </c>
      <c r="M46" s="28" t="s">
        <v>76</v>
      </c>
      <c r="N46" s="17"/>
      <c r="O46" s="3">
        <v>20</v>
      </c>
      <c r="P46" s="32"/>
      <c r="Q46" s="3"/>
      <c r="R46" s="3"/>
      <c r="S46" s="39"/>
      <c r="T46" s="39"/>
      <c r="U46" s="3"/>
      <c r="V46" s="17"/>
      <c r="W46" s="3"/>
      <c r="X46" s="3">
        <f t="shared" ref="X46:X48" si="63">IF(O46&gt;0,O46,((P46*2.2046*S46)+(Q46+R46)/G46)+V46)</f>
        <v>20</v>
      </c>
      <c r="Y46" s="3">
        <f t="shared" ref="Y46:Y48" si="64">IF(O46&gt;0,O46,((P46*2.2046*S46)+(Q46+R46+T46)/G46)+V46+W46)</f>
        <v>20</v>
      </c>
      <c r="Z46" s="25">
        <f t="shared" ref="Z46:Z48" si="65">Y46*F46</f>
        <v>91988</v>
      </c>
      <c r="AA46" s="26">
        <v>43122</v>
      </c>
      <c r="AB46" s="4"/>
      <c r="AC46" s="4"/>
    </row>
    <row r="47" spans="1:29" s="30" customFormat="1" x14ac:dyDescent="0.25">
      <c r="A47" s="77"/>
      <c r="B47" s="27" t="s">
        <v>35</v>
      </c>
      <c r="C47" s="17" t="s">
        <v>36</v>
      </c>
      <c r="D47" s="28" t="s">
        <v>36</v>
      </c>
      <c r="E47" s="17" t="s">
        <v>37</v>
      </c>
      <c r="F47" s="29">
        <f>41567*0.4536</f>
        <v>18854.7912</v>
      </c>
      <c r="G47" s="19">
        <v>18781.310000000001</v>
      </c>
      <c r="H47" s="19">
        <f t="shared" ref="H47:H48" si="66">G47-F47</f>
        <v>-73.481199999998353</v>
      </c>
      <c r="I47" s="28" t="s">
        <v>129</v>
      </c>
      <c r="J47" s="31" t="s">
        <v>45</v>
      </c>
      <c r="K47" s="21">
        <v>43115</v>
      </c>
      <c r="L47" s="21">
        <v>43116</v>
      </c>
      <c r="M47" s="28" t="s">
        <v>31</v>
      </c>
      <c r="N47" s="28" t="s">
        <v>130</v>
      </c>
      <c r="O47" s="3"/>
      <c r="P47" s="32">
        <f>0.6195+0.095</f>
        <v>0.71450000000000002</v>
      </c>
      <c r="Q47" s="33">
        <v>23000</v>
      </c>
      <c r="R47" s="47">
        <v>9500</v>
      </c>
      <c r="S47" s="35">
        <v>18.75</v>
      </c>
      <c r="T47" s="36">
        <f t="shared" ref="T47:T49" si="67">X47*F47*0.005</f>
        <v>2958.806431018731</v>
      </c>
      <c r="V47" s="3">
        <v>0.12</v>
      </c>
      <c r="W47" s="3">
        <v>0.3</v>
      </c>
      <c r="X47" s="3">
        <f t="shared" si="63"/>
        <v>31.38519434804169</v>
      </c>
      <c r="Y47" s="3">
        <f t="shared" si="64"/>
        <v>31.842734287003282</v>
      </c>
      <c r="Z47" s="25">
        <f t="shared" si="65"/>
        <v>600388.10621852777</v>
      </c>
      <c r="AA47" s="26">
        <v>43126</v>
      </c>
      <c r="AB47" s="4"/>
      <c r="AC47" s="4"/>
    </row>
    <row r="48" spans="1:29" s="30" customFormat="1" x14ac:dyDescent="0.25">
      <c r="A48" s="77"/>
      <c r="B48" s="27" t="s">
        <v>35</v>
      </c>
      <c r="C48" s="17" t="s">
        <v>47</v>
      </c>
      <c r="D48" s="28" t="s">
        <v>47</v>
      </c>
      <c r="E48" s="17" t="s">
        <v>37</v>
      </c>
      <c r="F48" s="29">
        <f>41220*0.4536</f>
        <v>18697.392</v>
      </c>
      <c r="G48" s="19">
        <v>18578.53</v>
      </c>
      <c r="H48" s="19">
        <f t="shared" si="66"/>
        <v>-118.86200000000099</v>
      </c>
      <c r="I48" s="28" t="s">
        <v>131</v>
      </c>
      <c r="J48" s="31" t="s">
        <v>45</v>
      </c>
      <c r="K48" s="21">
        <v>43115</v>
      </c>
      <c r="L48" s="21">
        <v>43116</v>
      </c>
      <c r="M48" s="28" t="s">
        <v>31</v>
      </c>
      <c r="N48" s="28" t="s">
        <v>132</v>
      </c>
      <c r="O48" s="3"/>
      <c r="P48" s="32">
        <f>0.613+0.095</f>
        <v>0.70799999999999996</v>
      </c>
      <c r="Q48" s="33">
        <v>23000</v>
      </c>
      <c r="R48" s="3">
        <v>9400</v>
      </c>
      <c r="S48" s="35">
        <v>19.274999999999999</v>
      </c>
      <c r="T48" s="36">
        <f t="shared" si="67"/>
        <v>2986.8582018049547</v>
      </c>
      <c r="V48" s="3">
        <v>0.12</v>
      </c>
      <c r="W48" s="3">
        <v>0.3</v>
      </c>
      <c r="X48" s="3">
        <f t="shared" si="63"/>
        <v>31.9494633455292</v>
      </c>
      <c r="Y48" s="3">
        <f t="shared" si="64"/>
        <v>32.410232696053967</v>
      </c>
      <c r="Z48" s="25">
        <f t="shared" si="65"/>
        <v>605986.82552933786</v>
      </c>
      <c r="AA48" s="26">
        <v>43109</v>
      </c>
      <c r="AB48" s="4"/>
      <c r="AC48" s="4"/>
    </row>
    <row r="49" spans="1:29" s="30" customFormat="1" x14ac:dyDescent="0.25">
      <c r="A49" s="77"/>
      <c r="B49" s="27" t="s">
        <v>51</v>
      </c>
      <c r="C49" s="17" t="s">
        <v>52</v>
      </c>
      <c r="D49" s="28" t="s">
        <v>64</v>
      </c>
      <c r="E49" s="17">
        <v>219</v>
      </c>
      <c r="F49" s="29">
        <v>24200</v>
      </c>
      <c r="G49" s="19">
        <f>13210+6310</f>
        <v>19520</v>
      </c>
      <c r="H49" s="19">
        <f>G49-F49</f>
        <v>-4680</v>
      </c>
      <c r="I49" s="28" t="s">
        <v>133</v>
      </c>
      <c r="J49" s="17"/>
      <c r="K49" s="21"/>
      <c r="L49" s="21">
        <v>43116</v>
      </c>
      <c r="M49" s="28" t="s">
        <v>31</v>
      </c>
      <c r="N49" s="17"/>
      <c r="O49" s="3">
        <v>30</v>
      </c>
      <c r="P49" s="32"/>
      <c r="Q49" s="38">
        <v>19800</v>
      </c>
      <c r="R49" s="3">
        <f>65*E49</f>
        <v>14235</v>
      </c>
      <c r="S49" s="39">
        <f>-38*E49</f>
        <v>-8322</v>
      </c>
      <c r="T49" s="39">
        <f t="shared" si="67"/>
        <v>4666.4840163934423</v>
      </c>
      <c r="U49" s="3">
        <f>E49*5</f>
        <v>1095</v>
      </c>
      <c r="V49" s="17"/>
      <c r="W49" s="3">
        <v>0.3</v>
      </c>
      <c r="X49" s="3">
        <f>((O49*F49)+Q49+R49+S49+U49)/G49</f>
        <v>38.565983606557374</v>
      </c>
      <c r="Y49" s="3">
        <f>((O49*F49)+Q49+R49+S49+T49+U49)/G49+W49</f>
        <v>39.105045287725069</v>
      </c>
      <c r="Z49" s="25">
        <f>Y49*G49</f>
        <v>763330.48401639331</v>
      </c>
      <c r="AA49" s="26">
        <v>43129</v>
      </c>
      <c r="AB49" s="37"/>
      <c r="AC49" s="37"/>
    </row>
    <row r="50" spans="1:29" s="30" customFormat="1" x14ac:dyDescent="0.25">
      <c r="A50" s="77"/>
      <c r="B50" s="27" t="s">
        <v>35</v>
      </c>
      <c r="C50" s="28" t="s">
        <v>47</v>
      </c>
      <c r="D50" s="28" t="s">
        <v>47</v>
      </c>
      <c r="E50" s="42" t="s">
        <v>68</v>
      </c>
      <c r="F50" s="29">
        <v>18500</v>
      </c>
      <c r="G50" s="19">
        <v>18500</v>
      </c>
      <c r="H50" s="19">
        <f>G50-F50</f>
        <v>0</v>
      </c>
      <c r="I50" s="28" t="s">
        <v>134</v>
      </c>
      <c r="J50" s="42" t="s">
        <v>68</v>
      </c>
      <c r="K50" s="21">
        <v>43116</v>
      </c>
      <c r="L50" s="21">
        <v>43117</v>
      </c>
      <c r="M50" s="28" t="s">
        <v>43</v>
      </c>
      <c r="N50" s="28" t="s">
        <v>130</v>
      </c>
      <c r="O50" s="3"/>
      <c r="P50" s="32">
        <f>0.6195+0.095</f>
        <v>0.71450000000000002</v>
      </c>
      <c r="Q50" s="78">
        <v>23000</v>
      </c>
      <c r="R50" s="3">
        <v>9500</v>
      </c>
      <c r="S50" s="35">
        <v>19.259</v>
      </c>
      <c r="T50" s="39">
        <f>X50*F50*0.005</f>
        <v>2979.7281606152496</v>
      </c>
      <c r="V50" s="3">
        <v>0.12</v>
      </c>
      <c r="W50" s="3">
        <v>0.3</v>
      </c>
      <c r="X50" s="3">
        <f>IF(O50&gt;0,O50,((P50*2.2046*S50)+(Q50+R50)/G50)+V50)</f>
        <v>32.213277412056755</v>
      </c>
      <c r="Y50" s="3">
        <f>IF(O50&gt;0,O50,((P50*2.2046*S50)+(Q50+R50+T50)/G50)+V50+W50)</f>
        <v>32.67434379911704</v>
      </c>
      <c r="Z50" s="25">
        <f>Y50*F50</f>
        <v>604475.36028366524</v>
      </c>
      <c r="AA50" s="42" t="s">
        <v>68</v>
      </c>
      <c r="AB50" s="37"/>
      <c r="AC50" s="37"/>
    </row>
    <row r="51" spans="1:29" s="30" customFormat="1" x14ac:dyDescent="0.25">
      <c r="A51" s="77"/>
      <c r="B51" s="27" t="s">
        <v>51</v>
      </c>
      <c r="C51" s="17" t="s">
        <v>52</v>
      </c>
      <c r="D51" s="28" t="s">
        <v>135</v>
      </c>
      <c r="E51" s="17">
        <v>220</v>
      </c>
      <c r="F51" s="29">
        <v>26635</v>
      </c>
      <c r="G51" s="19">
        <f>14780+6850</f>
        <v>21630</v>
      </c>
      <c r="H51" s="19">
        <f t="shared" ref="H51" si="68">G51-F51</f>
        <v>-5005</v>
      </c>
      <c r="I51" s="28" t="s">
        <v>136</v>
      </c>
      <c r="J51" s="79">
        <v>219</v>
      </c>
      <c r="K51" s="21"/>
      <c r="L51" s="21">
        <v>43117</v>
      </c>
      <c r="M51" s="28" t="s">
        <v>43</v>
      </c>
      <c r="N51" s="17"/>
      <c r="O51" s="3">
        <v>30</v>
      </c>
      <c r="P51" s="32"/>
      <c r="Q51" s="38">
        <v>19800</v>
      </c>
      <c r="R51" s="3">
        <f>65*E51</f>
        <v>14300</v>
      </c>
      <c r="S51" s="39">
        <f>-38*E51</f>
        <v>-8360</v>
      </c>
      <c r="T51" s="39">
        <f>X51*F51*0.0045</f>
        <v>4576.4729854368925</v>
      </c>
      <c r="U51" s="3">
        <f>E51*5</f>
        <v>1100</v>
      </c>
      <c r="V51" s="17"/>
      <c r="W51" s="3">
        <v>0.3</v>
      </c>
      <c r="X51" s="3">
        <f>((O51*F51)+Q51+R51+S51+U51)/G51</f>
        <v>38.182616736014793</v>
      </c>
      <c r="Y51" s="3">
        <f t="shared" ref="Y51" si="69">((O51*F51)+Q51+R51+S51+T51+U51)/G51+W51</f>
        <v>38.694196624384503</v>
      </c>
      <c r="Z51" s="25">
        <f>Y51*G51</f>
        <v>836955.47298543679</v>
      </c>
      <c r="AA51" s="26">
        <v>43130</v>
      </c>
      <c r="AB51" s="37"/>
      <c r="AC51" s="37"/>
    </row>
    <row r="52" spans="1:29" s="30" customFormat="1" x14ac:dyDescent="0.25">
      <c r="A52" s="77"/>
      <c r="B52" s="27" t="s">
        <v>35</v>
      </c>
      <c r="C52" s="28" t="s">
        <v>59</v>
      </c>
      <c r="D52" s="28" t="s">
        <v>59</v>
      </c>
      <c r="E52" s="17" t="s">
        <v>60</v>
      </c>
      <c r="F52" s="29">
        <f>42873*0.4536</f>
        <v>19447.192800000001</v>
      </c>
      <c r="G52" s="19">
        <v>19365.73</v>
      </c>
      <c r="H52" s="19">
        <f>G52-F52</f>
        <v>-81.462800000001153</v>
      </c>
      <c r="I52" s="30" t="s">
        <v>137</v>
      </c>
      <c r="J52" s="31" t="s">
        <v>102</v>
      </c>
      <c r="K52" s="21">
        <v>43483</v>
      </c>
      <c r="L52" s="21">
        <v>43119</v>
      </c>
      <c r="M52" s="28" t="s">
        <v>66</v>
      </c>
      <c r="N52" s="28" t="s">
        <v>138</v>
      </c>
      <c r="O52" s="3"/>
      <c r="P52" s="32">
        <f>0.6653+0.105</f>
        <v>0.77029999999999998</v>
      </c>
      <c r="Q52" s="33">
        <v>23000</v>
      </c>
      <c r="R52" s="3">
        <v>9400</v>
      </c>
      <c r="S52" s="35">
        <v>19.297999999999998</v>
      </c>
      <c r="T52" s="39">
        <f>X52*F52*0.005</f>
        <v>3360.9598675030766</v>
      </c>
      <c r="V52" s="3">
        <v>0.12</v>
      </c>
      <c r="W52" s="3">
        <v>0.3</v>
      </c>
      <c r="X52" s="3">
        <f>IF(O52&gt;0,O52,((P52*2.2046*S52)+(Q52+R48)/G52)+V52)</f>
        <v>34.564987369314061</v>
      </c>
      <c r="Y52" s="3">
        <f>IF(O52&gt;0,O52,((P52*2.2046*S52)+(Q52+R50+T52)/G52)+V52+W52)</f>
        <v>35.043703062835711</v>
      </c>
      <c r="Z52" s="25">
        <f>Y52*F52</f>
        <v>681501.64988891664</v>
      </c>
      <c r="AA52" s="26">
        <v>43111</v>
      </c>
      <c r="AB52" s="37"/>
      <c r="AC52" s="37"/>
    </row>
    <row r="53" spans="1:29" s="30" customFormat="1" x14ac:dyDescent="0.25">
      <c r="A53" s="77"/>
      <c r="B53" s="27" t="s">
        <v>51</v>
      </c>
      <c r="C53" s="17" t="s">
        <v>52</v>
      </c>
      <c r="D53" s="28" t="s">
        <v>64</v>
      </c>
      <c r="E53" s="17">
        <v>249</v>
      </c>
      <c r="F53" s="29">
        <v>30470</v>
      </c>
      <c r="G53" s="19">
        <v>22920</v>
      </c>
      <c r="H53" s="19">
        <f t="shared" ref="H53:H56" si="70">G53-F53</f>
        <v>-7550</v>
      </c>
      <c r="I53" s="28" t="s">
        <v>139</v>
      </c>
      <c r="J53" s="17">
        <v>250</v>
      </c>
      <c r="K53" s="21"/>
      <c r="L53" s="21">
        <v>43118</v>
      </c>
      <c r="M53" s="28" t="s">
        <v>40</v>
      </c>
      <c r="N53" s="17"/>
      <c r="O53" s="3">
        <v>30</v>
      </c>
      <c r="P53" s="32"/>
      <c r="Q53" s="38">
        <v>19800</v>
      </c>
      <c r="R53" s="3">
        <f t="shared" ref="R53:R56" si="71">65*E53</f>
        <v>16185</v>
      </c>
      <c r="S53" s="39">
        <f t="shared" ref="S53:S56" si="72">-38*E53</f>
        <v>-9462</v>
      </c>
      <c r="T53" s="39">
        <f t="shared" ref="T53:T54" si="73">X53*F53*0.0045</f>
        <v>5634.5650445026176</v>
      </c>
      <c r="U53" s="3">
        <f t="shared" ref="U53:U54" si="74">E53*5</f>
        <v>1245</v>
      </c>
      <c r="V53" s="17"/>
      <c r="W53" s="3">
        <v>0.3</v>
      </c>
      <c r="X53" s="3">
        <f t="shared" ref="X53:X54" si="75">((O53*F53)+Q53+R53+S53+U53)/G53</f>
        <v>41.09371727748691</v>
      </c>
      <c r="Y53" s="3">
        <f t="shared" ref="Y53:Y56" si="76">((O53*F53)+Q53+R53+S53+T53+U53)/G53+W53</f>
        <v>41.639553448713023</v>
      </c>
      <c r="Z53" s="25">
        <f t="shared" ref="Z53:Z56" si="77">Y53*G53</f>
        <v>954378.56504450249</v>
      </c>
      <c r="AA53" s="26">
        <v>43131</v>
      </c>
      <c r="AB53" s="37"/>
      <c r="AC53" s="37"/>
    </row>
    <row r="54" spans="1:29" s="30" customFormat="1" x14ac:dyDescent="0.25">
      <c r="A54" s="77"/>
      <c r="B54" s="27" t="s">
        <v>51</v>
      </c>
      <c r="C54" s="17" t="s">
        <v>52</v>
      </c>
      <c r="D54" s="28" t="s">
        <v>57</v>
      </c>
      <c r="E54" s="17">
        <v>130</v>
      </c>
      <c r="F54" s="29">
        <v>14035</v>
      </c>
      <c r="G54" s="19">
        <v>12940</v>
      </c>
      <c r="H54" s="19">
        <f t="shared" si="70"/>
        <v>-1095</v>
      </c>
      <c r="I54" s="28" t="s">
        <v>140</v>
      </c>
      <c r="J54" s="17">
        <v>129</v>
      </c>
      <c r="K54" s="21"/>
      <c r="L54" s="21">
        <v>43118</v>
      </c>
      <c r="M54" s="28" t="s">
        <v>40</v>
      </c>
      <c r="N54" s="17"/>
      <c r="O54" s="3">
        <v>30</v>
      </c>
      <c r="P54" s="32"/>
      <c r="Q54" s="80">
        <v>15700</v>
      </c>
      <c r="R54" s="3">
        <f t="shared" si="71"/>
        <v>8450</v>
      </c>
      <c r="S54" s="39">
        <f t="shared" si="72"/>
        <v>-4940</v>
      </c>
      <c r="T54" s="39">
        <f t="shared" si="73"/>
        <v>2151.9917561823804</v>
      </c>
      <c r="U54" s="3">
        <f t="shared" si="74"/>
        <v>650</v>
      </c>
      <c r="V54" s="17"/>
      <c r="W54" s="3">
        <v>0.3</v>
      </c>
      <c r="X54" s="3">
        <f t="shared" si="75"/>
        <v>34.073415765069555</v>
      </c>
      <c r="Y54" s="3">
        <f t="shared" si="76"/>
        <v>34.539721155810071</v>
      </c>
      <c r="Z54" s="25">
        <f t="shared" si="77"/>
        <v>446943.99175618234</v>
      </c>
      <c r="AA54" s="26">
        <v>43131</v>
      </c>
      <c r="AB54" s="81"/>
      <c r="AC54" s="37"/>
    </row>
    <row r="55" spans="1:29" s="30" customFormat="1" x14ac:dyDescent="0.25">
      <c r="A55" s="77"/>
      <c r="B55" s="27" t="s">
        <v>51</v>
      </c>
      <c r="C55" s="17" t="s">
        <v>52</v>
      </c>
      <c r="D55" s="28" t="s">
        <v>64</v>
      </c>
      <c r="E55" s="17">
        <v>250</v>
      </c>
      <c r="F55" s="29">
        <v>28845</v>
      </c>
      <c r="G55" s="19">
        <v>21930</v>
      </c>
      <c r="H55" s="19">
        <f t="shared" si="70"/>
        <v>-6915</v>
      </c>
      <c r="I55" s="30" t="s">
        <v>141</v>
      </c>
      <c r="J55" s="17"/>
      <c r="K55" s="21"/>
      <c r="L55" s="21">
        <v>43119</v>
      </c>
      <c r="M55" s="28" t="s">
        <v>66</v>
      </c>
      <c r="N55" s="17"/>
      <c r="O55" s="3">
        <v>30</v>
      </c>
      <c r="P55" s="32"/>
      <c r="Q55" s="33">
        <v>19800</v>
      </c>
      <c r="R55" s="3">
        <f t="shared" si="71"/>
        <v>16250</v>
      </c>
      <c r="S55" s="39">
        <f t="shared" si="72"/>
        <v>-9500</v>
      </c>
      <c r="T55" s="39">
        <f>X55*F55*0.0045</f>
        <v>5286.5071990424076</v>
      </c>
      <c r="U55" s="3">
        <f>E55*5</f>
        <v>1250</v>
      </c>
      <c r="V55" s="17"/>
      <c r="W55" s="3">
        <v>0.3</v>
      </c>
      <c r="X55" s="3">
        <f>((O55*F55)+Q55+R55+S55+U55)/G55</f>
        <v>40.727314181486548</v>
      </c>
      <c r="Y55" s="3">
        <f t="shared" si="76"/>
        <v>41.268376981260481</v>
      </c>
      <c r="Z55" s="25">
        <f t="shared" si="77"/>
        <v>905015.50719904236</v>
      </c>
      <c r="AA55" s="26">
        <v>43132</v>
      </c>
      <c r="AB55" s="4"/>
      <c r="AC55" s="4"/>
    </row>
    <row r="56" spans="1:29" s="30" customFormat="1" x14ac:dyDescent="0.25">
      <c r="A56" s="77"/>
      <c r="B56" s="27" t="s">
        <v>51</v>
      </c>
      <c r="C56" s="17" t="s">
        <v>52</v>
      </c>
      <c r="D56" s="28" t="s">
        <v>57</v>
      </c>
      <c r="E56" s="17">
        <v>130</v>
      </c>
      <c r="F56" s="29">
        <v>13535</v>
      </c>
      <c r="G56" s="19">
        <v>12140</v>
      </c>
      <c r="H56" s="19">
        <f t="shared" si="70"/>
        <v>-1395</v>
      </c>
      <c r="I56" s="28" t="s">
        <v>142</v>
      </c>
      <c r="J56" s="17"/>
      <c r="K56" s="21"/>
      <c r="L56" s="21">
        <v>43119</v>
      </c>
      <c r="M56" s="28" t="s">
        <v>66</v>
      </c>
      <c r="N56" s="17"/>
      <c r="O56" s="3">
        <v>30</v>
      </c>
      <c r="P56" s="32"/>
      <c r="Q56" s="33">
        <v>15700</v>
      </c>
      <c r="R56" s="3">
        <f t="shared" si="71"/>
        <v>8450</v>
      </c>
      <c r="S56" s="39">
        <f t="shared" si="72"/>
        <v>-4940</v>
      </c>
      <c r="T56" s="39">
        <f>X56*F56*0.0045</f>
        <v>2136.8297631795713</v>
      </c>
      <c r="U56" s="3">
        <f>E56*5</f>
        <v>650</v>
      </c>
      <c r="V56" s="17"/>
      <c r="W56" s="3">
        <v>0.3</v>
      </c>
      <c r="X56" s="3">
        <f>((O56*F56)+Q56+R56+S56+U56)/G56</f>
        <v>35.083196046128499</v>
      </c>
      <c r="Y56" s="3">
        <f t="shared" si="76"/>
        <v>35.559211677362399</v>
      </c>
      <c r="Z56" s="25">
        <f t="shared" si="77"/>
        <v>431688.82976317953</v>
      </c>
      <c r="AA56" s="26">
        <v>43132</v>
      </c>
      <c r="AB56" s="4"/>
      <c r="AC56" s="4"/>
    </row>
    <row r="57" spans="1:29" s="30" customFormat="1" x14ac:dyDescent="0.25">
      <c r="A57" s="77"/>
      <c r="B57" s="27" t="s">
        <v>35</v>
      </c>
      <c r="C57" s="28" t="s">
        <v>36</v>
      </c>
      <c r="D57" s="28" t="s">
        <v>36</v>
      </c>
      <c r="E57" s="17" t="s">
        <v>37</v>
      </c>
      <c r="F57" s="29">
        <f>42427*0.4536</f>
        <v>19244.887200000001</v>
      </c>
      <c r="G57" s="19">
        <v>19177.52</v>
      </c>
      <c r="H57" s="19">
        <f>G57-F57</f>
        <v>-67.367200000000594</v>
      </c>
      <c r="I57" s="30" t="s">
        <v>143</v>
      </c>
      <c r="J57" s="31" t="s">
        <v>45</v>
      </c>
      <c r="K57" s="21">
        <v>43119</v>
      </c>
      <c r="L57" s="21">
        <v>43120</v>
      </c>
      <c r="M57" s="28" t="s">
        <v>62</v>
      </c>
      <c r="N57" s="28" t="s">
        <v>144</v>
      </c>
      <c r="O57" s="3"/>
      <c r="P57" s="32">
        <f>0.6565+0.095</f>
        <v>0.75149999999999995</v>
      </c>
      <c r="Q57" s="33">
        <v>23000</v>
      </c>
      <c r="R57" s="47">
        <v>9500</v>
      </c>
      <c r="S57" s="35">
        <v>18.518999999999998</v>
      </c>
      <c r="T57" s="39">
        <f>X57*F57*0.005</f>
        <v>3126.9259736372992</v>
      </c>
      <c r="V57" s="3">
        <v>0.12</v>
      </c>
      <c r="W57" s="3">
        <v>0.3</v>
      </c>
      <c r="X57" s="3">
        <f t="shared" ref="X57:X60" si="78">IF(O57&gt;0,O57,((P57*2.2046*S57)+(Q57+R57)/G57)+V57)</f>
        <v>32.496173566944044</v>
      </c>
      <c r="Y57" s="3">
        <f t="shared" ref="Y57:Y60" si="79">IF(O57&gt;0,O57,((P57*2.2046*S57)+(Q57+R57+T57)/G57)+V57+W57)</f>
        <v>32.959225201025887</v>
      </c>
      <c r="Z57" s="25">
        <f t="shared" ref="Z57:Z60" si="80">Y57*F57</f>
        <v>634296.57119314058</v>
      </c>
      <c r="AA57" s="26">
        <v>43131</v>
      </c>
      <c r="AB57" s="37"/>
      <c r="AC57" s="37"/>
    </row>
    <row r="58" spans="1:29" s="30" customFormat="1" x14ac:dyDescent="0.25">
      <c r="A58" s="77"/>
      <c r="B58" s="27" t="s">
        <v>77</v>
      </c>
      <c r="C58" s="17" t="s">
        <v>78</v>
      </c>
      <c r="D58" s="28" t="s">
        <v>79</v>
      </c>
      <c r="E58" s="17" t="s">
        <v>80</v>
      </c>
      <c r="F58" s="29">
        <v>18506.554</v>
      </c>
      <c r="G58" s="19">
        <f>680*27.22</f>
        <v>18509.599999999999</v>
      </c>
      <c r="H58" s="19">
        <f>G58-F58</f>
        <v>3.0459999999984575</v>
      </c>
      <c r="I58" s="71" t="s">
        <v>145</v>
      </c>
      <c r="J58" s="17"/>
      <c r="K58" s="21"/>
      <c r="L58" s="21">
        <v>43120</v>
      </c>
      <c r="M58" s="28" t="s">
        <v>62</v>
      </c>
      <c r="N58" s="28"/>
      <c r="O58" s="3">
        <v>42.5</v>
      </c>
      <c r="P58" s="32"/>
      <c r="Q58" s="3"/>
      <c r="R58" s="3"/>
      <c r="S58" s="35"/>
      <c r="T58" s="39"/>
      <c r="V58" s="3"/>
      <c r="W58" s="3"/>
      <c r="X58" s="3">
        <f t="shared" si="78"/>
        <v>42.5</v>
      </c>
      <c r="Y58" s="3">
        <f t="shared" si="79"/>
        <v>42.5</v>
      </c>
      <c r="Z58" s="25">
        <f t="shared" si="80"/>
        <v>786528.54500000004</v>
      </c>
      <c r="AA58" s="26">
        <v>43140</v>
      </c>
      <c r="AB58" s="37"/>
      <c r="AC58" s="37"/>
    </row>
    <row r="59" spans="1:29" s="30" customFormat="1" x14ac:dyDescent="0.25">
      <c r="A59" s="77"/>
      <c r="B59" s="27" t="s">
        <v>82</v>
      </c>
      <c r="C59" s="28" t="s">
        <v>59</v>
      </c>
      <c r="D59" s="28" t="s">
        <v>83</v>
      </c>
      <c r="E59" s="17" t="s">
        <v>146</v>
      </c>
      <c r="F59" s="29">
        <v>1841.7</v>
      </c>
      <c r="G59" s="19">
        <v>1841.7</v>
      </c>
      <c r="H59" s="19">
        <f>G59-F59</f>
        <v>0</v>
      </c>
      <c r="I59" s="71" t="s">
        <v>147</v>
      </c>
      <c r="J59" s="17"/>
      <c r="K59" s="21"/>
      <c r="L59" s="21">
        <v>43120</v>
      </c>
      <c r="M59" s="28" t="s">
        <v>62</v>
      </c>
      <c r="N59" s="28"/>
      <c r="O59" s="3">
        <v>20</v>
      </c>
      <c r="P59" s="32"/>
      <c r="Q59" s="3"/>
      <c r="R59" s="3"/>
      <c r="S59" s="35"/>
      <c r="T59" s="39"/>
      <c r="V59" s="3"/>
      <c r="W59" s="3"/>
      <c r="X59" s="3">
        <f t="shared" si="78"/>
        <v>20</v>
      </c>
      <c r="Y59" s="3">
        <f t="shared" si="79"/>
        <v>20</v>
      </c>
      <c r="Z59" s="25">
        <f t="shared" si="80"/>
        <v>36834</v>
      </c>
      <c r="AA59" s="26">
        <v>43126</v>
      </c>
      <c r="AB59" s="37"/>
      <c r="AC59" s="37"/>
    </row>
    <row r="60" spans="1:29" s="30" customFormat="1" x14ac:dyDescent="0.25">
      <c r="A60" s="77"/>
      <c r="B60" s="27" t="s">
        <v>148</v>
      </c>
      <c r="C60" s="28" t="s">
        <v>149</v>
      </c>
      <c r="D60" s="28" t="s">
        <v>28</v>
      </c>
      <c r="E60" s="17" t="s">
        <v>150</v>
      </c>
      <c r="F60" s="29">
        <f>72.64+20</f>
        <v>92.64</v>
      </c>
      <c r="G60" s="19">
        <v>92.64</v>
      </c>
      <c r="H60" s="19">
        <f>G60-F60</f>
        <v>0</v>
      </c>
      <c r="I60" s="71" t="s">
        <v>151</v>
      </c>
      <c r="J60" s="17" t="s">
        <v>152</v>
      </c>
      <c r="K60" s="21"/>
      <c r="L60" s="21">
        <v>43120</v>
      </c>
      <c r="M60" s="28" t="s">
        <v>62</v>
      </c>
      <c r="N60" s="28"/>
      <c r="O60" s="3">
        <v>165</v>
      </c>
      <c r="P60" s="32"/>
      <c r="Q60" s="3"/>
      <c r="R60" s="3"/>
      <c r="S60" s="35"/>
      <c r="T60" s="39"/>
      <c r="V60" s="3"/>
      <c r="W60" s="3"/>
      <c r="X60" s="3">
        <f t="shared" si="78"/>
        <v>165</v>
      </c>
      <c r="Y60" s="3">
        <f t="shared" si="79"/>
        <v>165</v>
      </c>
      <c r="Z60" s="25">
        <f t="shared" si="80"/>
        <v>15285.6</v>
      </c>
      <c r="AA60" s="26">
        <v>43122</v>
      </c>
      <c r="AB60" s="37"/>
      <c r="AC60" s="37"/>
    </row>
    <row r="61" spans="1:29" s="30" customFormat="1" ht="15.75" thickBot="1" x14ac:dyDescent="0.3">
      <c r="A61" s="82"/>
      <c r="B61" s="54"/>
      <c r="C61" s="6"/>
      <c r="D61" s="6"/>
      <c r="E61" s="6"/>
      <c r="F61" s="55"/>
      <c r="G61" s="55"/>
      <c r="H61" s="55"/>
      <c r="I61" s="9"/>
      <c r="J61" s="6"/>
      <c r="K61" s="10"/>
      <c r="L61" s="10"/>
      <c r="M61" s="6"/>
      <c r="N61" s="6"/>
      <c r="O61" s="11"/>
      <c r="P61" s="12"/>
      <c r="Q61" s="11"/>
      <c r="R61" s="11"/>
      <c r="S61" s="11"/>
      <c r="T61" s="11"/>
      <c r="U61" s="11"/>
      <c r="V61" s="11"/>
      <c r="W61" s="11"/>
      <c r="X61" s="11"/>
      <c r="Y61" s="11"/>
      <c r="Z61" s="15"/>
      <c r="AA61" s="56"/>
      <c r="AB61" s="4"/>
      <c r="AC61" s="4"/>
    </row>
    <row r="62" spans="1:29" s="30" customFormat="1" x14ac:dyDescent="0.25">
      <c r="A62" s="83"/>
      <c r="B62" s="58" t="s">
        <v>51</v>
      </c>
      <c r="C62" s="58" t="s">
        <v>52</v>
      </c>
      <c r="D62" s="59" t="s">
        <v>135</v>
      </c>
      <c r="E62" s="58">
        <v>220</v>
      </c>
      <c r="F62" s="60">
        <v>26410</v>
      </c>
      <c r="G62" s="61">
        <v>20150</v>
      </c>
      <c r="H62" s="19">
        <f t="shared" ref="H62:H63" si="81">G62-F62</f>
        <v>-6260</v>
      </c>
      <c r="I62" s="62" t="s">
        <v>153</v>
      </c>
      <c r="J62" s="58"/>
      <c r="K62" s="63"/>
      <c r="L62" s="63">
        <v>43121</v>
      </c>
      <c r="M62" s="59" t="s">
        <v>72</v>
      </c>
      <c r="N62" s="58"/>
      <c r="O62" s="64">
        <v>30</v>
      </c>
      <c r="P62" s="65"/>
      <c r="Q62" s="66">
        <v>19800</v>
      </c>
      <c r="R62" s="64">
        <f t="shared" ref="R62:R63" si="82">65*E62</f>
        <v>14300</v>
      </c>
      <c r="S62" s="64">
        <f t="shared" ref="S62:S63" si="83">-38*E62</f>
        <v>-8360</v>
      </c>
      <c r="T62" s="84">
        <f>X62*F62*0.0045</f>
        <v>4831.2999156327542</v>
      </c>
      <c r="U62" s="64">
        <f>E62*5</f>
        <v>1100</v>
      </c>
      <c r="V62" s="58"/>
      <c r="W62" s="64">
        <v>0.3</v>
      </c>
      <c r="X62" s="64">
        <f>((O62*F62)+Q62+R62+S62+U62)/G62</f>
        <v>40.652109181141441</v>
      </c>
      <c r="Y62" s="68">
        <f t="shared" ref="Y62:Y63" si="84">((O62*F62)+Q62+R62+S62+T62+U62)/G62+W62</f>
        <v>41.191875926334127</v>
      </c>
      <c r="Z62" s="68">
        <f>Y62*G62</f>
        <v>830016.2999156327</v>
      </c>
      <c r="AA62" s="69">
        <v>43137</v>
      </c>
      <c r="AB62" s="4"/>
      <c r="AC62" s="4"/>
    </row>
    <row r="63" spans="1:29" s="30" customFormat="1" x14ac:dyDescent="0.25">
      <c r="A63" s="85"/>
      <c r="B63" s="27" t="s">
        <v>51</v>
      </c>
      <c r="C63" s="17" t="s">
        <v>52</v>
      </c>
      <c r="D63" s="28" t="s">
        <v>135</v>
      </c>
      <c r="E63" s="17">
        <v>130</v>
      </c>
      <c r="F63" s="29">
        <v>14185</v>
      </c>
      <c r="G63" s="19">
        <v>12570</v>
      </c>
      <c r="H63" s="19">
        <f t="shared" si="81"/>
        <v>-1615</v>
      </c>
      <c r="I63" s="28" t="s">
        <v>154</v>
      </c>
      <c r="J63" s="17"/>
      <c r="K63" s="21"/>
      <c r="L63" s="21">
        <v>43121</v>
      </c>
      <c r="M63" s="28" t="s">
        <v>72</v>
      </c>
      <c r="N63" s="17"/>
      <c r="O63" s="3">
        <v>30</v>
      </c>
      <c r="P63" s="32"/>
      <c r="Q63" s="33">
        <v>15700</v>
      </c>
      <c r="R63" s="3">
        <f t="shared" si="82"/>
        <v>8450</v>
      </c>
      <c r="S63" s="39">
        <f t="shared" si="83"/>
        <v>-4940</v>
      </c>
      <c r="T63" s="39">
        <f t="shared" ref="T63" si="85">X63*F63*0.0045</f>
        <v>2261.8642661097847</v>
      </c>
      <c r="U63" s="3">
        <f t="shared" ref="U63" si="86">E63*5</f>
        <v>650</v>
      </c>
      <c r="V63" s="17"/>
      <c r="W63" s="3">
        <v>0.3</v>
      </c>
      <c r="X63" s="3">
        <f t="shared" ref="X63" si="87">((O63*F63)+Q63+R63+S63+U63)/G63</f>
        <v>35.434367541766107</v>
      </c>
      <c r="Y63" s="3">
        <f t="shared" si="84"/>
        <v>35.914309010828141</v>
      </c>
      <c r="Z63" s="25">
        <f t="shared" ref="Z63" si="88">Y63*G63</f>
        <v>451442.86426610971</v>
      </c>
      <c r="AA63" s="26">
        <v>43137</v>
      </c>
      <c r="AB63" s="4"/>
      <c r="AC63" s="4"/>
    </row>
    <row r="64" spans="1:29" s="30" customFormat="1" x14ac:dyDescent="0.25">
      <c r="A64" s="85"/>
      <c r="B64" s="27" t="s">
        <v>51</v>
      </c>
      <c r="C64" s="17" t="s">
        <v>52</v>
      </c>
      <c r="D64" s="28" t="s">
        <v>155</v>
      </c>
      <c r="E64" s="17">
        <f>249+10</f>
        <v>259</v>
      </c>
      <c r="F64" s="29">
        <f>27960+1130</f>
        <v>29090</v>
      </c>
      <c r="G64" s="19">
        <f>11520+11820</f>
        <v>23340</v>
      </c>
      <c r="H64" s="19">
        <f>G64-F64</f>
        <v>-5750</v>
      </c>
      <c r="I64" s="28" t="s">
        <v>156</v>
      </c>
      <c r="J64" s="17"/>
      <c r="K64" s="21"/>
      <c r="L64" s="21">
        <v>43122</v>
      </c>
      <c r="M64" s="28" t="s">
        <v>76</v>
      </c>
      <c r="N64" s="17"/>
      <c r="O64" s="3">
        <v>30</v>
      </c>
      <c r="P64" s="32"/>
      <c r="Q64" s="33">
        <f>19800</f>
        <v>19800</v>
      </c>
      <c r="R64" s="3">
        <f>65*E64</f>
        <v>16835</v>
      </c>
      <c r="S64" s="39">
        <f>-38*E64</f>
        <v>-9842</v>
      </c>
      <c r="T64" s="39">
        <f>X64*F64*0.0045</f>
        <v>5052.1702287917733</v>
      </c>
      <c r="U64" s="3">
        <f>E64*5</f>
        <v>1295</v>
      </c>
      <c r="V64" s="17"/>
      <c r="W64" s="3">
        <v>0.3</v>
      </c>
      <c r="X64" s="3">
        <f>((O64*F64)+Q64+R64+S64+U64)/G64</f>
        <v>38.594173093401885</v>
      </c>
      <c r="Y64" s="3">
        <f>((O64*F64)+Q64+R64+S64+T64+U64)/G64+W64</f>
        <v>39.110632828997076</v>
      </c>
      <c r="Z64" s="25">
        <f>Y64*G64</f>
        <v>912842.17022879177</v>
      </c>
      <c r="AA64" s="26">
        <v>43137</v>
      </c>
      <c r="AB64" s="4"/>
      <c r="AC64" s="4"/>
    </row>
    <row r="65" spans="1:29" s="30" customFormat="1" x14ac:dyDescent="0.25">
      <c r="A65" s="85"/>
      <c r="B65" s="27" t="s">
        <v>157</v>
      </c>
      <c r="C65" s="17" t="s">
        <v>59</v>
      </c>
      <c r="D65" s="28" t="s">
        <v>88</v>
      </c>
      <c r="E65" s="17" t="s">
        <v>158</v>
      </c>
      <c r="F65" s="29">
        <v>3010.6</v>
      </c>
      <c r="G65" s="19">
        <v>3006</v>
      </c>
      <c r="H65" s="19">
        <f t="shared" ref="H65:H72" si="89">G65-F65</f>
        <v>-4.5999999999999091</v>
      </c>
      <c r="I65" s="28" t="s">
        <v>159</v>
      </c>
      <c r="J65" s="17"/>
      <c r="K65" s="21"/>
      <c r="L65" s="21">
        <v>43122</v>
      </c>
      <c r="M65" s="28" t="s">
        <v>76</v>
      </c>
      <c r="N65" s="17"/>
      <c r="O65" s="3">
        <v>45.5</v>
      </c>
      <c r="P65" s="32"/>
      <c r="Q65" s="3"/>
      <c r="R65" s="3"/>
      <c r="S65" s="39"/>
      <c r="T65" s="39"/>
      <c r="U65" s="3"/>
      <c r="V65" s="17"/>
      <c r="W65" s="3"/>
      <c r="X65" s="3">
        <f t="shared" ref="X65:X70" si="90">((O65*F65)+Q65+R65+S65+U65)/G65</f>
        <v>45.56962741184298</v>
      </c>
      <c r="Y65" s="3">
        <f t="shared" ref="Y65:Y70" si="91">((O65*F65)+Q65+R65+S65+T65+U65)/G65+W65</f>
        <v>45.56962741184298</v>
      </c>
      <c r="Z65" s="25">
        <f t="shared" ref="Z65:Z70" si="92">Y65*G65</f>
        <v>136982.29999999999</v>
      </c>
      <c r="AA65" s="26">
        <v>43129</v>
      </c>
      <c r="AB65" s="4"/>
      <c r="AC65" s="4"/>
    </row>
    <row r="66" spans="1:29" s="30" customFormat="1" x14ac:dyDescent="0.25">
      <c r="A66" s="85"/>
      <c r="B66" s="27" t="s">
        <v>160</v>
      </c>
      <c r="C66" s="17" t="s">
        <v>59</v>
      </c>
      <c r="D66" s="28" t="s">
        <v>88</v>
      </c>
      <c r="E66" s="17" t="s">
        <v>161</v>
      </c>
      <c r="F66" s="29">
        <v>1007.14</v>
      </c>
      <c r="G66" s="19">
        <v>1007.14</v>
      </c>
      <c r="H66" s="19">
        <f t="shared" si="89"/>
        <v>0</v>
      </c>
      <c r="I66" s="28" t="s">
        <v>159</v>
      </c>
      <c r="J66" s="17"/>
      <c r="K66" s="21"/>
      <c r="L66" s="21">
        <v>43122</v>
      </c>
      <c r="M66" s="28" t="s">
        <v>76</v>
      </c>
      <c r="N66" s="17"/>
      <c r="O66" s="3">
        <v>45</v>
      </c>
      <c r="P66" s="32"/>
      <c r="Q66" s="3"/>
      <c r="R66" s="3"/>
      <c r="S66" s="39"/>
      <c r="T66" s="39"/>
      <c r="U66" s="3"/>
      <c r="V66" s="17"/>
      <c r="W66" s="3"/>
      <c r="X66" s="3">
        <f t="shared" si="90"/>
        <v>45</v>
      </c>
      <c r="Y66" s="3">
        <f t="shared" si="91"/>
        <v>45</v>
      </c>
      <c r="Z66" s="25">
        <f t="shared" si="92"/>
        <v>45321.3</v>
      </c>
      <c r="AA66" s="26">
        <v>43129</v>
      </c>
      <c r="AB66" s="4"/>
      <c r="AC66" s="4"/>
    </row>
    <row r="67" spans="1:29" s="30" customFormat="1" x14ac:dyDescent="0.25">
      <c r="A67" s="85"/>
      <c r="B67" s="27" t="s">
        <v>162</v>
      </c>
      <c r="C67" s="17" t="s">
        <v>163</v>
      </c>
      <c r="D67" s="28" t="s">
        <v>88</v>
      </c>
      <c r="E67" s="17" t="s">
        <v>164</v>
      </c>
      <c r="F67" s="29">
        <v>4011.28</v>
      </c>
      <c r="G67" s="19">
        <v>4008.38</v>
      </c>
      <c r="H67" s="19">
        <f t="shared" si="89"/>
        <v>-2.9000000000000909</v>
      </c>
      <c r="I67" s="28" t="s">
        <v>159</v>
      </c>
      <c r="J67" s="17"/>
      <c r="K67" s="21"/>
      <c r="L67" s="21">
        <v>43122</v>
      </c>
      <c r="M67" s="28" t="s">
        <v>76</v>
      </c>
      <c r="N67" s="17"/>
      <c r="O67" s="3">
        <v>91</v>
      </c>
      <c r="P67" s="32"/>
      <c r="Q67" s="3"/>
      <c r="R67" s="3"/>
      <c r="S67" s="39"/>
      <c r="T67" s="39"/>
      <c r="U67" s="3"/>
      <c r="V67" s="17"/>
      <c r="W67" s="3"/>
      <c r="X67" s="3">
        <f t="shared" si="90"/>
        <v>91.065837071335565</v>
      </c>
      <c r="Y67" s="3">
        <f t="shared" si="91"/>
        <v>91.065837071335565</v>
      </c>
      <c r="Z67" s="25">
        <f t="shared" si="92"/>
        <v>365026.48000000004</v>
      </c>
      <c r="AA67" s="26">
        <v>43129</v>
      </c>
      <c r="AB67" s="4"/>
      <c r="AC67" s="4"/>
    </row>
    <row r="68" spans="1:29" s="30" customFormat="1" x14ac:dyDescent="0.25">
      <c r="A68" s="85"/>
      <c r="B68" s="27" t="s">
        <v>165</v>
      </c>
      <c r="C68" s="17" t="s">
        <v>166</v>
      </c>
      <c r="D68" s="28" t="s">
        <v>88</v>
      </c>
      <c r="E68" s="17" t="s">
        <v>167</v>
      </c>
      <c r="F68" s="29">
        <v>534.29999999999995</v>
      </c>
      <c r="G68" s="19">
        <v>534.29999999999995</v>
      </c>
      <c r="H68" s="19">
        <f t="shared" si="89"/>
        <v>0</v>
      </c>
      <c r="I68" s="28" t="s">
        <v>159</v>
      </c>
      <c r="J68" s="17"/>
      <c r="K68" s="21"/>
      <c r="L68" s="21">
        <v>43122</v>
      </c>
      <c r="M68" s="28" t="s">
        <v>76</v>
      </c>
      <c r="N68" s="17"/>
      <c r="O68" s="3">
        <v>89</v>
      </c>
      <c r="P68" s="32"/>
      <c r="Q68" s="3"/>
      <c r="R68" s="3"/>
      <c r="S68" s="39"/>
      <c r="T68" s="39"/>
      <c r="U68" s="3"/>
      <c r="V68" s="17"/>
      <c r="W68" s="3"/>
      <c r="X68" s="3">
        <f t="shared" si="90"/>
        <v>89</v>
      </c>
      <c r="Y68" s="3">
        <f t="shared" si="91"/>
        <v>89</v>
      </c>
      <c r="Z68" s="25">
        <f t="shared" si="92"/>
        <v>47552.7</v>
      </c>
      <c r="AA68" s="26">
        <v>43129</v>
      </c>
      <c r="AB68" s="4"/>
      <c r="AC68" s="4"/>
    </row>
    <row r="69" spans="1:29" s="30" customFormat="1" x14ac:dyDescent="0.25">
      <c r="A69" s="85"/>
      <c r="B69" s="27" t="s">
        <v>168</v>
      </c>
      <c r="C69" s="17" t="s">
        <v>59</v>
      </c>
      <c r="D69" s="28" t="s">
        <v>88</v>
      </c>
      <c r="E69" s="17" t="s">
        <v>169</v>
      </c>
      <c r="F69" s="29">
        <v>204.15</v>
      </c>
      <c r="G69" s="19">
        <v>204.15</v>
      </c>
      <c r="H69" s="19">
        <f t="shared" si="89"/>
        <v>0</v>
      </c>
      <c r="I69" s="28" t="s">
        <v>159</v>
      </c>
      <c r="J69" s="17"/>
      <c r="K69" s="21"/>
      <c r="L69" s="21">
        <v>43122</v>
      </c>
      <c r="M69" s="28" t="s">
        <v>76</v>
      </c>
      <c r="N69" s="17"/>
      <c r="O69" s="3">
        <v>33</v>
      </c>
      <c r="P69" s="32"/>
      <c r="Q69" s="3"/>
      <c r="R69" s="3"/>
      <c r="S69" s="39"/>
      <c r="T69" s="39"/>
      <c r="U69" s="3"/>
      <c r="V69" s="17"/>
      <c r="W69" s="3"/>
      <c r="X69" s="3">
        <f t="shared" si="90"/>
        <v>33</v>
      </c>
      <c r="Y69" s="3">
        <f t="shared" si="91"/>
        <v>33</v>
      </c>
      <c r="Z69" s="25">
        <f t="shared" si="92"/>
        <v>6736.95</v>
      </c>
      <c r="AA69" s="26">
        <v>43129</v>
      </c>
      <c r="AB69" s="4"/>
      <c r="AC69" s="4"/>
    </row>
    <row r="70" spans="1:29" s="30" customFormat="1" x14ac:dyDescent="0.25">
      <c r="A70" s="85"/>
      <c r="B70" s="27" t="s">
        <v>170</v>
      </c>
      <c r="C70" s="17" t="s">
        <v>108</v>
      </c>
      <c r="D70" s="28" t="s">
        <v>88</v>
      </c>
      <c r="E70" s="17" t="s">
        <v>171</v>
      </c>
      <c r="F70" s="29">
        <v>503.57</v>
      </c>
      <c r="G70" s="19">
        <v>503.57</v>
      </c>
      <c r="H70" s="19">
        <f t="shared" si="89"/>
        <v>0</v>
      </c>
      <c r="I70" s="28" t="s">
        <v>159</v>
      </c>
      <c r="J70" s="17"/>
      <c r="K70" s="21"/>
      <c r="L70" s="21">
        <v>43122</v>
      </c>
      <c r="M70" s="28" t="s">
        <v>76</v>
      </c>
      <c r="N70" s="17"/>
      <c r="O70" s="3">
        <v>60</v>
      </c>
      <c r="P70" s="32"/>
      <c r="Q70" s="3"/>
      <c r="R70" s="3"/>
      <c r="S70" s="39"/>
      <c r="T70" s="39"/>
      <c r="U70" s="3"/>
      <c r="V70" s="17"/>
      <c r="W70" s="3"/>
      <c r="X70" s="3">
        <f t="shared" si="90"/>
        <v>60</v>
      </c>
      <c r="Y70" s="3">
        <f t="shared" si="91"/>
        <v>60</v>
      </c>
      <c r="Z70" s="25">
        <f t="shared" si="92"/>
        <v>30214.2</v>
      </c>
      <c r="AA70" s="26">
        <v>43129</v>
      </c>
      <c r="AB70" s="4"/>
      <c r="AC70" s="4"/>
    </row>
    <row r="71" spans="1:29" s="30" customFormat="1" x14ac:dyDescent="0.25">
      <c r="A71" s="85"/>
      <c r="B71" s="27" t="s">
        <v>35</v>
      </c>
      <c r="C71" s="17" t="s">
        <v>36</v>
      </c>
      <c r="D71" s="28" t="s">
        <v>36</v>
      </c>
      <c r="E71" s="17" t="s">
        <v>37</v>
      </c>
      <c r="F71" s="29">
        <f>41290*0.4536</f>
        <v>18729.144</v>
      </c>
      <c r="G71" s="19">
        <v>18635.099999999999</v>
      </c>
      <c r="H71" s="19">
        <f t="shared" si="89"/>
        <v>-94.044000000001688</v>
      </c>
      <c r="I71" s="28" t="s">
        <v>172</v>
      </c>
      <c r="J71" s="31" t="s">
        <v>45</v>
      </c>
      <c r="K71" s="21">
        <v>43122</v>
      </c>
      <c r="L71" s="21">
        <v>43123</v>
      </c>
      <c r="M71" s="28" t="s">
        <v>31</v>
      </c>
      <c r="N71" s="28" t="s">
        <v>173</v>
      </c>
      <c r="O71" s="3"/>
      <c r="P71" s="32">
        <f>0.6574+0.095</f>
        <v>0.75239999999999996</v>
      </c>
      <c r="Q71" s="33">
        <v>23000</v>
      </c>
      <c r="R71" s="47">
        <v>9500</v>
      </c>
      <c r="S71" s="35">
        <v>18.68</v>
      </c>
      <c r="T71" s="39">
        <f t="shared" ref="T71:T75" si="93">X71*F71*0.005</f>
        <v>3076.196660837491</v>
      </c>
      <c r="V71" s="3">
        <v>0.12</v>
      </c>
      <c r="W71" s="3">
        <v>0.3</v>
      </c>
      <c r="X71" s="3">
        <f t="shared" ref="X71:X72" si="94">IF(O71&gt;0,O71,((P71*2.2046*S71)+(Q71+R71)/G71)+V71)</f>
        <v>32.84930331933473</v>
      </c>
      <c r="Y71" s="3">
        <f t="shared" ref="Y71:Y72" si="95">IF(O71&gt;0,O71,((P71*2.2046*S71)+(Q71+R71+T71)/G71)+V71+W71)</f>
        <v>33.314378723321695</v>
      </c>
      <c r="Z71" s="25">
        <f t="shared" ref="Z71:Z72" si="96">Y71*F71</f>
        <v>623949.79637962824</v>
      </c>
      <c r="AA71" s="26">
        <v>43133</v>
      </c>
      <c r="AB71" s="4"/>
      <c r="AC71" s="4"/>
    </row>
    <row r="72" spans="1:29" s="30" customFormat="1" x14ac:dyDescent="0.25">
      <c r="A72" s="85"/>
      <c r="B72" s="27" t="s">
        <v>35</v>
      </c>
      <c r="C72" s="17" t="s">
        <v>59</v>
      </c>
      <c r="D72" s="28" t="s">
        <v>174</v>
      </c>
      <c r="E72" s="17" t="s">
        <v>37</v>
      </c>
      <c r="F72" s="29">
        <f>41362*0.4536</f>
        <v>18761.803199999998</v>
      </c>
      <c r="G72" s="19">
        <v>18689.96</v>
      </c>
      <c r="H72" s="19">
        <f t="shared" si="89"/>
        <v>-71.843199999999342</v>
      </c>
      <c r="I72" s="28" t="s">
        <v>175</v>
      </c>
      <c r="J72" s="31" t="s">
        <v>45</v>
      </c>
      <c r="K72" s="21">
        <v>43122</v>
      </c>
      <c r="L72" s="21">
        <v>43123</v>
      </c>
      <c r="M72" s="28" t="s">
        <v>31</v>
      </c>
      <c r="N72" s="28" t="s">
        <v>176</v>
      </c>
      <c r="O72" s="3"/>
      <c r="P72" s="32">
        <f>0.6574+0.105</f>
        <v>0.76239999999999997</v>
      </c>
      <c r="Q72" s="33">
        <v>23000</v>
      </c>
      <c r="R72" s="3">
        <v>9400</v>
      </c>
      <c r="S72" s="35">
        <v>18.777000000000001</v>
      </c>
      <c r="T72" s="39">
        <f t="shared" si="93"/>
        <v>3134.505315262124</v>
      </c>
      <c r="V72" s="3">
        <v>0.12</v>
      </c>
      <c r="W72" s="3">
        <v>0.3</v>
      </c>
      <c r="X72" s="3">
        <f t="shared" si="94"/>
        <v>33.413689311719509</v>
      </c>
      <c r="Y72" s="3">
        <f t="shared" si="95"/>
        <v>33.88139996039196</v>
      </c>
      <c r="Z72" s="25">
        <f t="shared" si="96"/>
        <v>635676.15819736174</v>
      </c>
      <c r="AA72" s="26">
        <v>43122</v>
      </c>
      <c r="AB72" s="4"/>
      <c r="AC72" s="4"/>
    </row>
    <row r="73" spans="1:29" s="30" customFormat="1" x14ac:dyDescent="0.25">
      <c r="A73" s="85"/>
      <c r="B73" s="27" t="s">
        <v>35</v>
      </c>
      <c r="C73" s="28" t="s">
        <v>47</v>
      </c>
      <c r="D73" s="28" t="s">
        <v>47</v>
      </c>
      <c r="E73" s="17" t="s">
        <v>37</v>
      </c>
      <c r="F73" s="29">
        <f>41540*0.4536</f>
        <v>18842.544000000002</v>
      </c>
      <c r="G73" s="19">
        <v>18796.330000000002</v>
      </c>
      <c r="H73" s="19">
        <f>G73-F73</f>
        <v>-46.213999999999942</v>
      </c>
      <c r="I73" s="28" t="s">
        <v>177</v>
      </c>
      <c r="J73" s="31" t="s">
        <v>45</v>
      </c>
      <c r="K73" s="21">
        <v>43122</v>
      </c>
      <c r="L73" s="21">
        <v>43123</v>
      </c>
      <c r="M73" s="28" t="s">
        <v>31</v>
      </c>
      <c r="N73" s="28" t="s">
        <v>178</v>
      </c>
      <c r="O73" s="3"/>
      <c r="P73" s="32">
        <f>0.6481+0.095</f>
        <v>0.74309999999999998</v>
      </c>
      <c r="Q73" s="33">
        <v>23000</v>
      </c>
      <c r="R73" s="3">
        <v>9400</v>
      </c>
      <c r="S73" s="35">
        <v>19.058</v>
      </c>
      <c r="T73" s="39">
        <f>X73*F73*0.005</f>
        <v>3115.1704855301255</v>
      </c>
      <c r="V73" s="3">
        <v>0.12</v>
      </c>
      <c r="W73" s="3">
        <v>0.3</v>
      </c>
      <c r="X73" s="3">
        <f>IF(O73&gt;0,O73,((P73*2.2046*S73)+(Q73+R73)/G73)+V73)</f>
        <v>33.065285510599047</v>
      </c>
      <c r="Y73" s="3">
        <f>IF(O73&gt;0,O73,((P73*2.2046*S73)+(Q73+R73+T73)/G73)+V73+W73)</f>
        <v>33.53101842151996</v>
      </c>
      <c r="Z73" s="25">
        <f>Y73*F73</f>
        <v>631809.68997230043</v>
      </c>
      <c r="AA73" s="26">
        <v>43116</v>
      </c>
      <c r="AB73" s="37"/>
      <c r="AC73" s="37"/>
    </row>
    <row r="74" spans="1:29" s="30" customFormat="1" x14ac:dyDescent="0.25">
      <c r="A74" s="85"/>
      <c r="B74" s="27" t="s">
        <v>51</v>
      </c>
      <c r="C74" s="17" t="s">
        <v>52</v>
      </c>
      <c r="D74" s="28" t="s">
        <v>114</v>
      </c>
      <c r="E74" s="17">
        <v>217</v>
      </c>
      <c r="F74" s="29">
        <v>27465</v>
      </c>
      <c r="G74" s="19">
        <f>14820+7240</f>
        <v>22060</v>
      </c>
      <c r="H74" s="19">
        <f>G74-F74</f>
        <v>-5405</v>
      </c>
      <c r="I74" s="28" t="s">
        <v>179</v>
      </c>
      <c r="J74" s="17"/>
      <c r="K74" s="21"/>
      <c r="L74" s="21">
        <v>43123</v>
      </c>
      <c r="M74" s="28" t="s">
        <v>31</v>
      </c>
      <c r="N74" s="17"/>
      <c r="O74" s="3">
        <v>30</v>
      </c>
      <c r="P74" s="32"/>
      <c r="Q74" s="38">
        <v>19800</v>
      </c>
      <c r="R74" s="3">
        <f>65*E74</f>
        <v>14105</v>
      </c>
      <c r="S74" s="39">
        <f>-38*E74</f>
        <v>-8246</v>
      </c>
      <c r="T74" s="39">
        <f t="shared" si="93"/>
        <v>5295.6279941069815</v>
      </c>
      <c r="U74" s="3">
        <f>E74*5</f>
        <v>1085</v>
      </c>
      <c r="V74" s="17"/>
      <c r="W74" s="3">
        <v>0.3</v>
      </c>
      <c r="X74" s="3">
        <f>((O74*F74)+Q74+R74+S74+U74)/G74</f>
        <v>38.562737987307344</v>
      </c>
      <c r="Y74" s="3">
        <f>((O74*F74)+Q74+R74+S74+T74+U74)/G74+W74</f>
        <v>39.102793653404667</v>
      </c>
      <c r="Z74" s="25">
        <f>Y74*G74</f>
        <v>862607.62799410697</v>
      </c>
      <c r="AA74" s="26">
        <v>43137</v>
      </c>
      <c r="AB74" s="37"/>
      <c r="AC74" s="37"/>
    </row>
    <row r="75" spans="1:29" s="30" customFormat="1" x14ac:dyDescent="0.25">
      <c r="A75" s="85"/>
      <c r="B75" s="27" t="s">
        <v>35</v>
      </c>
      <c r="C75" s="28" t="s">
        <v>59</v>
      </c>
      <c r="D75" s="28" t="s">
        <v>59</v>
      </c>
      <c r="E75" s="17" t="s">
        <v>60</v>
      </c>
      <c r="F75" s="29">
        <f>43538*0.4536</f>
        <v>19748.836800000001</v>
      </c>
      <c r="G75" s="19">
        <v>19741</v>
      </c>
      <c r="H75" s="19">
        <f>G75-F75</f>
        <v>-7.8368000000009488</v>
      </c>
      <c r="I75" s="30" t="s">
        <v>180</v>
      </c>
      <c r="J75" s="31" t="s">
        <v>102</v>
      </c>
      <c r="K75" s="21">
        <v>43123</v>
      </c>
      <c r="L75" s="21">
        <v>43124</v>
      </c>
      <c r="M75" s="28" t="s">
        <v>43</v>
      </c>
      <c r="N75" s="28" t="s">
        <v>176</v>
      </c>
      <c r="O75" s="3"/>
      <c r="P75" s="32">
        <v>0.75270000000000004</v>
      </c>
      <c r="Q75" s="33">
        <v>23000</v>
      </c>
      <c r="R75" s="3">
        <v>9400</v>
      </c>
      <c r="S75" s="35">
        <v>19.224</v>
      </c>
      <c r="T75" s="39">
        <f t="shared" si="93"/>
        <v>3323.8878525936943</v>
      </c>
      <c r="V75" s="3">
        <v>0.12</v>
      </c>
      <c r="W75" s="3">
        <v>0.3</v>
      </c>
      <c r="X75" s="3">
        <f>IF(O75&gt;0,O75,((P75*2.2046*S75)+(Q75+R75)/G75)+V75)</f>
        <v>33.661606364519592</v>
      </c>
      <c r="Y75" s="3">
        <f>IF(O75&gt;0,O75,((P75*2.2046*S75)+(Q75+R75+T75)/G75)+V75+W75)</f>
        <v>34.129981211416592</v>
      </c>
      <c r="Z75" s="25">
        <f>Y75*F75</f>
        <v>674027.42893133254</v>
      </c>
      <c r="AA75" s="26">
        <v>43116</v>
      </c>
      <c r="AB75" s="37"/>
      <c r="AC75" s="37"/>
    </row>
    <row r="76" spans="1:29" s="30" customFormat="1" x14ac:dyDescent="0.25">
      <c r="A76" s="85"/>
      <c r="B76" s="27" t="s">
        <v>35</v>
      </c>
      <c r="C76" s="28" t="s">
        <v>47</v>
      </c>
      <c r="D76" s="28" t="s">
        <v>47</v>
      </c>
      <c r="E76" s="17" t="s">
        <v>37</v>
      </c>
      <c r="F76" s="29">
        <f>41745*0.4536</f>
        <v>18935.531999999999</v>
      </c>
      <c r="G76" s="19">
        <v>18900.73</v>
      </c>
      <c r="H76" s="19">
        <f>G76-F76</f>
        <v>-34.80199999999968</v>
      </c>
      <c r="I76" s="28" t="s">
        <v>181</v>
      </c>
      <c r="J76" s="31" t="s">
        <v>45</v>
      </c>
      <c r="K76" s="21">
        <v>43123</v>
      </c>
      <c r="L76" s="21">
        <v>43124</v>
      </c>
      <c r="M76" s="28" t="s">
        <v>43</v>
      </c>
      <c r="N76" s="28" t="s">
        <v>173</v>
      </c>
      <c r="O76" s="3"/>
      <c r="P76" s="32">
        <f>0.6574+0.095</f>
        <v>0.75239999999999996</v>
      </c>
      <c r="Q76" s="33">
        <v>23000</v>
      </c>
      <c r="R76" s="3">
        <v>9400</v>
      </c>
      <c r="S76" s="35">
        <v>19.058</v>
      </c>
      <c r="T76" s="39">
        <f>X76*F76*0.005</f>
        <v>3166.6369463583624</v>
      </c>
      <c r="V76" s="3">
        <v>0.12</v>
      </c>
      <c r="W76" s="3">
        <v>0.3</v>
      </c>
      <c r="X76" s="3">
        <f>IF(O76&gt;0,O76,((P76*2.2046*S76)+(Q76+R76)/G76)+V76)</f>
        <v>33.446506244011125</v>
      </c>
      <c r="Y76" s="3">
        <f>IF(O76&gt;0,O76,((P76*2.2046*S76)+(Q76+R76+T76)/G76)+V76+W76)</f>
        <v>33.914046701250513</v>
      </c>
      <c r="Z76" s="25">
        <f>Y76*F76</f>
        <v>642180.51656102354</v>
      </c>
      <c r="AA76" s="26">
        <v>43116</v>
      </c>
      <c r="AB76" s="37"/>
      <c r="AC76" s="37"/>
    </row>
    <row r="77" spans="1:29" s="30" customFormat="1" x14ac:dyDescent="0.25">
      <c r="A77" s="85"/>
      <c r="B77" s="27" t="s">
        <v>51</v>
      </c>
      <c r="C77" s="17" t="s">
        <v>52</v>
      </c>
      <c r="D77" s="28" t="s">
        <v>135</v>
      </c>
      <c r="E77" s="17">
        <v>198</v>
      </c>
      <c r="F77" s="29">
        <v>23990</v>
      </c>
      <c r="G77" s="19">
        <v>19010</v>
      </c>
      <c r="H77" s="19">
        <f t="shared" ref="H77" si="97">G77-F77</f>
        <v>-4980</v>
      </c>
      <c r="I77" s="28" t="s">
        <v>182</v>
      </c>
      <c r="J77" s="17"/>
      <c r="K77" s="21"/>
      <c r="L77" s="21">
        <v>43124</v>
      </c>
      <c r="M77" s="28" t="s">
        <v>43</v>
      </c>
      <c r="N77" s="17"/>
      <c r="O77" s="3">
        <v>29.5</v>
      </c>
      <c r="P77" s="32"/>
      <c r="Q77" s="33">
        <v>19800</v>
      </c>
      <c r="R77" s="3">
        <f>65*E77</f>
        <v>12870</v>
      </c>
      <c r="S77" s="39">
        <f>-38*E77</f>
        <v>-7524</v>
      </c>
      <c r="T77" s="39">
        <f>X77*F77*0.0045</f>
        <v>4167.375336927932</v>
      </c>
      <c r="U77" s="3">
        <f>E77*5</f>
        <v>990</v>
      </c>
      <c r="V77" s="17"/>
      <c r="W77" s="3">
        <v>0.3</v>
      </c>
      <c r="X77" s="3">
        <f>((O77*F77)+Q77+R77+S77+U77)/G77</f>
        <v>38.60289321409784</v>
      </c>
      <c r="Y77" s="3">
        <f t="shared" ref="Y77" si="98">((O77*F77)+Q77+R77+S77+T77+U77)/G77+W77</f>
        <v>39.122113379112463</v>
      </c>
      <c r="Z77" s="25">
        <f>Y77*G77</f>
        <v>743711.37533692794</v>
      </c>
      <c r="AA77" s="26">
        <v>43138</v>
      </c>
      <c r="AB77" s="37"/>
      <c r="AC77" s="37"/>
    </row>
    <row r="78" spans="1:29" s="30" customFormat="1" x14ac:dyDescent="0.25">
      <c r="A78" s="85"/>
      <c r="B78" s="27" t="s">
        <v>35</v>
      </c>
      <c r="C78" s="28" t="s">
        <v>59</v>
      </c>
      <c r="D78" s="28" t="s">
        <v>59</v>
      </c>
      <c r="E78" s="17" t="s">
        <v>60</v>
      </c>
      <c r="F78" s="29">
        <f>43271*0.4536</f>
        <v>19627.725600000002</v>
      </c>
      <c r="G78" s="19">
        <v>19584.580000000002</v>
      </c>
      <c r="H78" s="19">
        <f>G78-F78</f>
        <v>-43.145599999999831</v>
      </c>
      <c r="I78" s="30" t="s">
        <v>183</v>
      </c>
      <c r="J78" s="31" t="s">
        <v>45</v>
      </c>
      <c r="K78" s="21">
        <v>43124</v>
      </c>
      <c r="L78" s="21">
        <v>43125</v>
      </c>
      <c r="M78" s="28" t="s">
        <v>40</v>
      </c>
      <c r="N78" s="28" t="s">
        <v>184</v>
      </c>
      <c r="O78" s="3"/>
      <c r="P78" s="32">
        <f>0.6641+0.105</f>
        <v>0.76910000000000001</v>
      </c>
      <c r="Q78" s="33">
        <v>23000</v>
      </c>
      <c r="R78" s="3">
        <v>9400</v>
      </c>
      <c r="S78" s="35">
        <v>18.856999999999999</v>
      </c>
      <c r="T78" s="39">
        <f>X78*F78*0.005</f>
        <v>3311.9330869000255</v>
      </c>
      <c r="V78" s="3">
        <v>0.12</v>
      </c>
      <c r="W78" s="3">
        <v>0.3</v>
      </c>
      <c r="X78" s="3">
        <f>IF(O78&gt;0,O78,((P78*2.2046*S78)+(Q78+R72)/G78)+V78)</f>
        <v>33.747497335096483</v>
      </c>
      <c r="Y78" s="3">
        <f>IF(O78&gt;0,O78,((P78*2.2046*S78)+(Q78+R76+T78)/G78)+V78+W78)</f>
        <v>34.216606557091545</v>
      </c>
      <c r="Z78" s="25">
        <f>Y78*F78</f>
        <v>671594.16446575359</v>
      </c>
      <c r="AA78" s="26">
        <v>43118</v>
      </c>
      <c r="AB78" s="37"/>
      <c r="AC78" s="37"/>
    </row>
    <row r="79" spans="1:29" s="30" customFormat="1" x14ac:dyDescent="0.25">
      <c r="A79" s="85"/>
      <c r="B79" s="27" t="s">
        <v>51</v>
      </c>
      <c r="C79" s="17" t="s">
        <v>52</v>
      </c>
      <c r="D79" s="28" t="s">
        <v>64</v>
      </c>
      <c r="E79" s="17">
        <v>231</v>
      </c>
      <c r="F79" s="29">
        <v>27930</v>
      </c>
      <c r="G79" s="19">
        <v>23040</v>
      </c>
      <c r="H79" s="19">
        <f t="shared" ref="H79:H80" si="99">G79-F79</f>
        <v>-4890</v>
      </c>
      <c r="I79" s="28" t="s">
        <v>185</v>
      </c>
      <c r="J79" s="17"/>
      <c r="K79" s="21"/>
      <c r="L79" s="21">
        <v>43125</v>
      </c>
      <c r="M79" s="28" t="s">
        <v>40</v>
      </c>
      <c r="N79" s="17"/>
      <c r="O79" s="3">
        <v>29.5</v>
      </c>
      <c r="P79" s="32"/>
      <c r="Q79" s="38">
        <v>19800</v>
      </c>
      <c r="R79" s="3">
        <f t="shared" ref="R79:R80" si="100">65*E79</f>
        <v>15015</v>
      </c>
      <c r="S79" s="39">
        <f t="shared" ref="S79:S80" si="101">-38*E79</f>
        <v>-8778</v>
      </c>
      <c r="T79" s="39">
        <f t="shared" ref="T79:T80" si="102">X79*F79*0.0045</f>
        <v>4642.9642792968743</v>
      </c>
      <c r="U79" s="3">
        <f t="shared" ref="U79:U80" si="103">E79*5</f>
        <v>1155</v>
      </c>
      <c r="V79" s="17"/>
      <c r="W79" s="3">
        <v>0.3</v>
      </c>
      <c r="X79" s="3">
        <f t="shared" ref="X79:X80" si="104">((O79*F79)+Q79+R79+S79+U79)/G79</f>
        <v>36.941276041666669</v>
      </c>
      <c r="Y79" s="3">
        <f t="shared" ref="Y79:Y80" si="105">((O79*F79)+Q79+R79+S79+T79+U79)/G79+W79</f>
        <v>37.442793588511151</v>
      </c>
      <c r="Z79" s="25">
        <f t="shared" ref="Z79:Z80" si="106">Y79*G79</f>
        <v>862681.96427929692</v>
      </c>
      <c r="AA79" s="26">
        <v>43138</v>
      </c>
      <c r="AB79" s="37"/>
      <c r="AC79" s="37"/>
    </row>
    <row r="80" spans="1:29" s="30" customFormat="1" x14ac:dyDescent="0.25">
      <c r="A80" s="85"/>
      <c r="B80" s="27" t="s">
        <v>51</v>
      </c>
      <c r="C80" s="17" t="s">
        <v>52</v>
      </c>
      <c r="D80" s="28" t="s">
        <v>55</v>
      </c>
      <c r="E80" s="17">
        <v>130</v>
      </c>
      <c r="F80" s="29">
        <v>16500</v>
      </c>
      <c r="G80" s="19">
        <v>12890</v>
      </c>
      <c r="H80" s="19">
        <f t="shared" si="99"/>
        <v>-3610</v>
      </c>
      <c r="I80" s="28" t="s">
        <v>186</v>
      </c>
      <c r="J80" s="17"/>
      <c r="K80" s="21"/>
      <c r="L80" s="21">
        <v>43125</v>
      </c>
      <c r="M80" s="28" t="s">
        <v>40</v>
      </c>
      <c r="N80" s="17"/>
      <c r="O80" s="3">
        <v>29.5</v>
      </c>
      <c r="P80" s="32"/>
      <c r="Q80" s="33">
        <v>15700</v>
      </c>
      <c r="R80" s="3">
        <f t="shared" si="100"/>
        <v>8450</v>
      </c>
      <c r="S80" s="39">
        <f t="shared" si="101"/>
        <v>-4940</v>
      </c>
      <c r="T80" s="39">
        <f t="shared" si="102"/>
        <v>2918.2150892164464</v>
      </c>
      <c r="U80" s="3">
        <f t="shared" si="103"/>
        <v>650</v>
      </c>
      <c r="V80" s="17"/>
      <c r="W80" s="3">
        <v>0.3</v>
      </c>
      <c r="X80" s="3">
        <f t="shared" si="104"/>
        <v>39.302560124127233</v>
      </c>
      <c r="Y80" s="3">
        <f t="shared" si="105"/>
        <v>39.828953847107556</v>
      </c>
      <c r="Z80" s="25">
        <f t="shared" si="106"/>
        <v>513395.21508921642</v>
      </c>
      <c r="AA80" s="26">
        <v>43138</v>
      </c>
      <c r="AB80" s="37"/>
      <c r="AC80" s="37"/>
    </row>
    <row r="81" spans="1:29" s="30" customFormat="1" x14ac:dyDescent="0.25">
      <c r="A81" s="85"/>
      <c r="B81" s="27" t="s">
        <v>35</v>
      </c>
      <c r="C81" s="28" t="s">
        <v>36</v>
      </c>
      <c r="D81" s="28" t="s">
        <v>36</v>
      </c>
      <c r="E81" s="17" t="s">
        <v>37</v>
      </c>
      <c r="F81" s="29">
        <f>42481*0.4536</f>
        <v>19269.381600000001</v>
      </c>
      <c r="G81" s="19">
        <v>19226.12</v>
      </c>
      <c r="H81" s="19">
        <f>G81-F81</f>
        <v>-43.261600000001636</v>
      </c>
      <c r="I81" s="30" t="s">
        <v>187</v>
      </c>
      <c r="J81" s="31" t="s">
        <v>45</v>
      </c>
      <c r="K81" s="21">
        <v>43125</v>
      </c>
      <c r="L81" s="21">
        <v>43126</v>
      </c>
      <c r="M81" s="28" t="s">
        <v>66</v>
      </c>
      <c r="N81" s="28" t="s">
        <v>188</v>
      </c>
      <c r="O81" s="3"/>
      <c r="P81" s="32">
        <f>0.6641+0.095</f>
        <v>0.7591</v>
      </c>
      <c r="Q81" s="33">
        <v>23000</v>
      </c>
      <c r="R81" s="47">
        <v>9500</v>
      </c>
      <c r="S81" s="35">
        <v>18.425000000000001</v>
      </c>
      <c r="T81" s="39">
        <f>X81*F81*0.005</f>
        <v>3145.2317753164425</v>
      </c>
      <c r="V81" s="3">
        <v>0.12</v>
      </c>
      <c r="W81" s="3">
        <v>0.3</v>
      </c>
      <c r="X81" s="3">
        <f t="shared" ref="X81" si="107">IF(O81&gt;0,O81,((P81*2.2046*S81)+(Q81+R81)/G81)+V81)</f>
        <v>32.644864693700832</v>
      </c>
      <c r="Y81" s="3">
        <f t="shared" ref="Y81" si="108">IF(O81&gt;0,O81,((P81*2.2046*S81)+(Q81+R81+T81)/G81)+V81+W81)</f>
        <v>33.108456295923041</v>
      </c>
      <c r="Z81" s="25">
        <f t="shared" ref="Z81" si="109">Y81*F81</f>
        <v>637979.47855306359</v>
      </c>
      <c r="AA81" s="26">
        <v>43137</v>
      </c>
      <c r="AB81" s="37"/>
      <c r="AC81" s="37"/>
    </row>
    <row r="82" spans="1:29" s="30" customFormat="1" x14ac:dyDescent="0.25">
      <c r="A82" s="85"/>
      <c r="B82" s="27" t="s">
        <v>51</v>
      </c>
      <c r="C82" s="17" t="s">
        <v>189</v>
      </c>
      <c r="D82" s="28" t="s">
        <v>189</v>
      </c>
      <c r="E82" s="17">
        <v>250</v>
      </c>
      <c r="F82" s="29">
        <v>21034.799999999999</v>
      </c>
      <c r="G82" s="19">
        <v>20930</v>
      </c>
      <c r="H82" s="19">
        <f t="shared" ref="H82:H83" si="110">G82-F82</f>
        <v>-104.79999999999927</v>
      </c>
      <c r="I82" s="28" t="s">
        <v>190</v>
      </c>
      <c r="J82" s="17"/>
      <c r="K82" s="21"/>
      <c r="L82" s="21">
        <v>43126</v>
      </c>
      <c r="M82" s="28" t="s">
        <v>66</v>
      </c>
      <c r="N82" s="17"/>
      <c r="O82" s="3">
        <v>39.799999999999997</v>
      </c>
      <c r="P82" s="32"/>
      <c r="Q82" s="3"/>
      <c r="R82" s="3"/>
      <c r="S82" s="39"/>
      <c r="T82" s="39"/>
      <c r="U82" s="3"/>
      <c r="V82" s="17"/>
      <c r="W82" s="3">
        <v>0.3</v>
      </c>
      <c r="X82" s="3">
        <f>((O82*F82)+Q82+R82+S82+U82)/G82</f>
        <v>39.999285236502622</v>
      </c>
      <c r="Y82" s="3">
        <f t="shared" ref="Y82:Y83" si="111">((O82*F82)+Q82+R82+S82+T82+U82)/G82+W82</f>
        <v>40.29928523650262</v>
      </c>
      <c r="Z82" s="25">
        <f t="shared" ref="Z82:Z83" si="112">Y82*G82</f>
        <v>843464.0399999998</v>
      </c>
      <c r="AA82" s="26">
        <v>43133</v>
      </c>
      <c r="AB82" s="4"/>
      <c r="AC82" s="4"/>
    </row>
    <row r="83" spans="1:29" s="30" customFormat="1" x14ac:dyDescent="0.25">
      <c r="A83" s="85"/>
      <c r="B83" s="27" t="s">
        <v>51</v>
      </c>
      <c r="C83" s="17" t="s">
        <v>52</v>
      </c>
      <c r="D83" s="28" t="s">
        <v>64</v>
      </c>
      <c r="E83" s="17">
        <v>130</v>
      </c>
      <c r="F83" s="29">
        <v>15260</v>
      </c>
      <c r="G83" s="19">
        <v>12380</v>
      </c>
      <c r="H83" s="19">
        <f t="shared" si="110"/>
        <v>-2880</v>
      </c>
      <c r="I83" s="28" t="s">
        <v>191</v>
      </c>
      <c r="J83" s="17"/>
      <c r="K83" s="21"/>
      <c r="L83" s="21">
        <v>43126</v>
      </c>
      <c r="M83" s="28" t="s">
        <v>66</v>
      </c>
      <c r="N83" s="17"/>
      <c r="O83" s="3">
        <v>29.5</v>
      </c>
      <c r="P83" s="32"/>
      <c r="Q83" s="33">
        <v>15700</v>
      </c>
      <c r="R83" s="3">
        <f t="shared" ref="R83" si="113">65*E83</f>
        <v>8450</v>
      </c>
      <c r="S83" s="39">
        <f t="shared" ref="S83" si="114">-38*E83</f>
        <v>-4940</v>
      </c>
      <c r="T83" s="39">
        <f>X83*F83*0.0045</f>
        <v>2607.1857915993533</v>
      </c>
      <c r="U83" s="3">
        <f>E83*5</f>
        <v>650</v>
      </c>
      <c r="V83" s="17"/>
      <c r="W83" s="3">
        <v>0.3</v>
      </c>
      <c r="X83" s="3">
        <f>((O83*F83)+Q83+R83+S83+U83)/G83</f>
        <v>37.966882067851373</v>
      </c>
      <c r="Y83" s="3">
        <f t="shared" si="111"/>
        <v>38.477478658449051</v>
      </c>
      <c r="Z83" s="25">
        <f t="shared" si="112"/>
        <v>476351.18579159927</v>
      </c>
      <c r="AA83" s="26">
        <v>43139</v>
      </c>
      <c r="AB83" s="4"/>
      <c r="AC83" s="4"/>
    </row>
    <row r="84" spans="1:29" s="30" customFormat="1" x14ac:dyDescent="0.25">
      <c r="A84" s="85"/>
      <c r="B84" s="27" t="s">
        <v>35</v>
      </c>
      <c r="C84" s="28" t="s">
        <v>59</v>
      </c>
      <c r="D84" s="28" t="s">
        <v>59</v>
      </c>
      <c r="E84" s="17" t="s">
        <v>60</v>
      </c>
      <c r="F84" s="29">
        <f>43180*0.4536</f>
        <v>19586.448</v>
      </c>
      <c r="G84" s="19">
        <v>19537.689999999999</v>
      </c>
      <c r="H84" s="19">
        <f>G84-F84</f>
        <v>-48.75800000000163</v>
      </c>
      <c r="I84" s="30" t="s">
        <v>192</v>
      </c>
      <c r="J84" s="31" t="s">
        <v>45</v>
      </c>
      <c r="K84" s="21">
        <v>43126</v>
      </c>
      <c r="L84" s="21">
        <v>43127</v>
      </c>
      <c r="M84" s="28" t="s">
        <v>62</v>
      </c>
      <c r="N84" s="28" t="s">
        <v>193</v>
      </c>
      <c r="O84" s="3"/>
      <c r="P84" s="32">
        <f>0.6951+0.105</f>
        <v>0.80010000000000003</v>
      </c>
      <c r="Q84" s="33">
        <v>23000</v>
      </c>
      <c r="R84" s="3">
        <v>9400</v>
      </c>
      <c r="S84" s="35">
        <v>18.66</v>
      </c>
      <c r="T84" s="39">
        <f t="shared" ref="T84" si="115">X84*F84*0.005</f>
        <v>3397.5353684800339</v>
      </c>
      <c r="V84" s="3">
        <v>0.12</v>
      </c>
      <c r="W84" s="3">
        <v>0.3</v>
      </c>
      <c r="X84" s="3">
        <f>IF(O84&gt;0,O84,((P84*2.2046*S84)+(Q84+R84)/G84)+V84)</f>
        <v>34.692715784710266</v>
      </c>
      <c r="Y84" s="3">
        <f>IF(O84&gt;0,O84,((P84*2.2046*S84)+(Q84+R84+T84)/G84)+V84+W84)</f>
        <v>35.166612257040413</v>
      </c>
      <c r="Z84" s="25">
        <f>Y84*F84</f>
        <v>688789.02230868465</v>
      </c>
      <c r="AA84" s="26">
        <v>43122</v>
      </c>
      <c r="AB84" s="37"/>
      <c r="AC84" s="37"/>
    </row>
    <row r="85" spans="1:29" s="30" customFormat="1" x14ac:dyDescent="0.25">
      <c r="A85" s="85"/>
      <c r="B85" s="27" t="s">
        <v>82</v>
      </c>
      <c r="C85" s="28" t="s">
        <v>59</v>
      </c>
      <c r="D85" s="28" t="s">
        <v>83</v>
      </c>
      <c r="E85" s="17" t="s">
        <v>194</v>
      </c>
      <c r="F85" s="29">
        <v>901.7</v>
      </c>
      <c r="G85" s="19">
        <v>901.7</v>
      </c>
      <c r="H85" s="19">
        <f>G85-F85</f>
        <v>0</v>
      </c>
      <c r="I85" s="71" t="s">
        <v>195</v>
      </c>
      <c r="J85" s="17"/>
      <c r="K85" s="21"/>
      <c r="L85" s="21">
        <v>43127</v>
      </c>
      <c r="M85" s="28" t="s">
        <v>62</v>
      </c>
      <c r="N85" s="28"/>
      <c r="O85" s="3">
        <v>19</v>
      </c>
      <c r="P85" s="32"/>
      <c r="Q85" s="3"/>
      <c r="R85" s="3"/>
      <c r="S85" s="35"/>
      <c r="T85" s="39"/>
      <c r="V85" s="3"/>
      <c r="W85" s="3"/>
      <c r="X85" s="3">
        <f>IF(O85&gt;0,O85,((P85*2.2046*S85)+(Q85+R85)/G85)+V85)</f>
        <v>19</v>
      </c>
      <c r="Y85" s="3">
        <f>IF(O85&gt;0,O85,((P85*2.2046*S85)+(Q85+R85+T85)/G85)+V85+W85)</f>
        <v>19</v>
      </c>
      <c r="Z85" s="25">
        <f>Y85*F85</f>
        <v>17132.3</v>
      </c>
      <c r="AA85" s="26">
        <v>43137</v>
      </c>
      <c r="AB85" s="37"/>
      <c r="AC85" s="37"/>
    </row>
    <row r="86" spans="1:29" s="30" customFormat="1" ht="15.75" thickBot="1" x14ac:dyDescent="0.3">
      <c r="A86" s="86"/>
      <c r="B86" s="54"/>
      <c r="C86" s="6"/>
      <c r="D86" s="6"/>
      <c r="E86" s="6"/>
      <c r="F86" s="55"/>
      <c r="G86" s="55"/>
      <c r="H86" s="55"/>
      <c r="I86" s="9"/>
      <c r="J86" s="6"/>
      <c r="K86" s="10"/>
      <c r="L86" s="10"/>
      <c r="M86" s="6"/>
      <c r="N86" s="6"/>
      <c r="O86" s="11"/>
      <c r="P86" s="12"/>
      <c r="Q86" s="11"/>
      <c r="R86" s="11"/>
      <c r="S86" s="11"/>
      <c r="T86" s="11"/>
      <c r="U86" s="11"/>
      <c r="V86" s="11"/>
      <c r="W86" s="11"/>
      <c r="X86" s="11"/>
      <c r="Y86" s="11"/>
      <c r="Z86" s="15"/>
      <c r="AA86" s="56"/>
      <c r="AB86" s="4"/>
      <c r="AC86" s="4"/>
    </row>
    <row r="87" spans="1:29" s="30" customFormat="1" x14ac:dyDescent="0.25">
      <c r="A87" s="87"/>
      <c r="B87" s="58" t="s">
        <v>51</v>
      </c>
      <c r="C87" s="58" t="s">
        <v>52</v>
      </c>
      <c r="D87" s="59" t="s">
        <v>196</v>
      </c>
      <c r="E87" s="58">
        <f>250+10</f>
        <v>260</v>
      </c>
      <c r="F87" s="60">
        <f>29005+1120</f>
        <v>30125</v>
      </c>
      <c r="G87" s="61">
        <f>12140+12040</f>
        <v>24180</v>
      </c>
      <c r="H87" s="19">
        <f t="shared" ref="H87" si="116">G87-F87</f>
        <v>-5945</v>
      </c>
      <c r="I87" s="62" t="s">
        <v>197</v>
      </c>
      <c r="J87" s="58"/>
      <c r="K87" s="63"/>
      <c r="L87" s="63">
        <v>43128</v>
      </c>
      <c r="M87" s="59" t="s">
        <v>72</v>
      </c>
      <c r="N87" s="58"/>
      <c r="O87" s="64">
        <v>29.5</v>
      </c>
      <c r="P87" s="65"/>
      <c r="Q87" s="66">
        <v>19800</v>
      </c>
      <c r="R87" s="64">
        <f t="shared" ref="R87" si="117">65*E87</f>
        <v>16900</v>
      </c>
      <c r="S87" s="64">
        <f t="shared" ref="S87" si="118">-38*E87</f>
        <v>-9880</v>
      </c>
      <c r="T87" s="84">
        <f>X87*F87*0.0045</f>
        <v>5139.9800131823822</v>
      </c>
      <c r="U87" s="64">
        <f>E87*5</f>
        <v>1300</v>
      </c>
      <c r="V87" s="58"/>
      <c r="W87" s="64">
        <v>0.3</v>
      </c>
      <c r="X87" s="64">
        <f>((O87*F87)+Q87+R87+S87+U87)/G87</f>
        <v>37.915942928039705</v>
      </c>
      <c r="Y87" s="68">
        <f t="shared" ref="Y87" si="119">((O87*F87)+Q87+R87+S87+T87+U87)/G87+W87</f>
        <v>38.428514475317712</v>
      </c>
      <c r="Z87" s="68">
        <f>Y87*G87</f>
        <v>929201.48001318227</v>
      </c>
      <c r="AA87" s="69">
        <v>43143</v>
      </c>
      <c r="AB87" s="4"/>
      <c r="AC87" s="4"/>
    </row>
    <row r="88" spans="1:29" s="30" customFormat="1" x14ac:dyDescent="0.25">
      <c r="A88" s="88"/>
      <c r="B88" s="27" t="s">
        <v>51</v>
      </c>
      <c r="C88" s="17" t="s">
        <v>52</v>
      </c>
      <c r="D88" s="28" t="s">
        <v>198</v>
      </c>
      <c r="E88" s="17">
        <v>130</v>
      </c>
      <c r="F88" s="29">
        <v>14320</v>
      </c>
      <c r="G88" s="19">
        <v>11320</v>
      </c>
      <c r="H88" s="19">
        <f>G88-F88</f>
        <v>-3000</v>
      </c>
      <c r="I88" s="28" t="s">
        <v>199</v>
      </c>
      <c r="J88" s="17"/>
      <c r="K88" s="21"/>
      <c r="L88" s="21">
        <v>43129</v>
      </c>
      <c r="M88" s="28" t="s">
        <v>76</v>
      </c>
      <c r="N88" s="17"/>
      <c r="O88" s="3">
        <v>29.5</v>
      </c>
      <c r="P88" s="32"/>
      <c r="Q88" s="33">
        <v>15700</v>
      </c>
      <c r="R88" s="3">
        <f>65*E88</f>
        <v>8450</v>
      </c>
      <c r="S88" s="39">
        <f>-38*E88</f>
        <v>-4940</v>
      </c>
      <c r="T88" s="39">
        <f>X88*F88*0.0045</f>
        <v>2517.8279151943461</v>
      </c>
      <c r="U88" s="3">
        <f>E88*5</f>
        <v>650</v>
      </c>
      <c r="V88" s="17"/>
      <c r="W88" s="3">
        <v>0.3</v>
      </c>
      <c r="X88" s="3">
        <f>((O88*F88)+Q88+R88+S88+U88)/G88</f>
        <v>39.072438162544167</v>
      </c>
      <c r="Y88" s="3">
        <f>((O88*F88)+Q88+R88+S88+T88+U88)/G88+W88</f>
        <v>39.594861123250382</v>
      </c>
      <c r="Z88" s="25">
        <f>Y88*G88</f>
        <v>448213.82791519433</v>
      </c>
      <c r="AA88" s="26">
        <v>43143</v>
      </c>
      <c r="AB88" s="4"/>
      <c r="AC88" s="89"/>
    </row>
    <row r="89" spans="1:29" s="30" customFormat="1" x14ac:dyDescent="0.25">
      <c r="A89" s="88"/>
      <c r="B89" s="27" t="s">
        <v>35</v>
      </c>
      <c r="C89" s="17" t="s">
        <v>36</v>
      </c>
      <c r="D89" s="28" t="s">
        <v>36</v>
      </c>
      <c r="E89" s="17" t="s">
        <v>37</v>
      </c>
      <c r="F89" s="29">
        <f>41396*0.4536</f>
        <v>18777.225600000002</v>
      </c>
      <c r="G89" s="19">
        <v>18658.04</v>
      </c>
      <c r="H89" s="19">
        <f t="shared" ref="H89:H91" si="120">G89-F89</f>
        <v>-119.1856000000007</v>
      </c>
      <c r="I89" s="28" t="s">
        <v>200</v>
      </c>
      <c r="J89" s="31" t="s">
        <v>45</v>
      </c>
      <c r="K89" s="21">
        <v>43129</v>
      </c>
      <c r="L89" s="21">
        <v>43130</v>
      </c>
      <c r="M89" s="28" t="s">
        <v>31</v>
      </c>
      <c r="N89" s="28" t="s">
        <v>201</v>
      </c>
      <c r="O89" s="3"/>
      <c r="P89" s="32">
        <f>0.7082+0.095</f>
        <v>0.80320000000000003</v>
      </c>
      <c r="Q89" s="33">
        <v>23000</v>
      </c>
      <c r="R89" s="47">
        <v>9500</v>
      </c>
      <c r="S89" s="35">
        <v>18.681000000000001</v>
      </c>
      <c r="T89" s="39">
        <f t="shared" ref="T89:T92" si="121">X89*F89*0.005</f>
        <v>3280.4725441593787</v>
      </c>
      <c r="V89" s="3">
        <v>0.12</v>
      </c>
      <c r="W89" s="3">
        <v>0.3</v>
      </c>
      <c r="X89" s="3">
        <f t="shared" ref="X89:X91" si="122">IF(O89&gt;0,O89,((P89*2.2046*S89)+(Q89+R89)/G89)+V89)</f>
        <v>34.940971728638957</v>
      </c>
      <c r="Y89" s="3">
        <f t="shared" ref="Y89:Y91" si="123">IF(O89&gt;0,O89,((P89*2.2046*S89)+(Q89+R89+T89)/G89)+V89+W89)</f>
        <v>35.416792583571166</v>
      </c>
      <c r="Z89" s="25">
        <f t="shared" ref="Z89:Z91" si="124">Y89*F89</f>
        <v>665029.10437012266</v>
      </c>
      <c r="AA89" s="26">
        <v>43140</v>
      </c>
      <c r="AB89" s="4"/>
      <c r="AC89" s="89"/>
    </row>
    <row r="90" spans="1:29" s="30" customFormat="1" x14ac:dyDescent="0.25">
      <c r="A90" s="88"/>
      <c r="B90" s="27" t="s">
        <v>35</v>
      </c>
      <c r="C90" s="17" t="s">
        <v>47</v>
      </c>
      <c r="D90" s="28" t="s">
        <v>47</v>
      </c>
      <c r="E90" s="17" t="s">
        <v>37</v>
      </c>
      <c r="F90" s="29">
        <f>41265*0.4536</f>
        <v>18717.804</v>
      </c>
      <c r="G90" s="19">
        <v>18701.5</v>
      </c>
      <c r="H90" s="19">
        <f t="shared" si="120"/>
        <v>-16.304000000000087</v>
      </c>
      <c r="I90" s="28" t="s">
        <v>202</v>
      </c>
      <c r="J90" s="31" t="s">
        <v>45</v>
      </c>
      <c r="K90" s="21">
        <v>43129</v>
      </c>
      <c r="L90" s="21">
        <v>43130</v>
      </c>
      <c r="M90" s="28" t="s">
        <v>31</v>
      </c>
      <c r="N90" s="28" t="s">
        <v>201</v>
      </c>
      <c r="O90" s="3"/>
      <c r="P90" s="32">
        <f>0.7082+0.095</f>
        <v>0.80320000000000003</v>
      </c>
      <c r="Q90" s="33">
        <v>23000</v>
      </c>
      <c r="R90" s="3">
        <v>9400</v>
      </c>
      <c r="S90" s="35">
        <v>18.777000000000001</v>
      </c>
      <c r="T90" s="39">
        <f t="shared" si="121"/>
        <v>3285.1212737016854</v>
      </c>
      <c r="V90" s="3">
        <v>0.12</v>
      </c>
      <c r="W90" s="3">
        <v>0.3</v>
      </c>
      <c r="X90" s="3">
        <f t="shared" si="122"/>
        <v>35.10156718920323</v>
      </c>
      <c r="Y90" s="3">
        <f t="shared" si="123"/>
        <v>35.577228033183751</v>
      </c>
      <c r="Z90" s="25">
        <f t="shared" si="124"/>
        <v>665927.58118843893</v>
      </c>
      <c r="AA90" s="26">
        <v>43123</v>
      </c>
      <c r="AB90" s="4"/>
      <c r="AC90" s="89"/>
    </row>
    <row r="91" spans="1:29" s="30" customFormat="1" x14ac:dyDescent="0.25">
      <c r="A91" s="88"/>
      <c r="B91" s="27" t="s">
        <v>35</v>
      </c>
      <c r="C91" s="17" t="s">
        <v>47</v>
      </c>
      <c r="D91" s="28" t="s">
        <v>174</v>
      </c>
      <c r="E91" s="17" t="s">
        <v>37</v>
      </c>
      <c r="F91" s="29">
        <f>41591*0.4536</f>
        <v>18865.677599999999</v>
      </c>
      <c r="G91" s="19">
        <v>18928.599999999999</v>
      </c>
      <c r="H91" s="19">
        <f t="shared" si="120"/>
        <v>62.92239999999947</v>
      </c>
      <c r="I91" s="28" t="s">
        <v>203</v>
      </c>
      <c r="J91" s="31" t="s">
        <v>45</v>
      </c>
      <c r="K91" s="21">
        <v>43129</v>
      </c>
      <c r="L91" s="21">
        <v>43130</v>
      </c>
      <c r="M91" s="28" t="s">
        <v>31</v>
      </c>
      <c r="N91" s="28" t="s">
        <v>204</v>
      </c>
      <c r="O91" s="3"/>
      <c r="P91" s="32">
        <f>0.7082+0.105</f>
        <v>0.81320000000000003</v>
      </c>
      <c r="Q91" s="33">
        <v>23000</v>
      </c>
      <c r="R91" s="3">
        <v>9400</v>
      </c>
      <c r="S91" s="35">
        <v>18.617999999999999</v>
      </c>
      <c r="T91" s="39">
        <f t="shared" si="121"/>
        <v>3321.2730142869354</v>
      </c>
      <c r="V91" s="3">
        <v>0.12</v>
      </c>
      <c r="W91" s="3">
        <v>0.3</v>
      </c>
      <c r="X91" s="3">
        <f t="shared" si="122"/>
        <v>35.209686974476185</v>
      </c>
      <c r="Y91" s="3">
        <f t="shared" si="123"/>
        <v>35.685150189626107</v>
      </c>
      <c r="Z91" s="25">
        <f t="shared" si="124"/>
        <v>673224.53858506493</v>
      </c>
      <c r="AA91" s="26">
        <v>43130</v>
      </c>
      <c r="AB91" s="4"/>
      <c r="AC91" s="89"/>
    </row>
    <row r="92" spans="1:29" s="30" customFormat="1" x14ac:dyDescent="0.25">
      <c r="A92" s="88"/>
      <c r="B92" s="27" t="s">
        <v>51</v>
      </c>
      <c r="C92" s="17" t="s">
        <v>52</v>
      </c>
      <c r="D92" s="28" t="s">
        <v>135</v>
      </c>
      <c r="E92" s="17">
        <v>200</v>
      </c>
      <c r="F92" s="29">
        <v>22305</v>
      </c>
      <c r="G92" s="19">
        <f>11460+6140</f>
        <v>17600</v>
      </c>
      <c r="H92" s="19">
        <f>G92-F92</f>
        <v>-4705</v>
      </c>
      <c r="I92" s="28" t="s">
        <v>205</v>
      </c>
      <c r="J92" s="17"/>
      <c r="K92" s="21"/>
      <c r="L92" s="21">
        <v>43130</v>
      </c>
      <c r="M92" s="28" t="s">
        <v>31</v>
      </c>
      <c r="N92" s="17"/>
      <c r="O92" s="3">
        <v>29.5</v>
      </c>
      <c r="P92" s="32"/>
      <c r="Q92" s="38">
        <v>19800</v>
      </c>
      <c r="R92" s="3">
        <f>65*E92</f>
        <v>13000</v>
      </c>
      <c r="S92" s="39">
        <f>-38*E92</f>
        <v>-7600</v>
      </c>
      <c r="T92" s="39">
        <f t="shared" si="121"/>
        <v>4335.5185333806821</v>
      </c>
      <c r="U92" s="3">
        <f>E92*5</f>
        <v>1000</v>
      </c>
      <c r="V92" s="17"/>
      <c r="W92" s="3">
        <v>0.1</v>
      </c>
      <c r="X92" s="3">
        <f>((O92*F92)+Q92+R92+S92+U92)/G92</f>
        <v>38.874857954545455</v>
      </c>
      <c r="Y92" s="3">
        <f>((O92*F92)+Q92+R92+S92+T92+U92)/G92+W92</f>
        <v>39.221194234851176</v>
      </c>
      <c r="Z92" s="25">
        <f>Y92*G92</f>
        <v>690293.0185333807</v>
      </c>
      <c r="AA92" s="26">
        <v>43143</v>
      </c>
      <c r="AB92" s="37"/>
      <c r="AC92" s="89"/>
    </row>
    <row r="93" spans="1:29" s="30" customFormat="1" x14ac:dyDescent="0.25">
      <c r="A93" s="88"/>
      <c r="B93" s="27" t="s">
        <v>35</v>
      </c>
      <c r="C93" s="28" t="s">
        <v>47</v>
      </c>
      <c r="D93" s="28" t="s">
        <v>47</v>
      </c>
      <c r="E93" s="17" t="s">
        <v>37</v>
      </c>
      <c r="F93" s="29">
        <f>40974*0.4536</f>
        <v>18585.806400000001</v>
      </c>
      <c r="G93" s="19">
        <v>18520.599999999999</v>
      </c>
      <c r="H93" s="19">
        <f>G93-F93</f>
        <v>-65.206400000002759</v>
      </c>
      <c r="I93" s="28" t="s">
        <v>206</v>
      </c>
      <c r="J93" s="31" t="s">
        <v>102</v>
      </c>
      <c r="K93" s="21">
        <v>43130</v>
      </c>
      <c r="L93" s="21">
        <v>43131</v>
      </c>
      <c r="M93" s="28" t="s">
        <v>43</v>
      </c>
      <c r="N93" s="28" t="s">
        <v>207</v>
      </c>
      <c r="O93" s="3"/>
      <c r="P93" s="32">
        <f>0.6937+0.095</f>
        <v>0.78869999999999996</v>
      </c>
      <c r="Q93" s="33">
        <v>23000</v>
      </c>
      <c r="R93" s="3">
        <v>9400</v>
      </c>
      <c r="S93" s="35">
        <v>18.777000000000001</v>
      </c>
      <c r="T93" s="39">
        <f>X93*F93*0.005</f>
        <v>3207.7476033099774</v>
      </c>
      <c r="V93" s="3">
        <v>0.12</v>
      </c>
      <c r="W93" s="3">
        <v>0.3</v>
      </c>
      <c r="X93" s="3">
        <f>IF(O93&gt;0,O93,((P93*2.2046*S93)+(Q93+R93)/G93)+V93)</f>
        <v>34.518250478601537</v>
      </c>
      <c r="Y93" s="3">
        <f>IF(O93&gt;0,O93,((P93*2.2046*S93)+(Q93+R93+T93)/G93)+V93+W93)</f>
        <v>34.991449381623575</v>
      </c>
      <c r="Z93" s="25">
        <f>Y93*F93</f>
        <v>650344.30386225553</v>
      </c>
      <c r="AA93" s="26">
        <v>43124</v>
      </c>
      <c r="AB93" s="37"/>
      <c r="AC93" s="89"/>
    </row>
    <row r="94" spans="1:29" s="30" customFormat="1" x14ac:dyDescent="0.25">
      <c r="A94" s="88"/>
      <c r="B94" s="27" t="s">
        <v>51</v>
      </c>
      <c r="C94" s="17" t="s">
        <v>52</v>
      </c>
      <c r="D94" s="28" t="s">
        <v>135</v>
      </c>
      <c r="E94" s="17">
        <v>200</v>
      </c>
      <c r="F94" s="29">
        <v>22160</v>
      </c>
      <c r="G94" s="19">
        <f>11510+6220</f>
        <v>17730</v>
      </c>
      <c r="H94" s="19">
        <f t="shared" ref="H94:H95" si="125">G94-F94</f>
        <v>-4430</v>
      </c>
      <c r="I94" s="28" t="s">
        <v>208</v>
      </c>
      <c r="J94" s="17"/>
      <c r="K94" s="21"/>
      <c r="L94" s="21">
        <v>43131</v>
      </c>
      <c r="M94" s="28" t="s">
        <v>43</v>
      </c>
      <c r="N94" s="17"/>
      <c r="O94" s="3">
        <v>29.5</v>
      </c>
      <c r="P94" s="32"/>
      <c r="Q94" s="33">
        <v>19800</v>
      </c>
      <c r="R94" s="3">
        <f>65*E94</f>
        <v>13000</v>
      </c>
      <c r="S94" s="39">
        <f>-38*E94</f>
        <v>-7600</v>
      </c>
      <c r="T94" s="39">
        <f>X94*F94*0.0045</f>
        <v>3824.1185786802025</v>
      </c>
      <c r="U94" s="3">
        <f>E94*5</f>
        <v>1000</v>
      </c>
      <c r="V94" s="17"/>
      <c r="W94" s="3">
        <v>0.3</v>
      </c>
      <c r="X94" s="3">
        <f>((O94*F94)+Q94+R94+S94+U94)/G94</f>
        <v>38.348561759729272</v>
      </c>
      <c r="Y94" s="3">
        <f t="shared" ref="Y94" si="126">((O94*F94)+Q94+R94+S94+T94+U94)/G94+W94</f>
        <v>38.864248086783988</v>
      </c>
      <c r="Z94" s="25">
        <f>Y94*G94</f>
        <v>689063.11857868009</v>
      </c>
      <c r="AA94" s="26">
        <v>43144</v>
      </c>
      <c r="AB94" s="37"/>
      <c r="AC94" s="89"/>
    </row>
    <row r="95" spans="1:29" s="30" customFormat="1" x14ac:dyDescent="0.25">
      <c r="A95" s="88"/>
      <c r="B95" s="27" t="s">
        <v>86</v>
      </c>
      <c r="C95" s="17" t="s">
        <v>209</v>
      </c>
      <c r="D95" s="28" t="s">
        <v>83</v>
      </c>
      <c r="E95" s="17" t="s">
        <v>161</v>
      </c>
      <c r="F95" s="29">
        <v>2017.06</v>
      </c>
      <c r="G95" s="19">
        <v>2017.06</v>
      </c>
      <c r="H95" s="19">
        <f t="shared" si="125"/>
        <v>0</v>
      </c>
      <c r="I95" s="28" t="s">
        <v>210</v>
      </c>
      <c r="J95" s="17"/>
      <c r="K95" s="21"/>
      <c r="L95" s="21">
        <v>43131</v>
      </c>
      <c r="M95" s="28" t="s">
        <v>43</v>
      </c>
      <c r="N95" s="17"/>
      <c r="O95" s="3">
        <v>88</v>
      </c>
      <c r="P95" s="32"/>
      <c r="Q95" s="3"/>
      <c r="R95" s="3"/>
      <c r="S95" s="39"/>
      <c r="T95" s="39"/>
      <c r="U95" s="3"/>
      <c r="V95" s="17"/>
      <c r="W95" s="3"/>
      <c r="X95" s="3">
        <f>IF(O95&gt;0,O95,((P95*2.2046*S95)+(Q95+R90)/G95)+V95)</f>
        <v>88</v>
      </c>
      <c r="Y95" s="3">
        <f>IF(O95&gt;0,O95,((P95*2.2046*S95)+(Q95+R92+T95)/G95)+V95+W95)</f>
        <v>88</v>
      </c>
      <c r="Z95" s="25">
        <f>Y95*F95</f>
        <v>177501.28</v>
      </c>
      <c r="AA95" s="26">
        <v>43138</v>
      </c>
      <c r="AB95" s="37"/>
      <c r="AC95" s="89"/>
    </row>
    <row r="96" spans="1:29" s="30" customFormat="1" ht="15.75" thickBot="1" x14ac:dyDescent="0.3">
      <c r="A96" s="90"/>
      <c r="B96" s="54"/>
      <c r="C96" s="6"/>
      <c r="D96" s="6"/>
      <c r="E96" s="6"/>
      <c r="F96" s="55"/>
      <c r="G96" s="55"/>
      <c r="H96" s="55"/>
      <c r="I96" s="9"/>
      <c r="J96" s="6"/>
      <c r="K96" s="10"/>
      <c r="L96" s="10"/>
      <c r="M96" s="6"/>
      <c r="N96" s="6"/>
      <c r="O96" s="11"/>
      <c r="P96" s="12"/>
      <c r="Q96" s="11"/>
      <c r="R96" s="11"/>
      <c r="S96" s="11"/>
      <c r="T96" s="11"/>
      <c r="U96" s="11"/>
      <c r="V96" s="11"/>
      <c r="W96" s="11"/>
      <c r="X96" s="11"/>
      <c r="Y96" s="11"/>
      <c r="Z96" s="15"/>
      <c r="AA96" s="56"/>
      <c r="AB96" s="4"/>
      <c r="AC96" s="89"/>
    </row>
    <row r="97" spans="29:30" x14ac:dyDescent="0.25">
      <c r="AC97" s="89"/>
      <c r="AD97" s="30"/>
    </row>
    <row r="98" spans="29:30" x14ac:dyDescent="0.25">
      <c r="AC98" s="89"/>
      <c r="AD98" s="30"/>
    </row>
    <row r="99" spans="29:30" x14ac:dyDescent="0.25">
      <c r="AC99" s="89"/>
    </row>
  </sheetData>
  <pageMargins left="0.31496062992125984" right="0.11811023622047245" top="0.19685039370078741" bottom="0.15748031496062992" header="0.31496062992125984" footer="0.31496062992125984"/>
  <pageSetup scale="7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</cp:lastModifiedBy>
  <cp:lastPrinted>2018-02-20T14:47:46Z</cp:lastPrinted>
  <dcterms:created xsi:type="dcterms:W3CDTF">2018-02-19T19:37:21Z</dcterms:created>
  <dcterms:modified xsi:type="dcterms:W3CDTF">2018-02-20T14:48:00Z</dcterms:modified>
</cp:coreProperties>
</file>