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c\Documents\CENTRAL  # 07  J U L I O   2018\"/>
    </mc:Choice>
  </mc:AlternateContent>
  <bookViews>
    <workbookView xWindow="0" yWindow="0" windowWidth="24000" windowHeight="9735" firstSheet="12" activeTab="12"/>
  </bookViews>
  <sheets>
    <sheet name="E N E R O     2 0 1 8    " sheetId="1" r:id="rId1"/>
    <sheet name="SALIDAS  ENERO   2018     " sheetId="2" r:id="rId2"/>
    <sheet name="F E B R E RO     2 0 1 8       " sheetId="3" r:id="rId3"/>
    <sheet name="SALIDAS  FEBRERO    2018    " sheetId="4" r:id="rId4"/>
    <sheet name="M A R Z O   2018     " sheetId="5" r:id="rId5"/>
    <sheet name="SALIDAS   MARZO   2018" sheetId="6" r:id="rId6"/>
    <sheet name="A B R I L   2018   " sheetId="7" r:id="rId7"/>
    <sheet name="SALIDAS    ABRIL   2018   " sheetId="9" r:id="rId8"/>
    <sheet name="M A Y O    2018      " sheetId="10" r:id="rId9"/>
    <sheet name="SALIDAS    MAYO     2018    " sheetId="11" r:id="rId10"/>
    <sheet name="JUNIO    2018     " sheetId="12" r:id="rId11"/>
    <sheet name="SALIDAS  JUNIO    2018    " sheetId="13" r:id="rId12"/>
    <sheet name=" J U L I O     2018     " sheetId="19" r:id="rId13"/>
    <sheet name="SALIDAS   JULIO    2018    " sheetId="18" r:id="rId14"/>
    <sheet name="Hoja1" sheetId="17" r:id="rId15"/>
    <sheet name="Hoja3" sheetId="14" r:id="rId16"/>
    <sheet name="Hoja4" sheetId="15" r:id="rId17"/>
    <sheet name="Hoja6" sheetId="16" r:id="rId18"/>
    <sheet name="Hoja5" sheetId="8" r:id="rId19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8" l="1"/>
  <c r="F18" i="18"/>
  <c r="F19" i="18"/>
  <c r="F20" i="18"/>
  <c r="L34" i="19"/>
  <c r="L32" i="19"/>
  <c r="L28" i="19" l="1"/>
  <c r="L9" i="19" l="1"/>
  <c r="L17" i="19" l="1"/>
  <c r="L15" i="19" l="1"/>
  <c r="L13" i="19"/>
  <c r="L34" i="12" l="1"/>
  <c r="E38" i="18"/>
  <c r="C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J43" i="19"/>
  <c r="H38" i="19"/>
  <c r="E38" i="19"/>
  <c r="B38" i="19"/>
  <c r="K8" i="19"/>
  <c r="K38" i="19" s="1"/>
  <c r="L36" i="19"/>
  <c r="J40" i="19" l="1"/>
  <c r="E41" i="19" s="1"/>
  <c r="E44" i="19" s="1"/>
  <c r="E46" i="19" s="1"/>
  <c r="J42" i="19" s="1"/>
  <c r="J44" i="19" s="1"/>
  <c r="F38" i="18"/>
  <c r="F31" i="13"/>
  <c r="F32" i="13"/>
  <c r="F33" i="13"/>
  <c r="F34" i="13"/>
  <c r="F35" i="13"/>
  <c r="F36" i="13"/>
  <c r="L32" i="12" l="1"/>
  <c r="L26" i="12"/>
  <c r="D14" i="15" l="1"/>
  <c r="L20" i="12" l="1"/>
  <c r="L17" i="12"/>
  <c r="C10" i="14"/>
  <c r="L15" i="12"/>
  <c r="L12" i="12"/>
  <c r="L22" i="12"/>
  <c r="L10" i="12" l="1"/>
  <c r="L6" i="12"/>
  <c r="E37" i="13" l="1"/>
  <c r="C37" i="13"/>
  <c r="F30" i="13"/>
  <c r="F29" i="13"/>
  <c r="F28" i="13"/>
  <c r="F27" i="13"/>
  <c r="F26" i="13"/>
  <c r="F25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37" i="13" l="1"/>
  <c r="J43" i="12"/>
  <c r="K38" i="12"/>
  <c r="H38" i="12"/>
  <c r="E38" i="12"/>
  <c r="B38" i="12"/>
  <c r="L36" i="12"/>
  <c r="K8" i="12"/>
  <c r="J40" i="12" l="1"/>
  <c r="E41" i="12" s="1"/>
  <c r="E44" i="12" s="1"/>
  <c r="E46" i="12" s="1"/>
  <c r="J42" i="12" s="1"/>
  <c r="J44" i="12" s="1"/>
  <c r="F16" i="11"/>
  <c r="F17" i="11"/>
  <c r="F18" i="11"/>
  <c r="F19" i="11"/>
  <c r="L30" i="10" l="1"/>
  <c r="L28" i="10"/>
  <c r="L16" i="10" l="1"/>
  <c r="L14" i="10"/>
  <c r="L8" i="10" l="1"/>
  <c r="L6" i="10"/>
  <c r="E34" i="11" l="1"/>
  <c r="C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J43" i="10"/>
  <c r="H38" i="10"/>
  <c r="E38" i="10"/>
  <c r="B38" i="10"/>
  <c r="K8" i="10"/>
  <c r="K38" i="10" s="1"/>
  <c r="L36" i="10"/>
  <c r="J43" i="7"/>
  <c r="F34" i="11" l="1"/>
  <c r="J40" i="10"/>
  <c r="E41" i="10" s="1"/>
  <c r="E44" i="10" s="1"/>
  <c r="E46" i="10" s="1"/>
  <c r="J42" i="10" s="1"/>
  <c r="J44" i="10" s="1"/>
  <c r="L34" i="7" l="1"/>
  <c r="L32" i="7" l="1"/>
  <c r="L27" i="7"/>
  <c r="L26" i="7"/>
  <c r="L24" i="7"/>
  <c r="L23" i="7"/>
  <c r="L22" i="7"/>
  <c r="L17" i="7" l="1"/>
  <c r="L10" i="7"/>
  <c r="L7" i="7"/>
  <c r="E33" i="9" l="1"/>
  <c r="C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H38" i="7"/>
  <c r="E38" i="7"/>
  <c r="B38" i="7"/>
  <c r="K8" i="7"/>
  <c r="K38" i="7" s="1"/>
  <c r="L36" i="7"/>
  <c r="F33" i="9" l="1"/>
  <c r="J40" i="7"/>
  <c r="E41" i="7" s="1"/>
  <c r="E44" i="7" s="1"/>
  <c r="E46" i="7" s="1"/>
  <c r="J42" i="7" s="1"/>
  <c r="J44" i="7" s="1"/>
  <c r="F19" i="6" l="1"/>
  <c r="F20" i="6"/>
  <c r="F21" i="6"/>
  <c r="F22" i="6"/>
  <c r="F23" i="6"/>
  <c r="F24" i="6"/>
  <c r="F25" i="6"/>
  <c r="F26" i="6"/>
  <c r="F27" i="6"/>
  <c r="L32" i="5" l="1"/>
  <c r="L27" i="5" l="1"/>
  <c r="L20" i="5"/>
  <c r="L13" i="5" l="1"/>
  <c r="L6" i="5" l="1"/>
  <c r="F18" i="4" l="1"/>
  <c r="E33" i="6" l="1"/>
  <c r="C33" i="6"/>
  <c r="F32" i="6"/>
  <c r="F31" i="6"/>
  <c r="F30" i="6"/>
  <c r="F29" i="6"/>
  <c r="F28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J45" i="5"/>
  <c r="H38" i="5"/>
  <c r="E38" i="5"/>
  <c r="B38" i="5"/>
  <c r="M37" i="5"/>
  <c r="K8" i="5"/>
  <c r="K38" i="5" s="1"/>
  <c r="L36" i="5"/>
  <c r="H38" i="3"/>
  <c r="J40" i="5" l="1"/>
  <c r="E41" i="5" s="1"/>
  <c r="E44" i="5" s="1"/>
  <c r="E46" i="5" s="1"/>
  <c r="J44" i="5" s="1"/>
  <c r="J47" i="5" s="1"/>
  <c r="F33" i="6"/>
  <c r="L24" i="3" l="1"/>
  <c r="L20" i="3" l="1"/>
  <c r="L17" i="3" l="1"/>
  <c r="L13" i="3" l="1"/>
  <c r="L8" i="3"/>
  <c r="L6" i="3"/>
  <c r="E28" i="4" l="1"/>
  <c r="C28" i="4"/>
  <c r="F27" i="4"/>
  <c r="F26" i="4"/>
  <c r="F25" i="4"/>
  <c r="F24" i="4"/>
  <c r="F23" i="4"/>
  <c r="F22" i="4"/>
  <c r="F21" i="4"/>
  <c r="F20" i="4"/>
  <c r="F19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J45" i="3"/>
  <c r="E38" i="3"/>
  <c r="B38" i="3"/>
  <c r="M37" i="3"/>
  <c r="L36" i="3"/>
  <c r="K8" i="3"/>
  <c r="K38" i="3" s="1"/>
  <c r="F28" i="4" l="1"/>
  <c r="J40" i="3"/>
  <c r="E41" i="3" s="1"/>
  <c r="E44" i="3" s="1"/>
  <c r="E46" i="3" s="1"/>
  <c r="J44" i="3" s="1"/>
  <c r="J47" i="3" s="1"/>
  <c r="F40" i="2"/>
  <c r="F41" i="2"/>
  <c r="F42" i="2"/>
  <c r="F43" i="2"/>
  <c r="E45" i="2" l="1"/>
  <c r="C45" i="2"/>
  <c r="F44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45" i="2" l="1"/>
  <c r="L23" i="1" l="1"/>
  <c r="L20" i="1"/>
  <c r="L17" i="1"/>
  <c r="L15" i="1"/>
  <c r="L9" i="1" l="1"/>
  <c r="L6" i="1" l="1"/>
  <c r="J45" i="1" l="1"/>
  <c r="H38" i="1"/>
  <c r="E38" i="1"/>
  <c r="B38" i="1"/>
  <c r="M37" i="1"/>
  <c r="K8" i="1"/>
  <c r="K38" i="1" s="1"/>
  <c r="L36" i="1"/>
  <c r="J40" i="1" l="1"/>
  <c r="E41" i="1" s="1"/>
  <c r="E44" i="1" s="1"/>
  <c r="E46" i="1" s="1"/>
  <c r="J44" i="1" s="1"/>
  <c r="J47" i="1" s="1"/>
</calcChain>
</file>

<file path=xl/sharedStrings.xml><?xml version="1.0" encoding="utf-8"?>
<sst xmlns="http://schemas.openxmlformats.org/spreadsheetml/2006/main" count="571" uniqueCount="224">
  <si>
    <t># 1</t>
  </si>
  <si>
    <t>INVENTARIO INICIAL</t>
  </si>
  <si>
    <t xml:space="preserve">COMPRAS </t>
  </si>
  <si>
    <t>FONDO DE CAJA FIJO  Ene-2017</t>
  </si>
  <si>
    <t xml:space="preserve">VENTAS  </t>
  </si>
  <si>
    <t>G  A  S   T  O  S</t>
  </si>
  <si>
    <t>BANCO</t>
  </si>
  <si>
    <t>Deposito</t>
  </si>
  <si>
    <t>TELEFONOS</t>
  </si>
  <si>
    <t>LUZ</t>
  </si>
  <si>
    <t>RENTA</t>
  </si>
  <si>
    <t>CAMARA,de comercio</t>
  </si>
  <si>
    <t>EXTINTORES</t>
  </si>
  <si>
    <t xml:space="preserve">SOAPAP </t>
  </si>
  <si>
    <t xml:space="preserve">         APOYO CAMARAS </t>
  </si>
  <si>
    <t>fumigacion</t>
  </si>
  <si>
    <t>Mantenimiento</t>
  </si>
  <si>
    <t>FESTIVO</t>
  </si>
  <si>
    <t>Rev Basculas</t>
  </si>
  <si>
    <t>TOTAL</t>
  </si>
  <si>
    <t>GRAN TOTAL GASTOS</t>
  </si>
  <si>
    <t>VENTAS NETAS</t>
  </si>
  <si>
    <t>CREDITOS</t>
  </si>
  <si>
    <t xml:space="preserve"> </t>
  </si>
  <si>
    <t>REMISION OBRADOR</t>
  </si>
  <si>
    <t>Sub Total 1</t>
  </si>
  <si>
    <t>SUB TOTAL 2</t>
  </si>
  <si>
    <t>INVENTARIO FINAL</t>
  </si>
  <si>
    <t xml:space="preserve">Sub Total </t>
  </si>
  <si>
    <t xml:space="preserve">BALANCE       DE    E N E R O               2 0 1 8      HERRADURA </t>
  </si>
  <si>
    <t>NOMINA 01</t>
  </si>
  <si>
    <t>NOMINA 02</t>
  </si>
  <si>
    <t>NOMINA 03</t>
  </si>
  <si>
    <t>NOMINA 04</t>
  </si>
  <si>
    <t xml:space="preserve">NOMINA </t>
  </si>
  <si>
    <t>Depositos</t>
  </si>
  <si>
    <t>Depositos 4-5 Ene</t>
  </si>
  <si>
    <t>Transfer --Deposito</t>
  </si>
  <si>
    <t xml:space="preserve">Transfer   </t>
  </si>
  <si>
    <t xml:space="preserve"> Transfer--Deposito</t>
  </si>
  <si>
    <t>1-7  ENE</t>
  </si>
  <si>
    <t xml:space="preserve">8-14 Ene </t>
  </si>
  <si>
    <t xml:space="preserve">Deposito </t>
  </si>
  <si>
    <t>15-21 Ene</t>
  </si>
  <si>
    <t xml:space="preserve"> Deposito </t>
  </si>
  <si>
    <t xml:space="preserve">22-28 Ene </t>
  </si>
  <si>
    <t>S A  L I D A S        HERRADURA</t>
  </si>
  <si>
    <t>FECHA</t>
  </si>
  <si>
    <t>#</t>
  </si>
  <si>
    <t>IMPORTE</t>
  </si>
  <si>
    <t>PAGO</t>
  </si>
  <si>
    <t>SALDO</t>
  </si>
  <si>
    <t>LA LUZ SE VENCE LOS        6 DE CADA BIMESTRE  ESTE ES         06-NOVIEMBRE-2017</t>
  </si>
  <si>
    <t xml:space="preserve">SALIDAS PARA OBRADOR </t>
  </si>
  <si>
    <t xml:space="preserve">central </t>
  </si>
  <si>
    <t>GANANCIA</t>
  </si>
  <si>
    <t xml:space="preserve">BALANCE       DE    F E B R E R O                2 0 1 8      HERRADURA </t>
  </si>
  <si>
    <t>NOMINA 05</t>
  </si>
  <si>
    <t>NOMINA 06</t>
  </si>
  <si>
    <t>NOMINA 07</t>
  </si>
  <si>
    <t>NOMINA 08</t>
  </si>
  <si>
    <t xml:space="preserve">29-4 Feb </t>
  </si>
  <si>
    <t>5-11 Feb</t>
  </si>
  <si>
    <t>12-18 Feb</t>
  </si>
  <si>
    <t xml:space="preserve">  </t>
  </si>
  <si>
    <t xml:space="preserve">19-25 feb </t>
  </si>
  <si>
    <t>Enero</t>
  </si>
  <si>
    <t>CENTRAL</t>
  </si>
  <si>
    <t xml:space="preserve">BALANCE       DE    M A R Z O                2 0 1 8      HERRADURA </t>
  </si>
  <si>
    <t>8-Marzo,</t>
  </si>
  <si>
    <t>9, MAR</t>
  </si>
  <si>
    <t>NOMINA 09</t>
  </si>
  <si>
    <t>NOMINA 10</t>
  </si>
  <si>
    <t>NOMINA 11</t>
  </si>
  <si>
    <t>NOMINA 12</t>
  </si>
  <si>
    <t>NOMINA 13</t>
  </si>
  <si>
    <t>26-4 MAR</t>
  </si>
  <si>
    <t>5-11-MAR</t>
  </si>
  <si>
    <t>12-18-MAR</t>
  </si>
  <si>
    <t>19-25 MAR</t>
  </si>
  <si>
    <t>26-01-ABR</t>
  </si>
  <si>
    <t>DESCANSO</t>
  </si>
  <si>
    <t>1-Marzo,</t>
  </si>
  <si>
    <t>PÉRDIDA</t>
  </si>
  <si>
    <t>NOMINA 14</t>
  </si>
  <si>
    <t>NOMINA 15</t>
  </si>
  <si>
    <t>NOMINA 16</t>
  </si>
  <si>
    <t>NOMINA 17</t>
  </si>
  <si>
    <t>5-ABR,</t>
  </si>
  <si>
    <t>7-ABR,</t>
  </si>
  <si>
    <t>10-ABR,</t>
  </si>
  <si>
    <t>NOMINA  18</t>
  </si>
  <si>
    <t>VACACIONES</t>
  </si>
  <si>
    <t>Miguel Glz</t>
  </si>
  <si>
    <t>28 ABR,</t>
  </si>
  <si>
    <t>2-08-Abr,</t>
  </si>
  <si>
    <t>9-15-Abr</t>
  </si>
  <si>
    <t>16-22-abr</t>
  </si>
  <si>
    <t>23-29-abr,</t>
  </si>
  <si>
    <t>221-105-7695</t>
  </si>
  <si>
    <t xml:space="preserve">BALANCE       DE    M A Y O                 2 0 1 8      HERRADURA </t>
  </si>
  <si>
    <t xml:space="preserve">BALANCE       DE    A B R I L                2 0 1 8      HERRADURA </t>
  </si>
  <si>
    <t>NOMINA 18</t>
  </si>
  <si>
    <t>NOMINA 19</t>
  </si>
  <si>
    <t>NOMINA 20</t>
  </si>
  <si>
    <t>NOMINA 21</t>
  </si>
  <si>
    <t>NOMINA  22</t>
  </si>
  <si>
    <t>Celedonio</t>
  </si>
  <si>
    <t>0009 A</t>
  </si>
  <si>
    <t>0012 A</t>
  </si>
  <si>
    <t>0020 A</t>
  </si>
  <si>
    <t>0026 A</t>
  </si>
  <si>
    <t>0037 A</t>
  </si>
  <si>
    <t>0004 A Central</t>
  </si>
  <si>
    <t>0051 A</t>
  </si>
  <si>
    <t>0058 A</t>
  </si>
  <si>
    <t>0060 A</t>
  </si>
  <si>
    <t>0068 A</t>
  </si>
  <si>
    <t>0070 A</t>
  </si>
  <si>
    <t>0078 A</t>
  </si>
  <si>
    <t>0086 A</t>
  </si>
  <si>
    <t>0090 A</t>
  </si>
  <si>
    <t>0094 A</t>
  </si>
  <si>
    <t>0101 A</t>
  </si>
  <si>
    <t>0102 A</t>
  </si>
  <si>
    <t>0106 A</t>
  </si>
  <si>
    <t>0112 A</t>
  </si>
  <si>
    <t>0120 A</t>
  </si>
  <si>
    <t>30-6 May</t>
  </si>
  <si>
    <t>7-13  Mayo</t>
  </si>
  <si>
    <t xml:space="preserve">14-20 Mayo </t>
  </si>
  <si>
    <t xml:space="preserve">21-27 Mayo </t>
  </si>
  <si>
    <t>28-03 Jun</t>
  </si>
  <si>
    <t>0074 A</t>
  </si>
  <si>
    <t>0124 A</t>
  </si>
  <si>
    <t xml:space="preserve">BALANCE       DE    J U N I O                 2 0 1 8      HERRADURA </t>
  </si>
  <si>
    <t>NOMINA 23</t>
  </si>
  <si>
    <t>NOMINA 24</t>
  </si>
  <si>
    <t>NOMINA 25</t>
  </si>
  <si>
    <t>130 A</t>
  </si>
  <si>
    <t>136 A</t>
  </si>
  <si>
    <t>141 A</t>
  </si>
  <si>
    <t>144 A</t>
  </si>
  <si>
    <t>151 A</t>
  </si>
  <si>
    <t>156 A</t>
  </si>
  <si>
    <t>158 A</t>
  </si>
  <si>
    <t>160 A</t>
  </si>
  <si>
    <t>164 A</t>
  </si>
  <si>
    <t>169 A</t>
  </si>
  <si>
    <t>177 A</t>
  </si>
  <si>
    <t>181 A</t>
  </si>
  <si>
    <t xml:space="preserve">TOTAL </t>
  </si>
  <si>
    <t xml:space="preserve">DEPOSITOS  DE HERRADURA </t>
  </si>
  <si>
    <t>.</t>
  </si>
  <si>
    <t>189 A</t>
  </si>
  <si>
    <t>195 A</t>
  </si>
  <si>
    <t>198 A</t>
  </si>
  <si>
    <t>211 A</t>
  </si>
  <si>
    <t>215 A</t>
  </si>
  <si>
    <t>GASTOS HERRADUA JUNIO 2018</t>
  </si>
  <si>
    <t>TELEFONO</t>
  </si>
  <si>
    <t>Manteminiemto camaras  x cuatrimestre</t>
  </si>
  <si>
    <t>MANTENIMIENTO</t>
  </si>
  <si>
    <t>AFILADOR</t>
  </si>
  <si>
    <t>AGUA</t>
  </si>
  <si>
    <t>TLALE OBRADOR</t>
  </si>
  <si>
    <t>NOMINA 26</t>
  </si>
  <si>
    <t xml:space="preserve">NOMINA  </t>
  </si>
  <si>
    <t>4-10 Jun</t>
  </si>
  <si>
    <t xml:space="preserve">11-17 Jun </t>
  </si>
  <si>
    <t>18-24 Jun</t>
  </si>
  <si>
    <t xml:space="preserve">25-01 Jul </t>
  </si>
  <si>
    <t>226-A</t>
  </si>
  <si>
    <t>230-A</t>
  </si>
  <si>
    <t>238-A</t>
  </si>
  <si>
    <t>241-A</t>
  </si>
  <si>
    <t>245-A</t>
  </si>
  <si>
    <t>258-A</t>
  </si>
  <si>
    <t>262-A</t>
  </si>
  <si>
    <t>266-A</t>
  </si>
  <si>
    <t>275-A</t>
  </si>
  <si>
    <t>276-A</t>
  </si>
  <si>
    <t>284-A</t>
  </si>
  <si>
    <t>290-A</t>
  </si>
  <si>
    <t>293-A</t>
  </si>
  <si>
    <t>183-A</t>
  </si>
  <si>
    <t>Manto CAMARAS</t>
  </si>
  <si>
    <t>cuatri-mestre</t>
  </si>
  <si>
    <t xml:space="preserve">BALANCE       DE    J U L I O                 2 0 1 8      HERRADURA </t>
  </si>
  <si>
    <t>NOMINA 27</t>
  </si>
  <si>
    <t>NOMINA 28</t>
  </si>
  <si>
    <t>NOMINA 29</t>
  </si>
  <si>
    <t>NOMINA 30</t>
  </si>
  <si>
    <t>mas el sobrante de ayer</t>
  </si>
  <si>
    <t>302 A</t>
  </si>
  <si>
    <t>308 A</t>
  </si>
  <si>
    <t>322 A</t>
  </si>
  <si>
    <t>331 A</t>
  </si>
  <si>
    <t>332 A</t>
  </si>
  <si>
    <t>334 A</t>
  </si>
  <si>
    <t>335 A</t>
  </si>
  <si>
    <t>344 A</t>
  </si>
  <si>
    <t>347 A</t>
  </si>
  <si>
    <t>350 A</t>
  </si>
  <si>
    <t>360 A</t>
  </si>
  <si>
    <t>356 A</t>
  </si>
  <si>
    <t>364 A</t>
  </si>
  <si>
    <t>372 A</t>
  </si>
  <si>
    <t>383 A</t>
  </si>
  <si>
    <t>388 A</t>
  </si>
  <si>
    <t>401 A</t>
  </si>
  <si>
    <t>406 A</t>
  </si>
  <si>
    <t>417 A</t>
  </si>
  <si>
    <t>421 A</t>
  </si>
  <si>
    <t>378 A</t>
  </si>
  <si>
    <t>426 A</t>
  </si>
  <si>
    <t>427 A</t>
  </si>
  <si>
    <t>430 A</t>
  </si>
  <si>
    <t>440 A</t>
  </si>
  <si>
    <t>444 A</t>
  </si>
  <si>
    <t>02-07 Jul</t>
  </si>
  <si>
    <t>08-15 jul</t>
  </si>
  <si>
    <t>16-22 Jul</t>
  </si>
  <si>
    <t xml:space="preserve">23-29 Jul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</si>
</sst>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64" formatCode="[$-C0A]dd\-mmm\-yy;@"/>
    <numFmt numFmtId="165" formatCode="&quot;$&quot;#,##0.00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1"/>
      <color theme="1"/>
      <name val="Calibri"/>
      <family val="2"/>
    </font>
    <font>
      <b/>
      <sz val="12"/>
      <color theme="5" tint="-0.249977111117893"/>
      <name val="Calibri"/>
      <family val="2"/>
      <scheme val="minor"/>
    </font>
    <font>
      <b/>
      <i/>
      <u/>
      <sz val="11"/>
      <color theme="1"/>
      <name val="Calibri Light"/>
      <family val="1"/>
      <scheme val="major"/>
    </font>
    <font>
      <b/>
      <sz val="11"/>
      <color indexed="8"/>
      <name val="Calibri"/>
      <family val="2"/>
    </font>
    <font>
      <b/>
      <i/>
      <u/>
      <sz val="11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6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">
        <color indexed="64"/>
      </top>
      <bottom style="mediumDashed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thick">
        <color indexed="64"/>
      </left>
      <right style="mediumDashed">
        <color auto="1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 style="mediumDashed">
        <color indexed="64"/>
      </bottom>
      <diagonal/>
    </border>
    <border>
      <left style="double">
        <color auto="1"/>
      </left>
      <right style="thick">
        <color indexed="64"/>
      </right>
      <top style="double">
        <color auto="1"/>
      </top>
      <bottom style="medium">
        <color auto="1"/>
      </bottom>
      <diagonal/>
    </border>
    <border>
      <left style="thick">
        <color indexed="64"/>
      </left>
      <right style="mediumDashed">
        <color auto="1"/>
      </right>
      <top style="medium">
        <color indexed="64"/>
      </top>
      <bottom style="medium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/>
      <top style="thin">
        <color indexed="64"/>
      </top>
      <bottom style="thin">
        <color indexed="64"/>
      </bottom>
      <diagonal/>
    </border>
    <border>
      <left style="mediumDashed">
        <color auto="1"/>
      </left>
      <right style="mediumDashed">
        <color auto="1"/>
      </right>
      <top style="thin">
        <color indexed="64"/>
      </top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/>
      <bottom/>
      <diagonal/>
    </border>
    <border>
      <left style="double">
        <color indexed="64"/>
      </left>
      <right style="mediumDashed">
        <color indexed="64"/>
      </right>
      <top style="mediumDashed">
        <color indexed="64"/>
      </top>
      <bottom/>
      <diagonal/>
    </border>
    <border>
      <left style="mediumDashed">
        <color indexed="64"/>
      </left>
      <right style="double">
        <color indexed="64"/>
      </right>
      <top style="mediumDashed">
        <color indexed="64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thick">
        <color indexed="64"/>
      </left>
      <right style="mediumDashed">
        <color auto="1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0">
    <xf numFmtId="0" fontId="0" fillId="0" borderId="0" xfId="0"/>
    <xf numFmtId="164" fontId="2" fillId="0" borderId="0" xfId="0" applyNumberFormat="1" applyFont="1" applyAlignment="1">
      <alignment horizontal="center"/>
    </xf>
    <xf numFmtId="0" fontId="2" fillId="0" borderId="0" xfId="0" applyFont="1"/>
    <xf numFmtId="44" fontId="4" fillId="2" borderId="0" xfId="1" applyFont="1" applyFill="1" applyAlignment="1">
      <alignment horizontal="center"/>
    </xf>
    <xf numFmtId="44" fontId="0" fillId="0" borderId="0" xfId="1" applyFont="1" applyAlignment="1">
      <alignment horizontal="left"/>
    </xf>
    <xf numFmtId="44" fontId="0" fillId="0" borderId="0" xfId="1" applyFont="1"/>
    <xf numFmtId="0" fontId="5" fillId="0" borderId="0" xfId="0" applyFont="1"/>
    <xf numFmtId="0" fontId="2" fillId="0" borderId="0" xfId="0" applyFont="1" applyAlignment="1">
      <alignment horizontal="center"/>
    </xf>
    <xf numFmtId="44" fontId="2" fillId="0" borderId="0" xfId="1" applyFont="1" applyAlignment="1">
      <alignment horizontal="center"/>
    </xf>
    <xf numFmtId="44" fontId="0" fillId="0" borderId="0" xfId="1" applyFont="1" applyAlignment="1">
      <alignment horizontal="center"/>
    </xf>
    <xf numFmtId="44" fontId="7" fillId="0" borderId="1" xfId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5" fillId="0" borderId="3" xfId="1" applyFont="1" applyBorder="1"/>
    <xf numFmtId="165" fontId="5" fillId="0" borderId="0" xfId="0" applyNumberFormat="1" applyFont="1"/>
    <xf numFmtId="44" fontId="10" fillId="0" borderId="8" xfId="1" applyFont="1" applyBorder="1" applyAlignment="1">
      <alignment horizontal="center"/>
    </xf>
    <xf numFmtId="0" fontId="0" fillId="0" borderId="0" xfId="0" applyAlignment="1">
      <alignment horizontal="left"/>
    </xf>
    <xf numFmtId="164" fontId="2" fillId="0" borderId="9" xfId="0" applyNumberFormat="1" applyFont="1" applyFill="1" applyBorder="1" applyAlignment="1">
      <alignment horizontal="center"/>
    </xf>
    <xf numFmtId="44" fontId="2" fillId="0" borderId="10" xfId="1" applyFont="1" applyFill="1" applyBorder="1"/>
    <xf numFmtId="165" fontId="5" fillId="0" borderId="0" xfId="0" applyNumberFormat="1" applyFont="1" applyFill="1"/>
    <xf numFmtId="0" fontId="0" fillId="0" borderId="0" xfId="0" applyFill="1"/>
    <xf numFmtId="44" fontId="2" fillId="0" borderId="15" xfId="1" applyFont="1" applyFill="1" applyBorder="1"/>
    <xf numFmtId="0" fontId="2" fillId="0" borderId="15" xfId="0" applyFont="1" applyBorder="1"/>
    <xf numFmtId="44" fontId="8" fillId="0" borderId="16" xfId="1" applyFont="1" applyFill="1" applyBorder="1" applyAlignment="1">
      <alignment horizontal="center"/>
    </xf>
    <xf numFmtId="164" fontId="2" fillId="0" borderId="17" xfId="0" applyNumberFormat="1" applyFont="1" applyFill="1" applyBorder="1" applyAlignment="1">
      <alignment horizontal="center"/>
    </xf>
    <xf numFmtId="44" fontId="2" fillId="0" borderId="19" xfId="1" applyFont="1" applyFill="1" applyBorder="1"/>
    <xf numFmtId="165" fontId="0" fillId="0" borderId="0" xfId="0" applyNumberFormat="1" applyFill="1" applyBorder="1"/>
    <xf numFmtId="44" fontId="2" fillId="0" borderId="21" xfId="1" applyFont="1" applyFill="1" applyBorder="1"/>
    <xf numFmtId="44" fontId="2" fillId="0" borderId="0" xfId="1" applyFont="1" applyFill="1" applyBorder="1"/>
    <xf numFmtId="0" fontId="2" fillId="0" borderId="0" xfId="0" applyFont="1" applyBorder="1"/>
    <xf numFmtId="165" fontId="2" fillId="0" borderId="0" xfId="0" applyNumberFormat="1" applyFont="1" applyBorder="1"/>
    <xf numFmtId="0" fontId="2" fillId="4" borderId="0" xfId="0" applyFont="1" applyFill="1" applyBorder="1"/>
    <xf numFmtId="165" fontId="2" fillId="5" borderId="0" xfId="0" applyNumberFormat="1" applyFont="1" applyFill="1" applyBorder="1"/>
    <xf numFmtId="44" fontId="2" fillId="0" borderId="22" xfId="1" applyFont="1" applyFill="1" applyBorder="1" applyAlignment="1">
      <alignment horizontal="center"/>
    </xf>
    <xf numFmtId="44" fontId="2" fillId="0" borderId="0" xfId="1" applyFont="1" applyFill="1" applyBorder="1" applyAlignment="1">
      <alignment horizontal="left"/>
    </xf>
    <xf numFmtId="165" fontId="11" fillId="0" borderId="0" xfId="0" applyNumberFormat="1" applyFont="1" applyFill="1"/>
    <xf numFmtId="165" fontId="2" fillId="6" borderId="0" xfId="0" applyNumberFormat="1" applyFont="1" applyFill="1" applyBorder="1"/>
    <xf numFmtId="165" fontId="12" fillId="0" borderId="0" xfId="0" applyNumberFormat="1" applyFont="1" applyFill="1"/>
    <xf numFmtId="44" fontId="13" fillId="0" borderId="0" xfId="1" applyFont="1" applyFill="1" applyBorder="1"/>
    <xf numFmtId="165" fontId="2" fillId="0" borderId="0" xfId="0" applyNumberFormat="1" applyFont="1" applyFill="1" applyBorder="1"/>
    <xf numFmtId="44" fontId="2" fillId="0" borderId="0" xfId="1" applyFont="1" applyFill="1"/>
    <xf numFmtId="0" fontId="14" fillId="0" borderId="0" xfId="0" applyFont="1" applyBorder="1"/>
    <xf numFmtId="0" fontId="15" fillId="0" borderId="0" xfId="0" applyFont="1" applyFill="1" applyBorder="1" applyAlignment="1">
      <alignment horizontal="right"/>
    </xf>
    <xf numFmtId="0" fontId="16" fillId="0" borderId="0" xfId="0" applyFont="1" applyFill="1" applyBorder="1"/>
    <xf numFmtId="44" fontId="2" fillId="0" borderId="0" xfId="1" applyFont="1" applyBorder="1" applyAlignment="1">
      <alignment horizontal="center"/>
    </xf>
    <xf numFmtId="44" fontId="14" fillId="0" borderId="0" xfId="1" applyFont="1" applyFill="1" applyBorder="1"/>
    <xf numFmtId="44" fontId="2" fillId="0" borderId="0" xfId="1" applyFont="1" applyFill="1" applyBorder="1" applyAlignment="1">
      <alignment horizontal="center"/>
    </xf>
    <xf numFmtId="0" fontId="2" fillId="0" borderId="0" xfId="0" applyFont="1" applyFill="1" applyBorder="1"/>
    <xf numFmtId="44" fontId="8" fillId="0" borderId="0" xfId="1" applyFont="1" applyFill="1" applyBorder="1" applyAlignment="1">
      <alignment horizontal="left"/>
    </xf>
    <xf numFmtId="165" fontId="17" fillId="0" borderId="0" xfId="0" applyNumberFormat="1" applyFont="1" applyFill="1"/>
    <xf numFmtId="44" fontId="16" fillId="0" borderId="0" xfId="1" applyFont="1" applyFill="1" applyBorder="1"/>
    <xf numFmtId="16" fontId="16" fillId="0" borderId="0" xfId="0" applyNumberFormat="1" applyFont="1" applyBorder="1"/>
    <xf numFmtId="44" fontId="2" fillId="0" borderId="0" xfId="1" applyFont="1" applyBorder="1"/>
    <xf numFmtId="16" fontId="12" fillId="0" borderId="23" xfId="0" applyNumberFormat="1" applyFont="1" applyBorder="1"/>
    <xf numFmtId="16" fontId="5" fillId="0" borderId="23" xfId="0" applyNumberFormat="1" applyFont="1" applyBorder="1"/>
    <xf numFmtId="16" fontId="2" fillId="0" borderId="23" xfId="0" applyNumberFormat="1" applyFont="1" applyBorder="1" applyAlignment="1">
      <alignment horizontal="left"/>
    </xf>
    <xf numFmtId="16" fontId="2" fillId="0" borderId="23" xfId="0" applyNumberFormat="1" applyFont="1" applyBorder="1"/>
    <xf numFmtId="0" fontId="16" fillId="0" borderId="23" xfId="0" applyFont="1" applyFill="1" applyBorder="1"/>
    <xf numFmtId="0" fontId="14" fillId="0" borderId="23" xfId="0" applyFont="1" applyBorder="1"/>
    <xf numFmtId="44" fontId="2" fillId="0" borderId="24" xfId="1" applyFont="1" applyFill="1" applyBorder="1" applyAlignment="1">
      <alignment horizontal="center"/>
    </xf>
    <xf numFmtId="0" fontId="0" fillId="7" borderId="0" xfId="0" applyFill="1"/>
    <xf numFmtId="0" fontId="2" fillId="0" borderId="23" xfId="0" applyFont="1" applyBorder="1"/>
    <xf numFmtId="16" fontId="2" fillId="0" borderId="0" xfId="1" applyNumberFormat="1" applyFont="1" applyFill="1" applyBorder="1"/>
    <xf numFmtId="16" fontId="13" fillId="0" borderId="23" xfId="0" applyNumberFormat="1" applyFont="1" applyBorder="1"/>
    <xf numFmtId="0" fontId="2" fillId="0" borderId="23" xfId="0" applyFont="1" applyFill="1" applyBorder="1"/>
    <xf numFmtId="44" fontId="8" fillId="0" borderId="0" xfId="1" applyFont="1" applyFill="1"/>
    <xf numFmtId="164" fontId="13" fillId="0" borderId="27" xfId="0" applyNumberFormat="1" applyFont="1" applyBorder="1" applyAlignment="1">
      <alignment horizontal="center"/>
    </xf>
    <xf numFmtId="44" fontId="0" fillId="0" borderId="28" xfId="1" applyFont="1" applyBorder="1"/>
    <xf numFmtId="0" fontId="2" fillId="0" borderId="29" xfId="0" applyFont="1" applyBorder="1"/>
    <xf numFmtId="44" fontId="0" fillId="0" borderId="30" xfId="1" applyFont="1" applyBorder="1"/>
    <xf numFmtId="15" fontId="0" fillId="0" borderId="31" xfId="0" applyNumberFormat="1" applyFill="1" applyBorder="1"/>
    <xf numFmtId="44" fontId="0" fillId="0" borderId="32" xfId="1" applyFont="1" applyBorder="1"/>
    <xf numFmtId="44" fontId="0" fillId="0" borderId="0" xfId="1" applyFont="1" applyBorder="1"/>
    <xf numFmtId="165" fontId="2" fillId="0" borderId="33" xfId="0" applyNumberFormat="1" applyFont="1" applyBorder="1"/>
    <xf numFmtId="44" fontId="8" fillId="0" borderId="0" xfId="1" applyFont="1" applyAlignment="1">
      <alignment horizontal="center"/>
    </xf>
    <xf numFmtId="44" fontId="0" fillId="0" borderId="0" xfId="1" applyFont="1" applyFill="1" applyBorder="1" applyAlignment="1">
      <alignment horizontal="left"/>
    </xf>
    <xf numFmtId="164" fontId="6" fillId="0" borderId="34" xfId="0" applyNumberFormat="1" applyFont="1" applyBorder="1" applyAlignment="1">
      <alignment horizontal="center"/>
    </xf>
    <xf numFmtId="44" fontId="2" fillId="0" borderId="35" xfId="1" applyFont="1" applyBorder="1"/>
    <xf numFmtId="0" fontId="2" fillId="0" borderId="36" xfId="0" applyFont="1" applyBorder="1"/>
    <xf numFmtId="44" fontId="0" fillId="0" borderId="37" xfId="1" applyFont="1" applyBorder="1"/>
    <xf numFmtId="0" fontId="6" fillId="0" borderId="38" xfId="0" applyFont="1" applyBorder="1" applyAlignment="1">
      <alignment horizontal="center"/>
    </xf>
    <xf numFmtId="44" fontId="0" fillId="0" borderId="39" xfId="1" applyFont="1" applyBorder="1"/>
    <xf numFmtId="0" fontId="2" fillId="0" borderId="40" xfId="0" applyFont="1" applyBorder="1"/>
    <xf numFmtId="165" fontId="2" fillId="0" borderId="37" xfId="0" applyNumberFormat="1" applyFont="1" applyBorder="1"/>
    <xf numFmtId="44" fontId="2" fillId="0" borderId="34" xfId="1" applyFont="1" applyBorder="1" applyAlignment="1">
      <alignment horizontal="left"/>
    </xf>
    <xf numFmtId="164" fontId="5" fillId="0" borderId="0" xfId="0" applyNumberFormat="1" applyFont="1" applyAlignment="1">
      <alignment horizontal="center"/>
    </xf>
    <xf numFmtId="44" fontId="5" fillId="0" borderId="0" xfId="1" applyFont="1"/>
    <xf numFmtId="0" fontId="18" fillId="0" borderId="0" xfId="0" applyFont="1" applyAlignment="1">
      <alignment horizontal="center"/>
    </xf>
    <xf numFmtId="44" fontId="18" fillId="0" borderId="0" xfId="1" applyFont="1"/>
    <xf numFmtId="44" fontId="2" fillId="0" borderId="0" xfId="1" applyFont="1"/>
    <xf numFmtId="165" fontId="2" fillId="0" borderId="0" xfId="0" applyNumberFormat="1" applyFont="1" applyAlignment="1">
      <alignment horizontal="center"/>
    </xf>
    <xf numFmtId="165" fontId="2" fillId="0" borderId="0" xfId="0" applyNumberFormat="1" applyFont="1"/>
    <xf numFmtId="44" fontId="0" fillId="0" borderId="0" xfId="1" applyFont="1" applyFill="1" applyBorder="1"/>
    <xf numFmtId="0" fontId="5" fillId="0" borderId="0" xfId="0" applyFont="1" applyBorder="1"/>
    <xf numFmtId="165" fontId="19" fillId="0" borderId="24" xfId="0" applyNumberFormat="1" applyFont="1" applyBorder="1" applyAlignment="1">
      <alignment horizontal="center" vertical="center" wrapText="1"/>
    </xf>
    <xf numFmtId="44" fontId="20" fillId="0" borderId="0" xfId="1" applyFont="1" applyFill="1" applyBorder="1"/>
    <xf numFmtId="44" fontId="20" fillId="0" borderId="0" xfId="1" applyFont="1" applyFill="1" applyBorder="1" applyAlignment="1">
      <alignment horizontal="left"/>
    </xf>
    <xf numFmtId="44" fontId="19" fillId="0" borderId="0" xfId="1" applyFont="1" applyAlignment="1">
      <alignment horizontal="center" vertical="center" wrapText="1"/>
    </xf>
    <xf numFmtId="44" fontId="2" fillId="0" borderId="42" xfId="1" applyFont="1" applyFill="1" applyBorder="1"/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4" fontId="21" fillId="0" borderId="2" xfId="1" applyFont="1" applyBorder="1"/>
    <xf numFmtId="0" fontId="9" fillId="0" borderId="0" xfId="0" applyFont="1" applyFill="1" applyBorder="1" applyAlignment="1">
      <alignment vertical="center"/>
    </xf>
    <xf numFmtId="44" fontId="0" fillId="0" borderId="0" xfId="0" applyNumberFormat="1" applyBorder="1" applyAlignment="1">
      <alignment horizontal="left"/>
    </xf>
    <xf numFmtId="0" fontId="2" fillId="0" borderId="0" xfId="0" applyFont="1" applyFill="1" applyAlignment="1">
      <alignment horizontal="left"/>
    </xf>
    <xf numFmtId="44" fontId="2" fillId="0" borderId="25" xfId="1" applyFont="1" applyFill="1" applyBorder="1" applyAlignment="1">
      <alignment horizontal="center"/>
    </xf>
    <xf numFmtId="44" fontId="2" fillId="0" borderId="26" xfId="1" applyFont="1" applyFill="1" applyBorder="1" applyAlignment="1">
      <alignment horizontal="center"/>
    </xf>
    <xf numFmtId="15" fontId="2" fillId="0" borderId="18" xfId="0" applyNumberFormat="1" applyFont="1" applyFill="1" applyBorder="1" applyAlignment="1">
      <alignment horizontal="center"/>
    </xf>
    <xf numFmtId="15" fontId="2" fillId="0" borderId="11" xfId="0" applyNumberFormat="1" applyFont="1" applyFill="1" applyBorder="1" applyAlignment="1">
      <alignment horizontal="center"/>
    </xf>
    <xf numFmtId="15" fontId="2" fillId="0" borderId="20" xfId="0" applyNumberFormat="1" applyFont="1" applyFill="1" applyBorder="1" applyAlignment="1">
      <alignment horizontal="center"/>
    </xf>
    <xf numFmtId="44" fontId="2" fillId="7" borderId="12" xfId="1" applyFont="1" applyFill="1" applyBorder="1"/>
    <xf numFmtId="15" fontId="2" fillId="7" borderId="13" xfId="0" applyNumberFormat="1" applyFont="1" applyFill="1" applyBorder="1" applyAlignment="1">
      <alignment horizontal="center"/>
    </xf>
    <xf numFmtId="44" fontId="2" fillId="7" borderId="14" xfId="1" applyFont="1" applyFill="1" applyBorder="1"/>
    <xf numFmtId="44" fontId="8" fillId="7" borderId="16" xfId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44" fontId="2" fillId="8" borderId="22" xfId="1" applyFont="1" applyFill="1" applyBorder="1" applyAlignment="1">
      <alignment horizontal="center"/>
    </xf>
    <xf numFmtId="44" fontId="2" fillId="8" borderId="0" xfId="1" applyFont="1" applyFill="1" applyBorder="1" applyAlignment="1">
      <alignment horizontal="left"/>
    </xf>
    <xf numFmtId="164" fontId="2" fillId="0" borderId="23" xfId="0" applyNumberFormat="1" applyFont="1" applyFill="1" applyBorder="1"/>
    <xf numFmtId="1" fontId="2" fillId="0" borderId="0" xfId="0" applyNumberFormat="1" applyFont="1" applyAlignment="1">
      <alignment horizontal="center"/>
    </xf>
    <xf numFmtId="44" fontId="0" fillId="0" borderId="0" xfId="1" applyFont="1" applyFill="1"/>
    <xf numFmtId="164" fontId="8" fillId="0" borderId="4" xfId="0" applyNumberFormat="1" applyFont="1" applyBorder="1" applyAlignment="1">
      <alignment horizontal="center"/>
    </xf>
    <xf numFmtId="1" fontId="8" fillId="0" borderId="27" xfId="0" applyNumberFormat="1" applyFont="1" applyBorder="1" applyAlignment="1">
      <alignment horizontal="center"/>
    </xf>
    <xf numFmtId="44" fontId="8" fillId="0" borderId="27" xfId="1" applyFont="1" applyBorder="1" applyAlignment="1">
      <alignment horizontal="center"/>
    </xf>
    <xf numFmtId="44" fontId="8" fillId="0" borderId="27" xfId="1" applyFont="1" applyFill="1" applyBorder="1" applyAlignment="1">
      <alignment horizontal="center"/>
    </xf>
    <xf numFmtId="44" fontId="8" fillId="0" borderId="5" xfId="1" applyFont="1" applyFill="1" applyBorder="1" applyAlignment="1">
      <alignment horizontal="center"/>
    </xf>
    <xf numFmtId="164" fontId="2" fillId="0" borderId="46" xfId="0" applyNumberFormat="1" applyFont="1" applyFill="1" applyBorder="1" applyAlignment="1">
      <alignment horizontal="center"/>
    </xf>
    <xf numFmtId="0" fontId="22" fillId="0" borderId="47" xfId="0" applyFont="1" applyFill="1" applyBorder="1" applyAlignment="1">
      <alignment horizontal="center"/>
    </xf>
    <xf numFmtId="44" fontId="20" fillId="0" borderId="47" xfId="1" applyFont="1" applyFill="1" applyBorder="1"/>
    <xf numFmtId="164" fontId="2" fillId="0" borderId="0" xfId="0" applyNumberFormat="1" applyFont="1" applyFill="1" applyBorder="1"/>
    <xf numFmtId="44" fontId="23" fillId="0" borderId="48" xfId="1" applyFont="1" applyFill="1" applyBorder="1"/>
    <xf numFmtId="164" fontId="2" fillId="0" borderId="16" xfId="0" applyNumberFormat="1" applyFont="1" applyFill="1" applyBorder="1" applyAlignment="1">
      <alignment horizontal="center"/>
    </xf>
    <xf numFmtId="0" fontId="22" fillId="0" borderId="41" xfId="0" applyFont="1" applyFill="1" applyBorder="1" applyAlignment="1">
      <alignment horizontal="center"/>
    </xf>
    <xf numFmtId="44" fontId="20" fillId="0" borderId="41" xfId="1" applyFont="1" applyFill="1" applyBorder="1"/>
    <xf numFmtId="44" fontId="2" fillId="0" borderId="50" xfId="1" applyFont="1" applyFill="1" applyBorder="1"/>
    <xf numFmtId="44" fontId="23" fillId="0" borderId="50" xfId="1" applyFont="1" applyFill="1" applyBorder="1"/>
    <xf numFmtId="164" fontId="2" fillId="0" borderId="51" xfId="0" applyNumberFormat="1" applyFont="1" applyFill="1" applyBorder="1" applyAlignment="1">
      <alignment horizontal="center"/>
    </xf>
    <xf numFmtId="0" fontId="24" fillId="0" borderId="52" xfId="0" applyFont="1" applyFill="1" applyBorder="1" applyAlignment="1">
      <alignment horizontal="center"/>
    </xf>
    <xf numFmtId="0" fontId="22" fillId="0" borderId="52" xfId="0" applyFont="1" applyFill="1" applyBorder="1" applyAlignment="1">
      <alignment horizontal="center"/>
    </xf>
    <xf numFmtId="44" fontId="23" fillId="0" borderId="53" xfId="1" applyFont="1" applyFill="1" applyBorder="1"/>
    <xf numFmtId="44" fontId="2" fillId="0" borderId="16" xfId="1" applyFont="1" applyFill="1" applyBorder="1"/>
    <xf numFmtId="44" fontId="23" fillId="0" borderId="16" xfId="1" applyFont="1" applyFill="1" applyBorder="1"/>
    <xf numFmtId="0" fontId="0" fillId="0" borderId="16" xfId="0" applyBorder="1"/>
    <xf numFmtId="44" fontId="8" fillId="0" borderId="16" xfId="0" applyNumberFormat="1" applyFont="1" applyFill="1" applyBorder="1"/>
    <xf numFmtId="44" fontId="2" fillId="4" borderId="51" xfId="1" applyFont="1" applyFill="1" applyBorder="1"/>
    <xf numFmtId="0" fontId="0" fillId="4" borderId="51" xfId="0" applyFill="1" applyBorder="1"/>
    <xf numFmtId="44" fontId="8" fillId="4" borderId="51" xfId="1" applyFont="1" applyFill="1" applyBorder="1"/>
    <xf numFmtId="44" fontId="8" fillId="0" borderId="51" xfId="0" applyNumberFormat="1" applyFont="1" applyFill="1" applyBorder="1"/>
    <xf numFmtId="44" fontId="8" fillId="0" borderId="57" xfId="0" applyNumberFormat="1" applyFont="1" applyBorder="1"/>
    <xf numFmtId="0" fontId="2" fillId="0" borderId="16" xfId="0" applyFont="1" applyFill="1" applyBorder="1" applyAlignment="1">
      <alignment horizontal="center"/>
    </xf>
    <xf numFmtId="0" fontId="25" fillId="0" borderId="16" xfId="0" applyFont="1" applyFill="1" applyBorder="1" applyAlignment="1">
      <alignment horizontal="center"/>
    </xf>
    <xf numFmtId="0" fontId="8" fillId="0" borderId="56" xfId="0" applyFont="1" applyBorder="1"/>
    <xf numFmtId="0" fontId="8" fillId="0" borderId="57" xfId="0" applyFont="1" applyBorder="1"/>
    <xf numFmtId="0" fontId="8" fillId="0" borderId="0" xfId="0" applyFont="1"/>
    <xf numFmtId="44" fontId="9" fillId="0" borderId="57" xfId="0" applyNumberFormat="1" applyFont="1" applyBorder="1"/>
    <xf numFmtId="0" fontId="24" fillId="8" borderId="52" xfId="0" applyFont="1" applyFill="1" applyBorder="1" applyAlignment="1">
      <alignment horizontal="center"/>
    </xf>
    <xf numFmtId="44" fontId="20" fillId="8" borderId="41" xfId="1" applyFont="1" applyFill="1" applyBorder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44" fontId="2" fillId="0" borderId="12" xfId="1" applyFont="1" applyFill="1" applyBorder="1"/>
    <xf numFmtId="0" fontId="1" fillId="0" borderId="0" xfId="0" applyFont="1" applyFill="1"/>
    <xf numFmtId="15" fontId="2" fillId="0" borderId="13" xfId="0" applyNumberFormat="1" applyFont="1" applyFill="1" applyBorder="1" applyAlignment="1">
      <alignment horizontal="center"/>
    </xf>
    <xf numFmtId="44" fontId="2" fillId="0" borderId="14" xfId="1" applyFont="1" applyFill="1" applyBorder="1"/>
    <xf numFmtId="164" fontId="8" fillId="4" borderId="54" xfId="0" applyNumberFormat="1" applyFont="1" applyFill="1" applyBorder="1" applyAlignment="1"/>
    <xf numFmtId="164" fontId="8" fillId="4" borderId="55" xfId="0" applyNumberFormat="1" applyFont="1" applyFill="1" applyBorder="1" applyAlignment="1"/>
    <xf numFmtId="0" fontId="2" fillId="0" borderId="0" xfId="0" applyFont="1" applyAlignment="1">
      <alignment horizontal="center"/>
    </xf>
    <xf numFmtId="165" fontId="19" fillId="0" borderId="24" xfId="0" applyNumberFormat="1" applyFont="1" applyBorder="1" applyAlignment="1">
      <alignment horizontal="center" vertical="center" wrapText="1"/>
    </xf>
    <xf numFmtId="0" fontId="22" fillId="5" borderId="47" xfId="0" applyFont="1" applyFill="1" applyBorder="1" applyAlignment="1">
      <alignment horizontal="center"/>
    </xf>
    <xf numFmtId="0" fontId="22" fillId="5" borderId="41" xfId="0" applyFont="1" applyFill="1" applyBorder="1" applyAlignment="1">
      <alignment horizontal="center"/>
    </xf>
    <xf numFmtId="0" fontId="24" fillId="5" borderId="52" xfId="0" applyFont="1" applyFill="1" applyBorder="1" applyAlignment="1">
      <alignment horizontal="center"/>
    </xf>
    <xf numFmtId="44" fontId="0" fillId="10" borderId="0" xfId="1" applyFont="1" applyFill="1"/>
    <xf numFmtId="44" fontId="2" fillId="11" borderId="19" xfId="1" applyFont="1" applyFill="1" applyBorder="1"/>
    <xf numFmtId="44" fontId="2" fillId="11" borderId="21" xfId="1" applyFont="1" applyFill="1" applyBorder="1"/>
    <xf numFmtId="44" fontId="2" fillId="11" borderId="25" xfId="1" applyFont="1" applyFill="1" applyBorder="1" applyAlignment="1">
      <alignment horizontal="center"/>
    </xf>
    <xf numFmtId="44" fontId="2" fillId="11" borderId="0" xfId="1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5" fillId="0" borderId="0" xfId="0" applyFont="1" applyFill="1" applyBorder="1" applyAlignment="1">
      <alignment horizontal="center"/>
    </xf>
    <xf numFmtId="0" fontId="0" fillId="0" borderId="0" xfId="0" applyBorder="1"/>
    <xf numFmtId="0" fontId="6" fillId="0" borderId="0" xfId="0" applyFont="1" applyBorder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0" fillId="0" borderId="43" xfId="1" applyFont="1" applyBorder="1"/>
    <xf numFmtId="44" fontId="2" fillId="0" borderId="44" xfId="1" applyFont="1" applyBorder="1"/>
    <xf numFmtId="0" fontId="0" fillId="0" borderId="44" xfId="0" applyBorder="1"/>
    <xf numFmtId="44" fontId="19" fillId="0" borderId="44" xfId="1" applyFont="1" applyBorder="1" applyAlignment="1">
      <alignment horizontal="center" vertical="center" wrapText="1"/>
    </xf>
    <xf numFmtId="0" fontId="2" fillId="0" borderId="44" xfId="0" applyFont="1" applyBorder="1"/>
    <xf numFmtId="0" fontId="2" fillId="0" borderId="45" xfId="0" applyFont="1" applyBorder="1"/>
    <xf numFmtId="44" fontId="0" fillId="0" borderId="49" xfId="1" applyFont="1" applyBorder="1"/>
    <xf numFmtId="44" fontId="0" fillId="0" borderId="34" xfId="1" applyFont="1" applyBorder="1"/>
    <xf numFmtId="0" fontId="5" fillId="0" borderId="2" xfId="0" applyFont="1" applyBorder="1"/>
    <xf numFmtId="44" fontId="5" fillId="0" borderId="2" xfId="1" applyFont="1" applyBorder="1"/>
    <xf numFmtId="0" fontId="0" fillId="0" borderId="2" xfId="0" applyBorder="1"/>
    <xf numFmtId="44" fontId="0" fillId="0" borderId="2" xfId="1" applyFont="1" applyBorder="1"/>
    <xf numFmtId="0" fontId="9" fillId="0" borderId="2" xfId="0" applyFont="1" applyFill="1" applyBorder="1" applyAlignment="1">
      <alignment vertical="center"/>
    </xf>
    <xf numFmtId="0" fontId="22" fillId="0" borderId="41" xfId="0" applyFont="1" applyFill="1" applyBorder="1" applyAlignment="1">
      <alignment horizontal="center" wrapText="1"/>
    </xf>
    <xf numFmtId="17" fontId="13" fillId="0" borderId="0" xfId="1" applyNumberFormat="1" applyFont="1" applyFill="1" applyBorder="1"/>
    <xf numFmtId="0" fontId="22" fillId="12" borderId="47" xfId="0" applyFont="1" applyFill="1" applyBorder="1" applyAlignment="1">
      <alignment horizontal="center"/>
    </xf>
    <xf numFmtId="44" fontId="20" fillId="12" borderId="47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8" fillId="5" borderId="16" xfId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64" fontId="27" fillId="0" borderId="16" xfId="0" applyNumberFormat="1" applyFont="1" applyBorder="1"/>
    <xf numFmtId="44" fontId="27" fillId="0" borderId="16" xfId="1" applyFont="1" applyBorder="1"/>
    <xf numFmtId="164" fontId="26" fillId="0" borderId="16" xfId="0" applyNumberFormat="1" applyFont="1" applyBorder="1"/>
    <xf numFmtId="44" fontId="26" fillId="0" borderId="51" xfId="1" applyFont="1" applyBorder="1"/>
    <xf numFmtId="44" fontId="28" fillId="0" borderId="60" xfId="1" applyFont="1" applyBorder="1"/>
    <xf numFmtId="0" fontId="9" fillId="0" borderId="0" xfId="0" applyFont="1"/>
    <xf numFmtId="0" fontId="2" fillId="0" borderId="0" xfId="0" applyFont="1" applyAlignment="1">
      <alignment horizontal="right"/>
    </xf>
    <xf numFmtId="44" fontId="29" fillId="0" borderId="0" xfId="1" applyFont="1"/>
    <xf numFmtId="44" fontId="8" fillId="0" borderId="60" xfId="1" applyFont="1" applyBorder="1"/>
    <xf numFmtId="0" fontId="30" fillId="0" borderId="0" xfId="0" applyFont="1"/>
    <xf numFmtId="44" fontId="2" fillId="0" borderId="61" xfId="1" applyFont="1" applyFill="1" applyBorder="1"/>
    <xf numFmtId="0" fontId="2" fillId="0" borderId="0" xfId="0" applyFont="1" applyAlignment="1">
      <alignment horizontal="center"/>
    </xf>
    <xf numFmtId="165" fontId="19" fillId="0" borderId="58" xfId="0" applyNumberFormat="1" applyFont="1" applyBorder="1" applyAlignment="1">
      <alignment horizontal="center" vertical="center" wrapText="1"/>
    </xf>
    <xf numFmtId="44" fontId="2" fillId="0" borderId="49" xfId="1" applyFont="1" applyFill="1" applyBorder="1" applyAlignment="1"/>
    <xf numFmtId="0" fontId="2" fillId="0" borderId="0" xfId="0" applyFont="1" applyFill="1" applyBorder="1" applyAlignment="1"/>
    <xf numFmtId="44" fontId="2" fillId="13" borderId="0" xfId="1" applyFont="1" applyFill="1" applyBorder="1" applyAlignment="1">
      <alignment horizontal="left"/>
    </xf>
    <xf numFmtId="44" fontId="8" fillId="13" borderId="0" xfId="1" applyFont="1" applyFill="1" applyBorder="1" applyAlignment="1">
      <alignment horizontal="left"/>
    </xf>
    <xf numFmtId="0" fontId="0" fillId="13" borderId="0" xfId="0" applyFill="1"/>
    <xf numFmtId="0" fontId="3" fillId="0" borderId="0" xfId="0" applyFont="1" applyFill="1" applyAlignment="1"/>
    <xf numFmtId="164" fontId="6" fillId="0" borderId="0" xfId="0" applyNumberFormat="1" applyFont="1" applyAlignment="1">
      <alignment horizontal="center" wrapText="1"/>
    </xf>
    <xf numFmtId="164" fontId="6" fillId="0" borderId="2" xfId="0" applyNumberFormat="1" applyFont="1" applyBorder="1" applyAlignment="1">
      <alignment horizontal="center" wrapText="1"/>
    </xf>
    <xf numFmtId="44" fontId="8" fillId="3" borderId="0" xfId="1" applyFont="1" applyFill="1" applyAlignment="1">
      <alignment horizontal="center"/>
    </xf>
    <xf numFmtId="44" fontId="9" fillId="3" borderId="0" xfId="1" applyFont="1" applyFill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4" fillId="0" borderId="0" xfId="0" applyFont="1" applyFill="1" applyBorder="1" applyAlignment="1">
      <alignment horizontal="left" wrapText="1"/>
    </xf>
    <xf numFmtId="165" fontId="19" fillId="0" borderId="41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 vertical="center" wrapText="1"/>
    </xf>
    <xf numFmtId="165" fontId="19" fillId="0" borderId="24" xfId="0" applyNumberFormat="1" applyFont="1" applyBorder="1" applyAlignment="1">
      <alignment horizontal="center"/>
    </xf>
    <xf numFmtId="0" fontId="19" fillId="0" borderId="24" xfId="0" applyFont="1" applyBorder="1" applyAlignment="1">
      <alignment horizontal="center"/>
    </xf>
    <xf numFmtId="165" fontId="19" fillId="0" borderId="0" xfId="0" applyNumberFormat="1" applyFont="1" applyBorder="1" applyAlignment="1">
      <alignment horizontal="center" vertical="center" wrapText="1"/>
    </xf>
    <xf numFmtId="44" fontId="2" fillId="0" borderId="0" xfId="0" applyNumberFormat="1" applyFont="1" applyAlignment="1">
      <alignment horizontal="center"/>
    </xf>
    <xf numFmtId="44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44" fontId="8" fillId="0" borderId="42" xfId="1" applyFont="1" applyBorder="1" applyAlignment="1">
      <alignment horizontal="center"/>
    </xf>
    <xf numFmtId="44" fontId="8" fillId="0" borderId="0" xfId="1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44" fontId="9" fillId="5" borderId="4" xfId="0" applyNumberFormat="1" applyFont="1" applyFill="1" applyBorder="1" applyAlignment="1">
      <alignment horizontal="center" vertical="center"/>
    </xf>
    <xf numFmtId="0" fontId="9" fillId="5" borderId="5" xfId="0" applyFont="1" applyFill="1" applyBorder="1" applyAlignment="1">
      <alignment horizontal="center" vertical="center"/>
    </xf>
    <xf numFmtId="44" fontId="9" fillId="0" borderId="43" xfId="1" applyFont="1" applyBorder="1" applyAlignment="1">
      <alignment horizontal="center"/>
    </xf>
    <xf numFmtId="44" fontId="9" fillId="0" borderId="44" xfId="1" applyFont="1" applyBorder="1" applyAlignment="1">
      <alignment horizontal="center"/>
    </xf>
    <xf numFmtId="44" fontId="9" fillId="0" borderId="45" xfId="1" applyFont="1" applyBorder="1" applyAlignment="1">
      <alignment horizontal="center"/>
    </xf>
    <xf numFmtId="0" fontId="9" fillId="9" borderId="43" xfId="0" applyFont="1" applyFill="1" applyBorder="1" applyAlignment="1">
      <alignment horizontal="center" wrapText="1"/>
    </xf>
    <xf numFmtId="0" fontId="9" fillId="9" borderId="44" xfId="0" applyFont="1" applyFill="1" applyBorder="1" applyAlignment="1">
      <alignment horizontal="center" wrapText="1"/>
    </xf>
    <xf numFmtId="0" fontId="9" fillId="9" borderId="45" xfId="0" applyFont="1" applyFill="1" applyBorder="1" applyAlignment="1">
      <alignment horizontal="center" wrapText="1"/>
    </xf>
    <xf numFmtId="0" fontId="9" fillId="9" borderId="49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 wrapText="1"/>
    </xf>
    <xf numFmtId="0" fontId="9" fillId="9" borderId="28" xfId="0" applyFont="1" applyFill="1" applyBorder="1" applyAlignment="1">
      <alignment horizontal="center" wrapText="1"/>
    </xf>
    <xf numFmtId="0" fontId="9" fillId="9" borderId="34" xfId="0" applyFont="1" applyFill="1" applyBorder="1" applyAlignment="1">
      <alignment horizontal="center" wrapText="1"/>
    </xf>
    <xf numFmtId="0" fontId="9" fillId="9" borderId="2" xfId="0" applyFont="1" applyFill="1" applyBorder="1" applyAlignment="1">
      <alignment horizontal="center" wrapText="1"/>
    </xf>
    <xf numFmtId="0" fontId="9" fillId="9" borderId="35" xfId="0" applyFont="1" applyFill="1" applyBorder="1" applyAlignment="1">
      <alignment horizontal="center" wrapText="1"/>
    </xf>
    <xf numFmtId="164" fontId="2" fillId="4" borderId="54" xfId="0" applyNumberFormat="1" applyFont="1" applyFill="1" applyBorder="1" applyAlignment="1">
      <alignment horizontal="center"/>
    </xf>
    <xf numFmtId="164" fontId="2" fillId="4" borderId="55" xfId="0" applyNumberFormat="1" applyFont="1" applyFill="1" applyBorder="1" applyAlignment="1">
      <alignment horizontal="center"/>
    </xf>
    <xf numFmtId="165" fontId="19" fillId="0" borderId="52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 vertical="center" wrapText="1"/>
    </xf>
    <xf numFmtId="165" fontId="19" fillId="0" borderId="58" xfId="0" applyNumberFormat="1" applyFont="1" applyBorder="1" applyAlignment="1">
      <alignment horizontal="center"/>
    </xf>
    <xf numFmtId="0" fontId="19" fillId="0" borderId="58" xfId="0" applyFont="1" applyBorder="1" applyAlignment="1">
      <alignment horizontal="center"/>
    </xf>
    <xf numFmtId="165" fontId="19" fillId="0" borderId="44" xfId="0" applyNumberFormat="1" applyFont="1" applyBorder="1" applyAlignment="1">
      <alignment horizontal="center" vertical="center" wrapText="1"/>
    </xf>
    <xf numFmtId="44" fontId="2" fillId="0" borderId="0" xfId="0" applyNumberFormat="1" applyFont="1" applyBorder="1" applyAlignment="1">
      <alignment horizontal="center"/>
    </xf>
    <xf numFmtId="44" fontId="8" fillId="0" borderId="0" xfId="1" applyFont="1" applyBorder="1" applyAlignment="1">
      <alignment horizontal="center"/>
    </xf>
    <xf numFmtId="44" fontId="8" fillId="0" borderId="28" xfId="1" applyFont="1" applyBorder="1" applyAlignment="1">
      <alignment horizontal="center"/>
    </xf>
    <xf numFmtId="44" fontId="8" fillId="0" borderId="2" xfId="1" applyFont="1" applyFill="1" applyBorder="1" applyAlignment="1">
      <alignment horizontal="center" vertical="center"/>
    </xf>
    <xf numFmtId="44" fontId="8" fillId="0" borderId="35" xfId="1" applyFont="1" applyFill="1" applyBorder="1" applyAlignment="1">
      <alignment horizontal="center" vertical="center"/>
    </xf>
    <xf numFmtId="44" fontId="9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/>
    </xf>
    <xf numFmtId="44" fontId="2" fillId="0" borderId="42" xfId="0" applyNumberFormat="1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45" xfId="0" applyFont="1" applyFill="1" applyBorder="1" applyAlignment="1">
      <alignment horizontal="left" wrapText="1"/>
    </xf>
    <xf numFmtId="0" fontId="2" fillId="0" borderId="35" xfId="0" applyFont="1" applyFill="1" applyBorder="1" applyAlignment="1">
      <alignment horizontal="left" wrapText="1"/>
    </xf>
    <xf numFmtId="44" fontId="2" fillId="0" borderId="43" xfId="1" applyFont="1" applyFill="1" applyBorder="1" applyAlignment="1">
      <alignment horizontal="center" wrapText="1"/>
    </xf>
    <xf numFmtId="44" fontId="2" fillId="0" borderId="34" xfId="1" applyFont="1" applyFill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17" fontId="13" fillId="0" borderId="0" xfId="1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6600"/>
      <color rgb="FF00CC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629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343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72575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43</xdr:row>
      <xdr:rowOff>47625</xdr:rowOff>
    </xdr:from>
    <xdr:to>
      <xdr:col>7</xdr:col>
      <xdr:colOff>28575</xdr:colOff>
      <xdr:row>45</xdr:row>
      <xdr:rowOff>66675</xdr:rowOff>
    </xdr:to>
    <xdr:cxnSp macro="">
      <xdr:nvCxnSpPr>
        <xdr:cNvPr id="18" name="68 Conector recto de flecha"/>
        <xdr:cNvCxnSpPr/>
      </xdr:nvCxnSpPr>
      <xdr:spPr>
        <a:xfrm flipV="1">
          <a:off x="4105275" y="9182100"/>
          <a:ext cx="1276350" cy="43815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724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5439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77325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41057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78204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908685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2" name="5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3" name="5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4" name="5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5" name="5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6" name="56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7" name="5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8" name="58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9" name="59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0" name="60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1" name="61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2" name="62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3" name="63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38</xdr:row>
      <xdr:rowOff>19050</xdr:rowOff>
    </xdr:from>
    <xdr:to>
      <xdr:col>5</xdr:col>
      <xdr:colOff>295275</xdr:colOff>
      <xdr:row>38</xdr:row>
      <xdr:rowOff>161925</xdr:rowOff>
    </xdr:to>
    <xdr:cxnSp macro="">
      <xdr:nvCxnSpPr>
        <xdr:cNvPr id="14" name="64 Conector recto de flecha"/>
        <xdr:cNvCxnSpPr/>
      </xdr:nvCxnSpPr>
      <xdr:spPr>
        <a:xfrm>
          <a:off x="4105275" y="8124825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5" name="65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6" name="66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38100</xdr:colOff>
      <xdr:row>39</xdr:row>
      <xdr:rowOff>200024</xdr:rowOff>
    </xdr:from>
    <xdr:to>
      <xdr:col>5</xdr:col>
      <xdr:colOff>285750</xdr:colOff>
      <xdr:row>40</xdr:row>
      <xdr:rowOff>85724</xdr:rowOff>
    </xdr:to>
    <xdr:cxnSp macro="">
      <xdr:nvCxnSpPr>
        <xdr:cNvPr id="17" name="67 Conector recto de flecha"/>
        <xdr:cNvCxnSpPr/>
      </xdr:nvCxnSpPr>
      <xdr:spPr>
        <a:xfrm rot="10800000" flipV="1">
          <a:off x="4086225" y="8496299"/>
          <a:ext cx="247650" cy="952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57150</xdr:colOff>
      <xdr:row>41</xdr:row>
      <xdr:rowOff>95250</xdr:rowOff>
    </xdr:from>
    <xdr:to>
      <xdr:col>7</xdr:col>
      <xdr:colOff>152400</xdr:colOff>
      <xdr:row>45</xdr:row>
      <xdr:rowOff>66676</xdr:rowOff>
    </xdr:to>
    <xdr:cxnSp macro="">
      <xdr:nvCxnSpPr>
        <xdr:cNvPr id="18" name="68 Conector recto de flecha"/>
        <xdr:cNvCxnSpPr/>
      </xdr:nvCxnSpPr>
      <xdr:spPr>
        <a:xfrm flipV="1">
          <a:off x="4105275" y="8801100"/>
          <a:ext cx="1400175" cy="828676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P68"/>
  <sheetViews>
    <sheetView topLeftCell="A22"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8" t="s">
        <v>29</v>
      </c>
      <c r="C1" s="218"/>
      <c r="D1" s="218"/>
      <c r="E1" s="218"/>
      <c r="F1" s="218"/>
      <c r="G1" s="218"/>
      <c r="H1" s="218"/>
      <c r="I1" s="218"/>
      <c r="J1" s="218"/>
      <c r="L1" s="3" t="s">
        <v>0</v>
      </c>
      <c r="M1" s="4"/>
    </row>
    <row r="2" spans="1:16" ht="15.75" thickBot="1" x14ac:dyDescent="0.3">
      <c r="A2" s="1"/>
      <c r="B2" s="5"/>
      <c r="D2" s="7"/>
      <c r="E2" s="8"/>
      <c r="L2" s="9"/>
      <c r="M2" s="4"/>
    </row>
    <row r="3" spans="1:16" ht="19.5" customHeight="1" thickBot="1" x14ac:dyDescent="0.35">
      <c r="A3" s="219" t="s">
        <v>1</v>
      </c>
      <c r="B3" s="10" t="s">
        <v>2</v>
      </c>
      <c r="C3" s="11"/>
      <c r="D3" s="221" t="s">
        <v>3</v>
      </c>
      <c r="E3" s="221"/>
      <c r="F3" s="221"/>
      <c r="G3" s="222">
        <v>2000</v>
      </c>
      <c r="H3" s="222"/>
      <c r="I3" s="5"/>
      <c r="L3" s="9"/>
      <c r="M3" s="4"/>
    </row>
    <row r="4" spans="1:16" ht="20.25" thickTop="1" thickBot="1" x14ac:dyDescent="0.35">
      <c r="A4" s="220"/>
      <c r="B4" s="12">
        <v>117862.22</v>
      </c>
      <c r="C4" s="13"/>
      <c r="D4" s="223" t="s">
        <v>4</v>
      </c>
      <c r="E4" s="224"/>
      <c r="H4" s="225" t="s">
        <v>5</v>
      </c>
      <c r="I4" s="226"/>
      <c r="J4" s="226"/>
      <c r="K4" s="226"/>
      <c r="L4" s="14" t="s">
        <v>6</v>
      </c>
      <c r="P4" t="s">
        <v>23</v>
      </c>
    </row>
    <row r="5" spans="1:16" ht="17.25" thickTop="1" thickBot="1" x14ac:dyDescent="0.3">
      <c r="A5" s="16">
        <v>43101</v>
      </c>
      <c r="B5" s="17">
        <v>0</v>
      </c>
      <c r="C5" s="18"/>
      <c r="D5" s="107">
        <v>43101</v>
      </c>
      <c r="E5" s="109">
        <v>0</v>
      </c>
      <c r="F5" s="59"/>
      <c r="G5" s="110">
        <v>43101</v>
      </c>
      <c r="H5" s="111">
        <v>0</v>
      </c>
      <c r="I5" s="20"/>
      <c r="J5" s="21"/>
      <c r="K5" s="21"/>
      <c r="L5" s="112">
        <v>0</v>
      </c>
      <c r="M5" s="113" t="s">
        <v>17</v>
      </c>
    </row>
    <row r="6" spans="1:16" ht="17.25" thickTop="1" thickBot="1" x14ac:dyDescent="0.3">
      <c r="A6" s="23">
        <v>43102</v>
      </c>
      <c r="B6" s="17">
        <v>0</v>
      </c>
      <c r="C6" s="18"/>
      <c r="D6" s="106">
        <v>43102</v>
      </c>
      <c r="E6" s="24">
        <v>51339.8</v>
      </c>
      <c r="F6" s="25"/>
      <c r="G6" s="108">
        <v>43102</v>
      </c>
      <c r="H6" s="26">
        <v>0</v>
      </c>
      <c r="I6" s="27"/>
      <c r="J6" s="28" t="s">
        <v>8</v>
      </c>
      <c r="K6" s="29">
        <v>549</v>
      </c>
      <c r="L6" s="22">
        <f>30000+21340</f>
        <v>51340</v>
      </c>
      <c r="M6" s="103" t="s">
        <v>35</v>
      </c>
    </row>
    <row r="7" spans="1:16" ht="16.5" thickTop="1" thickBot="1" x14ac:dyDescent="0.3">
      <c r="A7" s="23">
        <v>43103</v>
      </c>
      <c r="B7" s="17">
        <v>0</v>
      </c>
      <c r="C7" s="18"/>
      <c r="D7" s="106">
        <v>43103</v>
      </c>
      <c r="E7" s="24">
        <v>47879.56</v>
      </c>
      <c r="F7" s="19"/>
      <c r="G7" s="108">
        <v>43103</v>
      </c>
      <c r="H7" s="26">
        <v>0</v>
      </c>
      <c r="I7" s="27" t="s">
        <v>66</v>
      </c>
      <c r="J7" s="30" t="s">
        <v>12</v>
      </c>
      <c r="K7" s="31">
        <v>8226.5</v>
      </c>
      <c r="L7" s="32">
        <v>78403</v>
      </c>
      <c r="M7" s="33" t="s">
        <v>35</v>
      </c>
    </row>
    <row r="8" spans="1:16" ht="16.5" thickTop="1" thickBot="1" x14ac:dyDescent="0.3">
      <c r="A8" s="23" t="s">
        <v>23</v>
      </c>
      <c r="B8" s="17">
        <v>0</v>
      </c>
      <c r="C8" s="34"/>
      <c r="D8" s="106">
        <v>43104</v>
      </c>
      <c r="E8" s="24">
        <v>50256.2</v>
      </c>
      <c r="F8" s="19"/>
      <c r="G8" s="108">
        <v>43104</v>
      </c>
      <c r="H8" s="26">
        <v>0</v>
      </c>
      <c r="I8" s="27"/>
      <c r="J8" s="28" t="s">
        <v>10</v>
      </c>
      <c r="K8" s="35">
        <f>7187.5+7187.5+7187.5+7187.5</f>
        <v>28750</v>
      </c>
      <c r="L8" s="114">
        <v>25000</v>
      </c>
      <c r="M8" s="115" t="s">
        <v>35</v>
      </c>
    </row>
    <row r="9" spans="1:16" ht="16.5" thickTop="1" thickBot="1" x14ac:dyDescent="0.3">
      <c r="A9" s="23">
        <v>43105</v>
      </c>
      <c r="B9" s="17">
        <v>0</v>
      </c>
      <c r="C9" s="36"/>
      <c r="D9" s="106">
        <v>43105</v>
      </c>
      <c r="E9" s="24">
        <v>52964.31</v>
      </c>
      <c r="F9" s="19"/>
      <c r="G9" s="108">
        <v>43105</v>
      </c>
      <c r="H9" s="26">
        <v>0</v>
      </c>
      <c r="I9" s="37" t="s">
        <v>40</v>
      </c>
      <c r="J9" s="28" t="s">
        <v>30</v>
      </c>
      <c r="K9" s="38">
        <v>7143.74</v>
      </c>
      <c r="L9" s="114">
        <f>52064.5+25256</f>
        <v>77320.5</v>
      </c>
      <c r="M9" s="115" t="s">
        <v>36</v>
      </c>
    </row>
    <row r="10" spans="1:16" ht="16.5" thickTop="1" thickBot="1" x14ac:dyDescent="0.3">
      <c r="A10" s="23">
        <v>43106</v>
      </c>
      <c r="B10" s="17">
        <v>0</v>
      </c>
      <c r="C10" s="34"/>
      <c r="D10" s="106">
        <v>43106</v>
      </c>
      <c r="E10" s="24">
        <v>87790.44</v>
      </c>
      <c r="F10" s="19"/>
      <c r="G10" s="108">
        <v>43106</v>
      </c>
      <c r="H10" s="26">
        <v>0</v>
      </c>
      <c r="I10" s="37" t="s">
        <v>41</v>
      </c>
      <c r="J10" s="28" t="s">
        <v>31</v>
      </c>
      <c r="K10" s="38">
        <v>6743.74</v>
      </c>
      <c r="L10" s="32">
        <v>87790.5</v>
      </c>
      <c r="M10" s="33" t="s">
        <v>7</v>
      </c>
    </row>
    <row r="11" spans="1:16" ht="16.5" thickTop="1" thickBot="1" x14ac:dyDescent="0.3">
      <c r="A11" s="23">
        <v>43107</v>
      </c>
      <c r="B11" s="17">
        <v>0</v>
      </c>
      <c r="C11" s="34"/>
      <c r="D11" s="106">
        <v>43107</v>
      </c>
      <c r="E11" s="24">
        <v>116588.6</v>
      </c>
      <c r="F11" s="19"/>
      <c r="G11" s="108">
        <v>43107</v>
      </c>
      <c r="H11" s="26">
        <v>0</v>
      </c>
      <c r="I11" s="37" t="s">
        <v>43</v>
      </c>
      <c r="J11" s="28" t="s">
        <v>32</v>
      </c>
      <c r="K11" s="38">
        <v>6743.74</v>
      </c>
      <c r="L11" s="32">
        <v>116589</v>
      </c>
      <c r="M11" s="33" t="s">
        <v>7</v>
      </c>
    </row>
    <row r="12" spans="1:16" ht="16.5" thickTop="1" thickBot="1" x14ac:dyDescent="0.3">
      <c r="A12" s="23">
        <v>43108</v>
      </c>
      <c r="B12" s="17">
        <v>0</v>
      </c>
      <c r="C12" s="34"/>
      <c r="D12" s="106">
        <v>43108</v>
      </c>
      <c r="E12" s="24">
        <v>56395.85</v>
      </c>
      <c r="F12" s="19"/>
      <c r="G12" s="108">
        <v>43108</v>
      </c>
      <c r="H12" s="26">
        <v>45</v>
      </c>
      <c r="I12" s="37" t="s">
        <v>45</v>
      </c>
      <c r="J12" s="28" t="s">
        <v>33</v>
      </c>
      <c r="K12" s="38">
        <v>8850.7999999999993</v>
      </c>
      <c r="L12" s="32">
        <v>56351</v>
      </c>
      <c r="M12" s="33" t="s">
        <v>7</v>
      </c>
      <c r="N12" s="39"/>
    </row>
    <row r="13" spans="1:16" ht="16.5" thickTop="1" thickBot="1" x14ac:dyDescent="0.3">
      <c r="A13" s="23">
        <v>43109</v>
      </c>
      <c r="B13" s="17">
        <v>0</v>
      </c>
      <c r="C13" s="34"/>
      <c r="D13" s="106">
        <v>43109</v>
      </c>
      <c r="E13" s="24">
        <v>28008.85</v>
      </c>
      <c r="F13" s="19"/>
      <c r="G13" s="108">
        <v>43109</v>
      </c>
      <c r="H13" s="26">
        <v>0</v>
      </c>
      <c r="I13" s="27"/>
      <c r="J13" s="28" t="s">
        <v>34</v>
      </c>
      <c r="K13" s="29">
        <v>0</v>
      </c>
      <c r="L13" s="32">
        <v>27139</v>
      </c>
      <c r="M13" s="33" t="s">
        <v>7</v>
      </c>
    </row>
    <row r="14" spans="1:16" ht="16.5" thickTop="1" thickBot="1" x14ac:dyDescent="0.3">
      <c r="A14" s="23">
        <v>43110</v>
      </c>
      <c r="B14" s="17">
        <v>0</v>
      </c>
      <c r="C14" s="36"/>
      <c r="D14" s="106">
        <v>43110</v>
      </c>
      <c r="E14" s="24">
        <v>78670.25</v>
      </c>
      <c r="F14" s="19"/>
      <c r="G14" s="108">
        <v>43110</v>
      </c>
      <c r="H14" s="26">
        <v>0</v>
      </c>
      <c r="I14" s="27"/>
      <c r="J14" s="40"/>
      <c r="K14" s="29">
        <v>0</v>
      </c>
      <c r="L14" s="32">
        <v>78670</v>
      </c>
      <c r="M14" s="33" t="s">
        <v>7</v>
      </c>
    </row>
    <row r="15" spans="1:16" ht="16.5" thickTop="1" thickBot="1" x14ac:dyDescent="0.3">
      <c r="A15" s="23">
        <v>43111</v>
      </c>
      <c r="B15" s="17">
        <v>0</v>
      </c>
      <c r="C15" s="36"/>
      <c r="D15" s="106">
        <v>43111</v>
      </c>
      <c r="E15" s="24">
        <v>48764.92</v>
      </c>
      <c r="F15" s="19"/>
      <c r="G15" s="108">
        <v>43111</v>
      </c>
      <c r="H15" s="26">
        <v>0</v>
      </c>
      <c r="I15" s="27"/>
      <c r="J15" s="41"/>
      <c r="K15" s="29">
        <v>0</v>
      </c>
      <c r="L15" s="32">
        <f>20000+28765</f>
        <v>48765</v>
      </c>
      <c r="M15" s="33" t="s">
        <v>37</v>
      </c>
    </row>
    <row r="16" spans="1:16" ht="16.5" thickTop="1" thickBot="1" x14ac:dyDescent="0.3">
      <c r="A16" s="23">
        <v>43112</v>
      </c>
      <c r="B16" s="17">
        <v>0</v>
      </c>
      <c r="C16" s="36"/>
      <c r="D16" s="106">
        <v>43112</v>
      </c>
      <c r="E16" s="24">
        <v>73047.429999999993</v>
      </c>
      <c r="F16" s="19"/>
      <c r="G16" s="108">
        <v>43112</v>
      </c>
      <c r="H16" s="26">
        <v>0</v>
      </c>
      <c r="I16" s="27"/>
      <c r="J16" s="42"/>
      <c r="K16" s="43">
        <v>0</v>
      </c>
      <c r="L16" s="32">
        <v>73047.5</v>
      </c>
      <c r="M16" s="33" t="s">
        <v>38</v>
      </c>
    </row>
    <row r="17" spans="1:13" ht="16.5" thickTop="1" thickBot="1" x14ac:dyDescent="0.3">
      <c r="A17" s="23">
        <v>43113</v>
      </c>
      <c r="B17" s="17">
        <v>0</v>
      </c>
      <c r="C17" s="36"/>
      <c r="D17" s="106">
        <v>43113</v>
      </c>
      <c r="E17" s="24">
        <v>63766.53</v>
      </c>
      <c r="F17" s="19"/>
      <c r="G17" s="108">
        <v>43113</v>
      </c>
      <c r="H17" s="26">
        <v>0</v>
      </c>
      <c r="I17" s="27"/>
      <c r="J17" s="228" t="s">
        <v>11</v>
      </c>
      <c r="K17" s="43">
        <v>0</v>
      </c>
      <c r="L17" s="32">
        <f>25000+38766.5</f>
        <v>63766.5</v>
      </c>
      <c r="M17" s="33" t="s">
        <v>39</v>
      </c>
    </row>
    <row r="18" spans="1:13" ht="16.5" thickTop="1" thickBot="1" x14ac:dyDescent="0.3">
      <c r="A18" s="23">
        <v>43114</v>
      </c>
      <c r="B18" s="17">
        <v>0</v>
      </c>
      <c r="C18" s="34"/>
      <c r="D18" s="106">
        <v>43114</v>
      </c>
      <c r="E18" s="24">
        <v>108703.25</v>
      </c>
      <c r="F18" s="19"/>
      <c r="G18" s="108">
        <v>43114</v>
      </c>
      <c r="H18" s="26">
        <v>0</v>
      </c>
      <c r="I18" s="44"/>
      <c r="J18" s="228"/>
      <c r="K18" s="45">
        <v>0</v>
      </c>
      <c r="L18" s="32">
        <v>108703</v>
      </c>
      <c r="M18" s="33" t="s">
        <v>42</v>
      </c>
    </row>
    <row r="19" spans="1:13" ht="17.25" thickTop="1" thickBot="1" x14ac:dyDescent="0.3">
      <c r="A19" s="23">
        <v>43115</v>
      </c>
      <c r="B19" s="17">
        <v>0</v>
      </c>
      <c r="C19" s="36"/>
      <c r="D19" s="106">
        <v>43115</v>
      </c>
      <c r="E19" s="24">
        <v>59324.65</v>
      </c>
      <c r="F19" s="19"/>
      <c r="G19" s="108">
        <v>43115</v>
      </c>
      <c r="H19" s="26">
        <v>0</v>
      </c>
      <c r="I19" s="27"/>
      <c r="J19" s="46" t="s">
        <v>12</v>
      </c>
      <c r="K19" s="45">
        <v>0</v>
      </c>
      <c r="L19" s="32">
        <v>59325</v>
      </c>
      <c r="M19" s="47" t="s">
        <v>42</v>
      </c>
    </row>
    <row r="20" spans="1:13" ht="17.25" thickTop="1" thickBot="1" x14ac:dyDescent="0.3">
      <c r="A20" s="23">
        <v>43116</v>
      </c>
      <c r="B20" s="17">
        <v>0</v>
      </c>
      <c r="C20" s="48"/>
      <c r="D20" s="106">
        <v>43116</v>
      </c>
      <c r="E20" s="24">
        <v>27336.45</v>
      </c>
      <c r="F20" s="19"/>
      <c r="G20" s="108">
        <v>43116</v>
      </c>
      <c r="H20" s="26">
        <v>35</v>
      </c>
      <c r="I20" s="49"/>
      <c r="J20" s="50" t="s">
        <v>13</v>
      </c>
      <c r="K20" s="51">
        <v>0</v>
      </c>
      <c r="L20" s="32">
        <f>15000+12301.5</f>
        <v>27301.5</v>
      </c>
      <c r="M20" s="47" t="s">
        <v>42</v>
      </c>
    </row>
    <row r="21" spans="1:13" ht="16.5" thickTop="1" thickBot="1" x14ac:dyDescent="0.3">
      <c r="A21" s="23">
        <v>43117</v>
      </c>
      <c r="B21" s="17">
        <v>0</v>
      </c>
      <c r="C21" s="48"/>
      <c r="D21" s="106">
        <v>43117</v>
      </c>
      <c r="E21" s="24">
        <v>44991.7</v>
      </c>
      <c r="F21" s="19"/>
      <c r="G21" s="108">
        <v>43117</v>
      </c>
      <c r="H21" s="26">
        <v>0</v>
      </c>
      <c r="I21" s="33" t="s">
        <v>14</v>
      </c>
      <c r="J21" s="52"/>
      <c r="K21" s="51"/>
      <c r="L21" s="32">
        <v>44992</v>
      </c>
      <c r="M21" s="33" t="s">
        <v>42</v>
      </c>
    </row>
    <row r="22" spans="1:13" ht="17.25" thickTop="1" thickBot="1" x14ac:dyDescent="0.3">
      <c r="A22" s="23">
        <v>43118</v>
      </c>
      <c r="B22" s="17">
        <v>0</v>
      </c>
      <c r="C22" s="36"/>
      <c r="D22" s="106">
        <v>43118</v>
      </c>
      <c r="E22" s="24">
        <v>42462.57</v>
      </c>
      <c r="F22" s="19"/>
      <c r="G22" s="108">
        <v>43118</v>
      </c>
      <c r="H22" s="26">
        <v>0</v>
      </c>
      <c r="I22" s="49"/>
      <c r="J22" s="53"/>
      <c r="K22" s="51">
        <v>0</v>
      </c>
      <c r="L22" s="32">
        <v>42462.5</v>
      </c>
      <c r="M22" s="47" t="s">
        <v>7</v>
      </c>
    </row>
    <row r="23" spans="1:13" ht="16.5" thickTop="1" thickBot="1" x14ac:dyDescent="0.3">
      <c r="A23" s="23">
        <v>43119</v>
      </c>
      <c r="B23" s="17">
        <v>0</v>
      </c>
      <c r="C23" s="36"/>
      <c r="D23" s="106">
        <v>43119</v>
      </c>
      <c r="E23" s="24">
        <v>48417.84</v>
      </c>
      <c r="F23" s="19"/>
      <c r="G23" s="108">
        <v>43119</v>
      </c>
      <c r="H23" s="26">
        <v>0</v>
      </c>
      <c r="I23" s="27"/>
      <c r="J23" s="52"/>
      <c r="K23" s="51">
        <v>0</v>
      </c>
      <c r="L23" s="32">
        <f>23418+25000</f>
        <v>48418</v>
      </c>
      <c r="M23" s="33" t="s">
        <v>42</v>
      </c>
    </row>
    <row r="24" spans="1:13" ht="16.5" thickTop="1" thickBot="1" x14ac:dyDescent="0.3">
      <c r="A24" s="23">
        <v>43120</v>
      </c>
      <c r="B24" s="17">
        <v>0</v>
      </c>
      <c r="C24" s="36"/>
      <c r="D24" s="106">
        <v>43120</v>
      </c>
      <c r="E24" s="24">
        <v>72875.55</v>
      </c>
      <c r="F24" s="19"/>
      <c r="G24" s="108">
        <v>43120</v>
      </c>
      <c r="H24" s="26">
        <v>0</v>
      </c>
      <c r="I24" s="27"/>
      <c r="J24" s="54" t="s">
        <v>15</v>
      </c>
      <c r="K24" s="51">
        <v>870</v>
      </c>
      <c r="L24" s="32">
        <v>72875.5</v>
      </c>
      <c r="M24" s="33" t="s">
        <v>42</v>
      </c>
    </row>
    <row r="25" spans="1:13" ht="16.5" thickTop="1" thickBot="1" x14ac:dyDescent="0.3">
      <c r="A25" s="23">
        <v>43121</v>
      </c>
      <c r="B25" s="17">
        <v>0</v>
      </c>
      <c r="C25" s="48"/>
      <c r="D25" s="106">
        <v>43121</v>
      </c>
      <c r="E25" s="24">
        <v>91675.199999999997</v>
      </c>
      <c r="F25" s="19"/>
      <c r="G25" s="108">
        <v>43121</v>
      </c>
      <c r="H25" s="26">
        <v>0</v>
      </c>
      <c r="I25" s="27"/>
      <c r="J25" s="55">
        <v>43109</v>
      </c>
      <c r="K25" s="51">
        <v>0</v>
      </c>
      <c r="L25" s="32">
        <v>91675</v>
      </c>
      <c r="M25" s="33" t="s">
        <v>42</v>
      </c>
    </row>
    <row r="26" spans="1:13" ht="16.5" thickTop="1" thickBot="1" x14ac:dyDescent="0.3">
      <c r="A26" s="23">
        <v>43122</v>
      </c>
      <c r="B26" s="17">
        <v>0</v>
      </c>
      <c r="C26" s="36"/>
      <c r="D26" s="106">
        <v>43122</v>
      </c>
      <c r="E26" s="24">
        <v>49134.87</v>
      </c>
      <c r="F26" s="19"/>
      <c r="G26" s="108">
        <v>43122</v>
      </c>
      <c r="H26" s="26">
        <v>0</v>
      </c>
      <c r="I26" s="27"/>
      <c r="J26" s="56" t="s">
        <v>16</v>
      </c>
      <c r="K26" s="27">
        <v>900</v>
      </c>
      <c r="L26" s="32">
        <v>49135</v>
      </c>
      <c r="M26" s="33" t="s">
        <v>44</v>
      </c>
    </row>
    <row r="27" spans="1:13" ht="16.5" thickTop="1" thickBot="1" x14ac:dyDescent="0.3">
      <c r="A27" s="23">
        <v>43123</v>
      </c>
      <c r="B27" s="17">
        <v>0</v>
      </c>
      <c r="C27" s="36"/>
      <c r="D27" s="106">
        <v>43123</v>
      </c>
      <c r="E27" s="24">
        <v>23021.200000000001</v>
      </c>
      <c r="F27" s="19"/>
      <c r="G27" s="108">
        <v>43123</v>
      </c>
      <c r="H27" s="26">
        <v>0</v>
      </c>
      <c r="I27" s="27"/>
      <c r="J27" s="116">
        <v>43105</v>
      </c>
      <c r="K27" s="27">
        <v>0</v>
      </c>
      <c r="L27" s="32">
        <v>23021</v>
      </c>
      <c r="M27" s="33" t="s">
        <v>44</v>
      </c>
    </row>
    <row r="28" spans="1:13" ht="16.5" thickTop="1" thickBot="1" x14ac:dyDescent="0.3">
      <c r="A28" s="23">
        <v>43124</v>
      </c>
      <c r="B28" s="17">
        <v>0</v>
      </c>
      <c r="C28" s="36"/>
      <c r="D28" s="106">
        <v>43124</v>
      </c>
      <c r="E28" s="24">
        <v>23747.55</v>
      </c>
      <c r="F28" s="19"/>
      <c r="G28" s="108">
        <v>43124</v>
      </c>
      <c r="H28" s="26">
        <v>35</v>
      </c>
      <c r="I28" s="27"/>
      <c r="J28" s="57"/>
      <c r="K28" s="51">
        <v>0</v>
      </c>
      <c r="L28" s="58">
        <v>23712.5</v>
      </c>
      <c r="M28" s="33" t="s">
        <v>44</v>
      </c>
    </row>
    <row r="29" spans="1:13" ht="16.5" thickTop="1" thickBot="1" x14ac:dyDescent="0.3">
      <c r="A29" s="23">
        <v>43125</v>
      </c>
      <c r="B29" s="17">
        <v>0</v>
      </c>
      <c r="C29" s="36"/>
      <c r="D29" s="106">
        <v>43125</v>
      </c>
      <c r="E29" s="24">
        <v>39067.49</v>
      </c>
      <c r="F29" s="19"/>
      <c r="G29" s="108">
        <v>43125</v>
      </c>
      <c r="H29" s="26">
        <v>0</v>
      </c>
      <c r="I29" s="27"/>
      <c r="J29" s="55"/>
      <c r="K29" s="51">
        <v>0</v>
      </c>
      <c r="L29" s="32">
        <v>39067.5</v>
      </c>
      <c r="M29" s="33" t="s">
        <v>44</v>
      </c>
    </row>
    <row r="30" spans="1:13" ht="16.5" thickTop="1" thickBot="1" x14ac:dyDescent="0.3">
      <c r="A30" s="23">
        <v>43126</v>
      </c>
      <c r="B30" s="17">
        <v>0</v>
      </c>
      <c r="C30" s="48"/>
      <c r="D30" s="106">
        <v>43126</v>
      </c>
      <c r="E30" s="24">
        <v>51264.7</v>
      </c>
      <c r="F30" s="19"/>
      <c r="G30" s="108">
        <v>43126</v>
      </c>
      <c r="H30" s="26">
        <v>0</v>
      </c>
      <c r="I30" s="27"/>
      <c r="J30" s="60" t="s">
        <v>18</v>
      </c>
      <c r="K30" s="51">
        <v>0</v>
      </c>
      <c r="L30" s="58">
        <v>51265</v>
      </c>
      <c r="M30" s="33" t="s">
        <v>44</v>
      </c>
    </row>
    <row r="31" spans="1:13" ht="16.5" thickTop="1" thickBot="1" x14ac:dyDescent="0.3">
      <c r="A31" s="23">
        <v>43127</v>
      </c>
      <c r="B31" s="17">
        <v>0</v>
      </c>
      <c r="C31" s="48"/>
      <c r="D31" s="106">
        <v>43127</v>
      </c>
      <c r="E31" s="24">
        <v>95768.7</v>
      </c>
      <c r="F31" s="19"/>
      <c r="G31" s="108">
        <v>43127</v>
      </c>
      <c r="H31" s="26">
        <v>0</v>
      </c>
      <c r="I31" s="61"/>
      <c r="J31" s="62"/>
      <c r="K31" s="51">
        <v>0</v>
      </c>
      <c r="L31" s="58">
        <v>95768.5</v>
      </c>
      <c r="M31" s="33" t="s">
        <v>44</v>
      </c>
    </row>
    <row r="32" spans="1:13" ht="16.5" thickTop="1" thickBot="1" x14ac:dyDescent="0.3">
      <c r="A32" s="23">
        <v>43128</v>
      </c>
      <c r="B32" s="17">
        <v>0</v>
      </c>
      <c r="C32" s="34"/>
      <c r="D32" s="106">
        <v>43128</v>
      </c>
      <c r="E32" s="24">
        <v>75164.56</v>
      </c>
      <c r="F32" s="19"/>
      <c r="G32" s="108">
        <v>43128</v>
      </c>
      <c r="H32" s="26">
        <v>0</v>
      </c>
      <c r="I32" s="61"/>
      <c r="J32" s="60"/>
      <c r="K32" s="29">
        <v>0</v>
      </c>
      <c r="L32" s="32">
        <v>75164.5</v>
      </c>
      <c r="M32" s="33" t="s">
        <v>44</v>
      </c>
    </row>
    <row r="33" spans="1:14" ht="16.5" thickTop="1" thickBot="1" x14ac:dyDescent="0.3">
      <c r="A33" s="23">
        <v>43129</v>
      </c>
      <c r="B33" s="17">
        <v>0</v>
      </c>
      <c r="C33" s="34"/>
      <c r="D33" s="106">
        <v>43129</v>
      </c>
      <c r="E33" s="24">
        <v>78471.64</v>
      </c>
      <c r="F33" s="19"/>
      <c r="G33" s="108">
        <v>43129</v>
      </c>
      <c r="H33" s="26">
        <v>0</v>
      </c>
      <c r="I33" s="27"/>
      <c r="J33" s="63"/>
      <c r="K33" s="38"/>
      <c r="L33" s="32">
        <v>78472</v>
      </c>
      <c r="M33" s="33" t="s">
        <v>44</v>
      </c>
    </row>
    <row r="34" spans="1:14" ht="17.25" thickTop="1" thickBot="1" x14ac:dyDescent="0.3">
      <c r="A34" s="23">
        <v>43130</v>
      </c>
      <c r="B34" s="17">
        <v>0</v>
      </c>
      <c r="C34" s="48"/>
      <c r="D34" s="106">
        <v>43130</v>
      </c>
      <c r="E34" s="24">
        <v>36087.5</v>
      </c>
      <c r="F34" s="19"/>
      <c r="G34" s="108">
        <v>43130</v>
      </c>
      <c r="H34" s="26">
        <v>35</v>
      </c>
      <c r="I34" s="27"/>
      <c r="J34" s="63"/>
      <c r="K34" s="38"/>
      <c r="L34" s="104">
        <v>55551</v>
      </c>
      <c r="M34" s="33" t="s">
        <v>44</v>
      </c>
      <c r="N34" s="64"/>
    </row>
    <row r="35" spans="1:14" ht="16.5" thickTop="1" thickBot="1" x14ac:dyDescent="0.3">
      <c r="A35" s="23">
        <v>43131</v>
      </c>
      <c r="B35" s="17">
        <v>0</v>
      </c>
      <c r="C35" s="18"/>
      <c r="D35" s="106">
        <v>43131</v>
      </c>
      <c r="E35" s="24">
        <v>55551.31</v>
      </c>
      <c r="F35" s="19"/>
      <c r="G35" s="108">
        <v>43131</v>
      </c>
      <c r="H35" s="26">
        <v>0</v>
      </c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1771091.5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1778539.47</v>
      </c>
      <c r="G38" s="7" t="s">
        <v>19</v>
      </c>
      <c r="H38" s="88">
        <f>SUM(H5:H37)</f>
        <v>150</v>
      </c>
      <c r="I38" s="88"/>
      <c r="J38" s="89" t="s">
        <v>19</v>
      </c>
      <c r="K38" s="90">
        <f t="shared" ref="K38" si="0">SUM(K5:K37)</f>
        <v>68777.51999999999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customHeight="1" x14ac:dyDescent="0.25">
      <c r="A40" s="1"/>
      <c r="B40" s="91">
        <v>0</v>
      </c>
      <c r="C40" s="92"/>
      <c r="D40" s="28"/>
      <c r="E40" s="71"/>
      <c r="G40" s="229" t="s">
        <v>20</v>
      </c>
      <c r="H40" s="230"/>
      <c r="I40" s="93"/>
      <c r="J40" s="231">
        <f>H38+K38</f>
        <v>68927.51999999999</v>
      </c>
      <c r="K40" s="232"/>
      <c r="L40" s="94"/>
      <c r="M40" s="95"/>
    </row>
    <row r="41" spans="1:14" ht="15.75" customHeight="1" x14ac:dyDescent="0.25">
      <c r="A41" s="1"/>
      <c r="B41" s="5"/>
      <c r="C41" s="233" t="s">
        <v>21</v>
      </c>
      <c r="D41" s="233"/>
      <c r="E41" s="51">
        <f>E38-J40</f>
        <v>1709611.95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-1717935.35</v>
      </c>
      <c r="H43" s="227"/>
      <c r="I43" s="227"/>
      <c r="J43" s="227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-8323.4000000001397</v>
      </c>
      <c r="H44" s="234" t="s">
        <v>26</v>
      </c>
      <c r="I44" s="234"/>
      <c r="J44" s="235">
        <f>E46</f>
        <v>150320.06999999986</v>
      </c>
      <c r="K44" s="236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158643.47</v>
      </c>
      <c r="H45" s="237" t="s">
        <v>1</v>
      </c>
      <c r="I45" s="237"/>
      <c r="J45" s="238">
        <f>-B4</f>
        <v>-117862.22</v>
      </c>
      <c r="K45" s="238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150320.06999999986</v>
      </c>
      <c r="I46" s="101"/>
      <c r="J46" s="239">
        <v>0</v>
      </c>
      <c r="K46" s="239"/>
      <c r="L46" s="94"/>
      <c r="M46" s="95"/>
    </row>
    <row r="47" spans="1:14" ht="19.5" thickBot="1" x14ac:dyDescent="0.3">
      <c r="A47" s="1"/>
      <c r="B47" s="5"/>
      <c r="E47" s="51"/>
      <c r="H47" s="240" t="s">
        <v>55</v>
      </c>
      <c r="I47" s="241"/>
      <c r="J47" s="242">
        <f>SUM(J44:K46)</f>
        <v>32457.84999999986</v>
      </c>
      <c r="K47" s="243"/>
      <c r="L47" s="94"/>
      <c r="M47" s="95"/>
    </row>
    <row r="48" spans="1:14" x14ac:dyDescent="0.25">
      <c r="A48" s="1"/>
      <c r="B48" s="5"/>
      <c r="C48" s="227"/>
      <c r="D48" s="22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51181102362204722" right="0.31496062992125984" top="0.19685039370078741" bottom="0.15748031496062992" header="0.31496062992125984" footer="0.31496062992125984"/>
  <pageSetup scale="75" orientation="landscape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4"/>
  <sheetViews>
    <sheetView workbookViewId="0">
      <selection activeCell="D3" sqref="D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4" t="s">
        <v>46</v>
      </c>
      <c r="D1" s="245"/>
      <c r="E1" s="246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7" t="s">
        <v>52</v>
      </c>
      <c r="I2" s="248"/>
      <c r="J2" s="249"/>
    </row>
    <row r="3" spans="1:10" x14ac:dyDescent="0.25">
      <c r="A3" s="124">
        <v>43222</v>
      </c>
      <c r="B3" s="194">
        <v>995</v>
      </c>
      <c r="C3" s="195">
        <v>96187.08</v>
      </c>
      <c r="D3" s="127"/>
      <c r="E3" s="126"/>
      <c r="F3" s="128">
        <f t="shared" ref="F3:F33" si="0">C3-E3</f>
        <v>96187.08</v>
      </c>
      <c r="H3" s="250"/>
      <c r="I3" s="251"/>
      <c r="J3" s="252"/>
    </row>
    <row r="4" spans="1:10" x14ac:dyDescent="0.25">
      <c r="A4" s="124">
        <v>43223</v>
      </c>
      <c r="B4" s="194">
        <v>1000</v>
      </c>
      <c r="C4" s="195">
        <v>94998.7</v>
      </c>
      <c r="D4" s="127"/>
      <c r="E4" s="131"/>
      <c r="F4" s="132">
        <f t="shared" si="0"/>
        <v>94998.7</v>
      </c>
      <c r="H4" s="250"/>
      <c r="I4" s="251"/>
      <c r="J4" s="252"/>
    </row>
    <row r="5" spans="1:10" ht="15.75" thickBot="1" x14ac:dyDescent="0.3">
      <c r="A5" s="129">
        <v>43224</v>
      </c>
      <c r="B5" s="130" t="s">
        <v>108</v>
      </c>
      <c r="C5" s="131">
        <v>27342.1</v>
      </c>
      <c r="D5" s="127"/>
      <c r="E5" s="131"/>
      <c r="F5" s="132">
        <f t="shared" si="0"/>
        <v>27342.1</v>
      </c>
      <c r="H5" s="253"/>
      <c r="I5" s="254"/>
      <c r="J5" s="255"/>
    </row>
    <row r="6" spans="1:10" x14ac:dyDescent="0.25">
      <c r="A6" s="129">
        <v>43225</v>
      </c>
      <c r="B6" s="130" t="s">
        <v>109</v>
      </c>
      <c r="C6" s="131">
        <v>156417</v>
      </c>
      <c r="D6" s="127"/>
      <c r="E6" s="131"/>
      <c r="F6" s="133">
        <f t="shared" si="0"/>
        <v>156417</v>
      </c>
    </row>
    <row r="7" spans="1:10" x14ac:dyDescent="0.25">
      <c r="A7" s="129">
        <v>43227</v>
      </c>
      <c r="B7" s="130" t="s">
        <v>110</v>
      </c>
      <c r="C7" s="131">
        <v>63444</v>
      </c>
      <c r="D7" s="127"/>
      <c r="E7" s="131"/>
      <c r="F7" s="133">
        <f t="shared" si="0"/>
        <v>63444</v>
      </c>
    </row>
    <row r="8" spans="1:10" x14ac:dyDescent="0.25">
      <c r="A8" s="129">
        <v>43229</v>
      </c>
      <c r="B8" s="130" t="s">
        <v>111</v>
      </c>
      <c r="C8" s="131">
        <v>76628.039999999994</v>
      </c>
      <c r="D8" s="127"/>
      <c r="E8" s="131"/>
      <c r="F8" s="133">
        <f t="shared" si="0"/>
        <v>76628.039999999994</v>
      </c>
    </row>
    <row r="9" spans="1:10" x14ac:dyDescent="0.25">
      <c r="A9" s="129">
        <v>43231</v>
      </c>
      <c r="B9" s="130" t="s">
        <v>112</v>
      </c>
      <c r="C9" s="131">
        <v>115386</v>
      </c>
      <c r="D9" s="127"/>
      <c r="E9" s="131"/>
      <c r="F9" s="133">
        <f t="shared" si="0"/>
        <v>115386</v>
      </c>
    </row>
    <row r="10" spans="1:10" ht="30" x14ac:dyDescent="0.25">
      <c r="A10" s="129">
        <v>43233</v>
      </c>
      <c r="B10" s="192" t="s">
        <v>113</v>
      </c>
      <c r="C10" s="131">
        <v>1891.4</v>
      </c>
      <c r="D10" s="127"/>
      <c r="E10" s="131"/>
      <c r="F10" s="133">
        <f t="shared" si="0"/>
        <v>1891.4</v>
      </c>
    </row>
    <row r="11" spans="1:10" x14ac:dyDescent="0.25">
      <c r="A11" s="129">
        <v>43234</v>
      </c>
      <c r="B11" s="130" t="s">
        <v>114</v>
      </c>
      <c r="C11" s="131">
        <v>87672.1</v>
      </c>
      <c r="D11" s="127"/>
      <c r="E11" s="131"/>
      <c r="F11" s="133">
        <f t="shared" si="0"/>
        <v>87672.1</v>
      </c>
    </row>
    <row r="12" spans="1:10" x14ac:dyDescent="0.25">
      <c r="A12" s="134">
        <v>43236</v>
      </c>
      <c r="B12" s="135" t="s">
        <v>115</v>
      </c>
      <c r="C12" s="131">
        <v>114257.4</v>
      </c>
      <c r="D12" s="127"/>
      <c r="E12" s="131"/>
      <c r="F12" s="133">
        <f t="shared" si="0"/>
        <v>114257.4</v>
      </c>
    </row>
    <row r="13" spans="1:10" x14ac:dyDescent="0.25">
      <c r="A13" s="134">
        <v>43237</v>
      </c>
      <c r="B13" s="135" t="s">
        <v>116</v>
      </c>
      <c r="C13" s="131">
        <v>68488.460000000006</v>
      </c>
      <c r="D13" s="127"/>
      <c r="E13" s="131"/>
      <c r="F13" s="133">
        <f t="shared" si="0"/>
        <v>68488.460000000006</v>
      </c>
    </row>
    <row r="14" spans="1:10" x14ac:dyDescent="0.25">
      <c r="A14" s="134">
        <v>43238</v>
      </c>
      <c r="B14" s="135" t="s">
        <v>117</v>
      </c>
      <c r="C14" s="131">
        <v>42337</v>
      </c>
      <c r="D14" s="127"/>
      <c r="E14" s="131"/>
      <c r="F14" s="133">
        <f t="shared" si="0"/>
        <v>42337</v>
      </c>
    </row>
    <row r="15" spans="1:10" x14ac:dyDescent="0.25">
      <c r="A15" s="134">
        <v>43238</v>
      </c>
      <c r="B15" s="135" t="s">
        <v>118</v>
      </c>
      <c r="C15" s="131">
        <v>25554</v>
      </c>
      <c r="D15" s="127"/>
      <c r="E15" s="131"/>
      <c r="F15" s="133">
        <f t="shared" si="0"/>
        <v>25554</v>
      </c>
    </row>
    <row r="16" spans="1:10" x14ac:dyDescent="0.25">
      <c r="A16" s="134">
        <v>43238</v>
      </c>
      <c r="B16" s="135" t="s">
        <v>133</v>
      </c>
      <c r="C16" s="131">
        <v>51420</v>
      </c>
      <c r="D16" s="127"/>
      <c r="E16" s="131"/>
      <c r="F16" s="133">
        <f t="shared" si="0"/>
        <v>51420</v>
      </c>
    </row>
    <row r="17" spans="1:6" x14ac:dyDescent="0.25">
      <c r="A17" s="134">
        <v>43241</v>
      </c>
      <c r="B17" s="135" t="s">
        <v>119</v>
      </c>
      <c r="C17" s="131">
        <v>75336</v>
      </c>
      <c r="D17" s="127"/>
      <c r="E17" s="131"/>
      <c r="F17" s="133">
        <f t="shared" si="0"/>
        <v>75336</v>
      </c>
    </row>
    <row r="18" spans="1:6" x14ac:dyDescent="0.25">
      <c r="A18" s="134">
        <v>43242</v>
      </c>
      <c r="B18" s="135" t="s">
        <v>120</v>
      </c>
      <c r="C18" s="131">
        <v>61609</v>
      </c>
      <c r="D18" s="127"/>
      <c r="E18" s="131"/>
      <c r="F18" s="133">
        <f t="shared" si="0"/>
        <v>61609</v>
      </c>
    </row>
    <row r="19" spans="1:6" x14ac:dyDescent="0.25">
      <c r="A19" s="134">
        <v>43243</v>
      </c>
      <c r="B19" s="135" t="s">
        <v>121</v>
      </c>
      <c r="C19" s="131">
        <v>62797.69</v>
      </c>
      <c r="D19" s="127"/>
      <c r="E19" s="131"/>
      <c r="F19" s="133">
        <f t="shared" si="0"/>
        <v>62797.69</v>
      </c>
    </row>
    <row r="20" spans="1:6" x14ac:dyDescent="0.25">
      <c r="A20" s="134">
        <v>43244</v>
      </c>
      <c r="B20" s="135" t="s">
        <v>122</v>
      </c>
      <c r="C20" s="131">
        <v>72764.67</v>
      </c>
      <c r="D20" s="127"/>
      <c r="E20" s="131"/>
      <c r="F20" s="133">
        <f t="shared" si="0"/>
        <v>72764.67</v>
      </c>
    </row>
    <row r="21" spans="1:6" x14ac:dyDescent="0.25">
      <c r="A21" s="134">
        <v>43245</v>
      </c>
      <c r="B21" s="135" t="s">
        <v>123</v>
      </c>
      <c r="C21" s="131">
        <v>38355</v>
      </c>
      <c r="D21" s="127"/>
      <c r="E21" s="131"/>
      <c r="F21" s="133">
        <f t="shared" si="0"/>
        <v>38355</v>
      </c>
    </row>
    <row r="22" spans="1:6" x14ac:dyDescent="0.25">
      <c r="A22" s="134">
        <v>43245</v>
      </c>
      <c r="B22" s="135" t="s">
        <v>124</v>
      </c>
      <c r="C22" s="131">
        <v>28975</v>
      </c>
      <c r="D22" s="127"/>
      <c r="E22" s="131"/>
      <c r="F22" s="133">
        <f t="shared" si="0"/>
        <v>28975</v>
      </c>
    </row>
    <row r="23" spans="1:6" x14ac:dyDescent="0.25">
      <c r="A23" s="134">
        <v>43246</v>
      </c>
      <c r="B23" s="135" t="s">
        <v>125</v>
      </c>
      <c r="C23" s="131">
        <v>32280</v>
      </c>
      <c r="D23" s="127"/>
      <c r="E23" s="131"/>
      <c r="F23" s="133">
        <f t="shared" si="0"/>
        <v>32280</v>
      </c>
    </row>
    <row r="24" spans="1:6" x14ac:dyDescent="0.25">
      <c r="A24" s="134">
        <v>43248</v>
      </c>
      <c r="B24" s="135" t="s">
        <v>126</v>
      </c>
      <c r="C24" s="131">
        <v>75710</v>
      </c>
      <c r="D24" s="127"/>
      <c r="E24" s="131"/>
      <c r="F24" s="133">
        <f t="shared" si="0"/>
        <v>75710</v>
      </c>
    </row>
    <row r="25" spans="1:6" x14ac:dyDescent="0.25">
      <c r="A25" s="134">
        <v>43249</v>
      </c>
      <c r="B25" s="135" t="s">
        <v>127</v>
      </c>
      <c r="C25" s="131">
        <v>61206.400000000001</v>
      </c>
      <c r="D25" s="127"/>
      <c r="E25" s="131"/>
      <c r="F25" s="133">
        <f t="shared" si="0"/>
        <v>61206.400000000001</v>
      </c>
    </row>
    <row r="26" spans="1:6" x14ac:dyDescent="0.25">
      <c r="A26" s="134">
        <v>43251</v>
      </c>
      <c r="B26" s="135" t="s">
        <v>134</v>
      </c>
      <c r="C26" s="131">
        <v>102551.92</v>
      </c>
      <c r="D26" s="127"/>
      <c r="E26" s="131"/>
      <c r="F26" s="133">
        <f t="shared" si="0"/>
        <v>102551.92</v>
      </c>
    </row>
    <row r="27" spans="1:6" x14ac:dyDescent="0.25">
      <c r="A27" s="134"/>
      <c r="B27" s="135"/>
      <c r="C27" s="131"/>
      <c r="D27" s="127"/>
      <c r="E27" s="131"/>
      <c r="F27" s="133">
        <f t="shared" si="0"/>
        <v>0</v>
      </c>
    </row>
    <row r="28" spans="1:6" x14ac:dyDescent="0.25">
      <c r="A28" s="134"/>
      <c r="B28" s="135"/>
      <c r="C28" s="131"/>
      <c r="D28" s="127"/>
      <c r="E28" s="131"/>
      <c r="F28" s="133">
        <f t="shared" si="0"/>
        <v>0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ht="16.5" thickBot="1" x14ac:dyDescent="0.3">
      <c r="A33" s="161" t="s">
        <v>53</v>
      </c>
      <c r="B33" s="162"/>
      <c r="C33" s="142"/>
      <c r="D33" s="143"/>
      <c r="E33" s="144">
        <v>42096.5</v>
      </c>
      <c r="F33" s="145">
        <f t="shared" si="0"/>
        <v>-42096.5</v>
      </c>
    </row>
    <row r="34" spans="1:6" s="151" customFormat="1" ht="19.5" thickBot="1" x14ac:dyDescent="0.35">
      <c r="A34" s="149"/>
      <c r="B34" s="150"/>
      <c r="C34" s="146">
        <f>SUM(C3:C33)</f>
        <v>1633608.9599999995</v>
      </c>
      <c r="D34" s="146"/>
      <c r="E34" s="152">
        <f>SUM(E3:E33)</f>
        <v>42096.5</v>
      </c>
      <c r="F34" s="152">
        <f>SUM(F3:F33)</f>
        <v>1591512.4599999995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P68"/>
  <sheetViews>
    <sheetView topLeftCell="B8" workbookViewId="0">
      <selection activeCell="L40" sqref="L40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8" t="s">
        <v>135</v>
      </c>
      <c r="C1" s="218"/>
      <c r="D1" s="218"/>
      <c r="E1" s="218"/>
      <c r="F1" s="218"/>
      <c r="G1" s="218"/>
      <c r="H1" s="218"/>
      <c r="I1" s="218"/>
      <c r="J1" s="218"/>
      <c r="L1" s="3" t="s">
        <v>0</v>
      </c>
      <c r="M1" s="4"/>
    </row>
    <row r="2" spans="1:16" ht="15.75" thickBot="1" x14ac:dyDescent="0.3">
      <c r="A2" s="1"/>
      <c r="B2" s="5"/>
      <c r="D2" s="196"/>
      <c r="E2" s="8"/>
      <c r="L2" s="9"/>
      <c r="M2" s="4"/>
    </row>
    <row r="3" spans="1:16" ht="19.5" customHeight="1" thickBot="1" x14ac:dyDescent="0.35">
      <c r="A3" s="219" t="s">
        <v>1</v>
      </c>
      <c r="B3" s="10" t="s">
        <v>2</v>
      </c>
      <c r="C3" s="11"/>
      <c r="D3" s="221" t="s">
        <v>3</v>
      </c>
      <c r="E3" s="221"/>
      <c r="F3" s="221"/>
      <c r="G3" s="222">
        <v>2000</v>
      </c>
      <c r="H3" s="222"/>
      <c r="I3" s="5"/>
      <c r="L3" s="9"/>
      <c r="M3" s="4"/>
    </row>
    <row r="4" spans="1:16" ht="20.25" thickTop="1" thickBot="1" x14ac:dyDescent="0.35">
      <c r="A4" s="220"/>
      <c r="B4" s="12">
        <v>183107.03</v>
      </c>
      <c r="C4" s="13"/>
      <c r="D4" s="223" t="s">
        <v>4</v>
      </c>
      <c r="E4" s="224"/>
      <c r="H4" s="225" t="s">
        <v>5</v>
      </c>
      <c r="I4" s="226"/>
      <c r="J4" s="226"/>
      <c r="K4" s="226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43252</v>
      </c>
      <c r="E5" s="157">
        <v>56610.7</v>
      </c>
      <c r="F5" s="158"/>
      <c r="G5" s="159">
        <v>43252</v>
      </c>
      <c r="H5" s="160">
        <v>0</v>
      </c>
      <c r="I5" s="20"/>
      <c r="J5" s="21"/>
      <c r="K5" s="21"/>
      <c r="L5" s="22">
        <v>56610.5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43253</v>
      </c>
      <c r="E6" s="24">
        <v>74760.02</v>
      </c>
      <c r="F6" s="25"/>
      <c r="G6" s="159">
        <v>43253</v>
      </c>
      <c r="H6" s="26">
        <v>100</v>
      </c>
      <c r="I6" s="27"/>
      <c r="J6" s="28" t="s">
        <v>8</v>
      </c>
      <c r="K6" s="29">
        <v>549</v>
      </c>
      <c r="L6" s="22">
        <f>35000+20000+15000+9753.5</f>
        <v>79753.5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43254</v>
      </c>
      <c r="E7" s="24">
        <v>87610.05</v>
      </c>
      <c r="F7" s="19"/>
      <c r="G7" s="159">
        <v>43254</v>
      </c>
      <c r="H7" s="26">
        <v>0</v>
      </c>
      <c r="I7" s="61"/>
      <c r="J7" s="30" t="s">
        <v>9</v>
      </c>
      <c r="K7" s="31">
        <v>7121.5</v>
      </c>
      <c r="L7" s="22">
        <v>87610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43255</v>
      </c>
      <c r="E8" s="24">
        <v>35707.019999999997</v>
      </c>
      <c r="F8" s="19"/>
      <c r="G8" s="159">
        <v>43255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35707.019999999997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43256</v>
      </c>
      <c r="E9" s="24">
        <v>24915.439999999999</v>
      </c>
      <c r="F9" s="19"/>
      <c r="G9" s="159">
        <v>43256</v>
      </c>
      <c r="H9" s="26">
        <v>0</v>
      </c>
      <c r="I9" s="37" t="s">
        <v>168</v>
      </c>
      <c r="J9" s="28" t="s">
        <v>136</v>
      </c>
      <c r="K9" s="38">
        <v>8000.88</v>
      </c>
      <c r="L9" s="22">
        <v>24915.5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43257</v>
      </c>
      <c r="E10" s="24">
        <v>35664.85</v>
      </c>
      <c r="F10" s="19"/>
      <c r="G10" s="159">
        <v>43257</v>
      </c>
      <c r="H10" s="26">
        <v>0</v>
      </c>
      <c r="I10" s="193" t="s">
        <v>169</v>
      </c>
      <c r="J10" s="28" t="s">
        <v>137</v>
      </c>
      <c r="K10" s="38">
        <v>7929.45</v>
      </c>
      <c r="L10" s="22">
        <f>15000+20665</f>
        <v>35665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43258</v>
      </c>
      <c r="E11" s="24">
        <v>57993.3</v>
      </c>
      <c r="F11" s="19"/>
      <c r="G11" s="159">
        <v>43258</v>
      </c>
      <c r="H11" s="26">
        <v>0</v>
      </c>
      <c r="I11" s="37" t="s">
        <v>170</v>
      </c>
      <c r="J11" s="28" t="s">
        <v>138</v>
      </c>
      <c r="K11" s="38">
        <v>7477.12</v>
      </c>
      <c r="L11" s="22">
        <v>57093.5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43259</v>
      </c>
      <c r="E12" s="24">
        <v>68841.3</v>
      </c>
      <c r="F12" s="19"/>
      <c r="G12" s="159">
        <v>43259</v>
      </c>
      <c r="H12" s="26">
        <v>0</v>
      </c>
      <c r="I12" s="37" t="s">
        <v>171</v>
      </c>
      <c r="J12" s="28" t="s">
        <v>166</v>
      </c>
      <c r="K12" s="38">
        <v>10058.200000000001</v>
      </c>
      <c r="L12" s="22">
        <f>40000+28841.5</f>
        <v>68841.5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43260</v>
      </c>
      <c r="E13" s="24">
        <v>109732.16</v>
      </c>
      <c r="F13" s="19"/>
      <c r="G13" s="159">
        <v>43260</v>
      </c>
      <c r="H13" s="26">
        <v>50</v>
      </c>
      <c r="I13" s="37"/>
      <c r="J13" s="28" t="s">
        <v>167</v>
      </c>
      <c r="K13" s="29">
        <v>0</v>
      </c>
      <c r="L13" s="22">
        <v>109682.16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43261</v>
      </c>
      <c r="E14" s="24">
        <v>74896.759999999995</v>
      </c>
      <c r="F14" s="19"/>
      <c r="G14" s="159">
        <v>43261</v>
      </c>
      <c r="H14" s="26">
        <v>0</v>
      </c>
      <c r="I14" s="61"/>
      <c r="J14" s="40" t="s">
        <v>92</v>
      </c>
      <c r="K14" s="29">
        <v>0</v>
      </c>
      <c r="L14" s="22">
        <v>74897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43262</v>
      </c>
      <c r="E15" s="24">
        <v>68788.5</v>
      </c>
      <c r="F15" s="19"/>
      <c r="G15" s="159">
        <v>43262</v>
      </c>
      <c r="H15" s="26">
        <v>35</v>
      </c>
      <c r="I15" s="27"/>
      <c r="J15" s="175"/>
      <c r="K15" s="29">
        <v>0</v>
      </c>
      <c r="L15" s="22">
        <f>50000+18753.5</f>
        <v>68753.5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43263</v>
      </c>
      <c r="E16" s="24">
        <v>39487.33</v>
      </c>
      <c r="F16" s="19"/>
      <c r="G16" s="159">
        <v>43263</v>
      </c>
      <c r="H16" s="26">
        <v>0</v>
      </c>
      <c r="I16" s="27"/>
      <c r="J16" s="42"/>
      <c r="K16" s="43">
        <v>0</v>
      </c>
      <c r="L16" s="22">
        <v>39487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43264</v>
      </c>
      <c r="E17" s="24">
        <v>48622.95</v>
      </c>
      <c r="F17" s="19"/>
      <c r="G17" s="159">
        <v>43264</v>
      </c>
      <c r="H17" s="210">
        <v>0</v>
      </c>
      <c r="I17" s="275" t="s">
        <v>187</v>
      </c>
      <c r="J17" s="273" t="s">
        <v>186</v>
      </c>
      <c r="K17" s="43">
        <v>12702</v>
      </c>
      <c r="L17" s="198">
        <f>20000+28623</f>
        <v>48623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43265</v>
      </c>
      <c r="E18" s="24">
        <v>38604.47</v>
      </c>
      <c r="F18" s="19"/>
      <c r="G18" s="159">
        <v>43265</v>
      </c>
      <c r="H18" s="210">
        <v>0</v>
      </c>
      <c r="I18" s="276"/>
      <c r="J18" s="274"/>
      <c r="K18" s="45">
        <v>0</v>
      </c>
      <c r="L18" s="198">
        <v>38604.5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43266</v>
      </c>
      <c r="E19" s="24">
        <v>60550.45</v>
      </c>
      <c r="F19" s="19"/>
      <c r="G19" s="159">
        <v>43266</v>
      </c>
      <c r="H19" s="26">
        <v>20</v>
      </c>
      <c r="I19" s="27"/>
      <c r="J19" s="46" t="s">
        <v>12</v>
      </c>
      <c r="K19" s="45">
        <v>0</v>
      </c>
      <c r="L19" s="198">
        <v>60530.45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43267</v>
      </c>
      <c r="E20" s="24">
        <v>64910.42</v>
      </c>
      <c r="F20" s="19"/>
      <c r="G20" s="159">
        <v>43267</v>
      </c>
      <c r="H20" s="26">
        <v>0</v>
      </c>
      <c r="I20" s="49"/>
      <c r="J20" s="50"/>
      <c r="K20" s="51" t="s">
        <v>153</v>
      </c>
      <c r="L20" s="198">
        <f>29910.5+35000</f>
        <v>64910.5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43268</v>
      </c>
      <c r="E21" s="24">
        <v>107644.64</v>
      </c>
      <c r="F21" s="19"/>
      <c r="G21" s="159">
        <v>43268</v>
      </c>
      <c r="H21" s="26">
        <v>0</v>
      </c>
      <c r="I21" s="33"/>
      <c r="J21" s="52"/>
      <c r="K21" s="51"/>
      <c r="L21" s="22">
        <v>107645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43269</v>
      </c>
      <c r="E22" s="24">
        <v>41492.11</v>
      </c>
      <c r="F22" s="19"/>
      <c r="G22" s="159">
        <v>43269</v>
      </c>
      <c r="H22" s="26">
        <v>35</v>
      </c>
      <c r="I22" s="49" t="s">
        <v>23</v>
      </c>
      <c r="J22" s="53"/>
      <c r="K22" s="51">
        <v>0</v>
      </c>
      <c r="L22" s="22">
        <f>15000+26457</f>
        <v>41457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43270</v>
      </c>
      <c r="E23" s="24">
        <v>57868.9</v>
      </c>
      <c r="F23" s="19"/>
      <c r="G23" s="159">
        <v>43270</v>
      </c>
      <c r="H23" s="26">
        <v>0</v>
      </c>
      <c r="I23" s="27"/>
      <c r="J23" s="52"/>
      <c r="K23" s="51">
        <v>0</v>
      </c>
      <c r="L23" s="22">
        <v>57869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43271</v>
      </c>
      <c r="E24" s="24">
        <v>35906.54</v>
      </c>
      <c r="F24" s="19"/>
      <c r="G24" s="159">
        <v>43271</v>
      </c>
      <c r="H24" s="26">
        <v>0</v>
      </c>
      <c r="I24" s="27"/>
      <c r="J24" s="54" t="s">
        <v>15</v>
      </c>
      <c r="K24" s="51">
        <v>870</v>
      </c>
      <c r="L24" s="22">
        <v>35906.5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43272</v>
      </c>
      <c r="E25" s="24">
        <v>50579.79</v>
      </c>
      <c r="F25" s="19"/>
      <c r="G25" s="159">
        <v>43272</v>
      </c>
      <c r="H25" s="26">
        <v>0</v>
      </c>
      <c r="I25" s="27"/>
      <c r="J25" s="55">
        <v>43253</v>
      </c>
      <c r="K25" s="51">
        <v>0</v>
      </c>
      <c r="L25" s="22">
        <v>50580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43273</v>
      </c>
      <c r="E26" s="24">
        <v>80834.55</v>
      </c>
      <c r="F26" s="19"/>
      <c r="G26" s="159">
        <v>43273</v>
      </c>
      <c r="H26" s="26">
        <v>160</v>
      </c>
      <c r="I26" s="27"/>
      <c r="J26" s="56" t="s">
        <v>16</v>
      </c>
      <c r="K26" s="27">
        <v>900</v>
      </c>
      <c r="L26" s="22">
        <f>40674.5+40000</f>
        <v>80674.5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43274</v>
      </c>
      <c r="E27" s="24">
        <v>94229.28</v>
      </c>
      <c r="F27" s="19"/>
      <c r="G27" s="159">
        <v>43274</v>
      </c>
      <c r="H27" s="26">
        <v>0</v>
      </c>
      <c r="I27" s="27"/>
      <c r="J27" s="116">
        <v>43258</v>
      </c>
      <c r="K27" s="27">
        <v>0</v>
      </c>
      <c r="L27" s="22">
        <v>94229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43275</v>
      </c>
      <c r="E28" s="24">
        <v>127533.64</v>
      </c>
      <c r="F28" s="19"/>
      <c r="G28" s="159">
        <v>43275</v>
      </c>
      <c r="H28" s="26">
        <v>0</v>
      </c>
      <c r="I28" s="27"/>
      <c r="J28" s="57"/>
      <c r="K28" s="51">
        <v>0</v>
      </c>
      <c r="L28" s="22">
        <v>127533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43276</v>
      </c>
      <c r="E29" s="24">
        <v>60706.92</v>
      </c>
      <c r="F29" s="19"/>
      <c r="G29" s="159">
        <v>43276</v>
      </c>
      <c r="H29" s="26">
        <v>0</v>
      </c>
      <c r="I29" s="27"/>
      <c r="J29" s="55"/>
      <c r="K29" s="51">
        <v>0</v>
      </c>
      <c r="L29" s="22">
        <v>60707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43277</v>
      </c>
      <c r="E30" s="24">
        <v>78556.850000000006</v>
      </c>
      <c r="F30" s="19"/>
      <c r="G30" s="159">
        <v>43277</v>
      </c>
      <c r="H30" s="26">
        <v>0</v>
      </c>
      <c r="I30" s="27"/>
      <c r="J30" s="60" t="s">
        <v>18</v>
      </c>
      <c r="K30" s="51">
        <v>0</v>
      </c>
      <c r="L30" s="22">
        <v>78557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43278</v>
      </c>
      <c r="E31" s="24">
        <v>54024.35</v>
      </c>
      <c r="F31" s="19"/>
      <c r="G31" s="159">
        <v>43278</v>
      </c>
      <c r="H31" s="26">
        <v>35</v>
      </c>
      <c r="I31" s="61"/>
      <c r="J31" s="62"/>
      <c r="K31" s="51">
        <v>0</v>
      </c>
      <c r="L31" s="22">
        <v>53989.35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43279</v>
      </c>
      <c r="E32" s="24">
        <v>49595.8</v>
      </c>
      <c r="F32" s="19"/>
      <c r="G32" s="159">
        <v>43279</v>
      </c>
      <c r="H32" s="26">
        <v>0</v>
      </c>
      <c r="I32" s="61"/>
      <c r="J32" s="60"/>
      <c r="K32" s="29">
        <v>0</v>
      </c>
      <c r="L32" s="22">
        <f>32000+17596</f>
        <v>49596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43280</v>
      </c>
      <c r="E33" s="24">
        <v>51805.1</v>
      </c>
      <c r="F33" s="19"/>
      <c r="G33" s="159">
        <v>43280</v>
      </c>
      <c r="H33" s="26">
        <v>0</v>
      </c>
      <c r="I33" s="27"/>
      <c r="J33" s="63"/>
      <c r="K33" s="38"/>
      <c r="L33" s="22">
        <v>51805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43281</v>
      </c>
      <c r="E34" s="24">
        <v>119161.8</v>
      </c>
      <c r="F34" s="19"/>
      <c r="G34" s="159">
        <v>43281</v>
      </c>
      <c r="H34" s="26">
        <v>0</v>
      </c>
      <c r="I34" s="27"/>
      <c r="J34" s="63"/>
      <c r="K34" s="38"/>
      <c r="L34" s="22">
        <f>100000+19162</f>
        <v>119162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/>
      <c r="E35" s="24"/>
      <c r="F35" s="19"/>
      <c r="G35" s="159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1961394.98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1957635.9900000002</v>
      </c>
      <c r="G38" s="196" t="s">
        <v>19</v>
      </c>
      <c r="H38" s="88">
        <f>SUM(H5:H37)</f>
        <v>435</v>
      </c>
      <c r="I38" s="88"/>
      <c r="J38" s="89" t="s">
        <v>19</v>
      </c>
      <c r="K38" s="90">
        <f t="shared" ref="K38" si="0">SUM(K5:K37)</f>
        <v>84358.15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8" t="s">
        <v>20</v>
      </c>
      <c r="H40" s="259"/>
      <c r="I40" s="197"/>
      <c r="J40" s="260">
        <f>H38+K38</f>
        <v>84793.15</v>
      </c>
      <c r="K40" s="261"/>
      <c r="L40" s="94"/>
      <c r="M40" s="95"/>
    </row>
    <row r="41" spans="1:14" ht="15.75" x14ac:dyDescent="0.25">
      <c r="A41" s="1"/>
      <c r="B41" s="179"/>
      <c r="C41" s="262" t="s">
        <v>21</v>
      </c>
      <c r="D41" s="262"/>
      <c r="E41" s="180">
        <f>E38-J40</f>
        <v>1872842.8400000003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60670.3</v>
      </c>
      <c r="F42" s="176"/>
      <c r="G42" s="176"/>
      <c r="H42" s="263" t="s">
        <v>26</v>
      </c>
      <c r="I42" s="263"/>
      <c r="J42" s="263">
        <f>E46</f>
        <v>213773.02000000046</v>
      </c>
      <c r="K42" s="270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-1948637.4</v>
      </c>
      <c r="F43" s="176"/>
      <c r="G43" s="176"/>
      <c r="H43" s="237" t="s">
        <v>1</v>
      </c>
      <c r="I43" s="237"/>
      <c r="J43" s="271">
        <f>-B4</f>
        <v>-183107.03</v>
      </c>
      <c r="K43" s="272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-15124.259999999544</v>
      </c>
      <c r="F44" s="176"/>
      <c r="G44" s="176"/>
      <c r="H44" s="240" t="s">
        <v>55</v>
      </c>
      <c r="I44" s="241"/>
      <c r="J44" s="242">
        <f>SUM(J41:K43)</f>
        <v>30665.990000000456</v>
      </c>
      <c r="K44" s="243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228897.28</v>
      </c>
      <c r="F45" s="176"/>
      <c r="G45" s="176"/>
      <c r="H45" s="71"/>
      <c r="I45" s="176"/>
      <c r="J45" s="264"/>
      <c r="K45" s="265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213773.02000000046</v>
      </c>
      <c r="F46" s="189"/>
      <c r="G46" s="189"/>
      <c r="H46" s="190"/>
      <c r="I46" s="191"/>
      <c r="J46" s="266"/>
      <c r="K46" s="267"/>
      <c r="L46" s="94"/>
      <c r="M46" s="95"/>
    </row>
    <row r="47" spans="1:14" ht="18.75" x14ac:dyDescent="0.25">
      <c r="A47" s="1"/>
      <c r="B47" s="5"/>
      <c r="E47" s="51"/>
      <c r="J47" s="268"/>
      <c r="K47" s="269"/>
      <c r="L47" s="94"/>
      <c r="M47" s="95"/>
    </row>
    <row r="48" spans="1:14" x14ac:dyDescent="0.25">
      <c r="A48" s="1"/>
      <c r="B48" s="5"/>
      <c r="C48" s="227"/>
      <c r="D48" s="22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1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I17:I18"/>
    <mergeCell ref="B1:J1"/>
    <mergeCell ref="A3:A4"/>
    <mergeCell ref="D3:F3"/>
    <mergeCell ref="G3:H3"/>
    <mergeCell ref="D4:E4"/>
    <mergeCell ref="H4:K4"/>
  </mergeCells>
  <pageMargins left="0.5118110236220472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CCFF"/>
  </sheetPr>
  <dimension ref="A1:J37"/>
  <sheetViews>
    <sheetView topLeftCell="A13" workbookViewId="0">
      <selection activeCell="E23" sqref="E23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4" t="s">
        <v>46</v>
      </c>
      <c r="D1" s="245"/>
      <c r="E1" s="246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7" t="s">
        <v>52</v>
      </c>
      <c r="I2" s="248"/>
      <c r="J2" s="249"/>
    </row>
    <row r="3" spans="1:10" x14ac:dyDescent="0.25">
      <c r="A3" s="124">
        <v>43252</v>
      </c>
      <c r="B3" s="125" t="s">
        <v>139</v>
      </c>
      <c r="C3" s="126">
        <v>47810</v>
      </c>
      <c r="D3" s="127"/>
      <c r="E3" s="126"/>
      <c r="F3" s="128">
        <f t="shared" ref="F3:F36" si="0">C3-E3</f>
        <v>47810</v>
      </c>
      <c r="H3" s="250"/>
      <c r="I3" s="251"/>
      <c r="J3" s="252"/>
    </row>
    <row r="4" spans="1:10" x14ac:dyDescent="0.25">
      <c r="A4" s="124">
        <v>43253</v>
      </c>
      <c r="B4" s="125" t="s">
        <v>140</v>
      </c>
      <c r="C4" s="126">
        <v>108346</v>
      </c>
      <c r="D4" s="127"/>
      <c r="E4" s="131"/>
      <c r="F4" s="132">
        <f t="shared" si="0"/>
        <v>108346</v>
      </c>
      <c r="H4" s="250"/>
      <c r="I4" s="251"/>
      <c r="J4" s="252"/>
    </row>
    <row r="5" spans="1:10" ht="15.75" thickBot="1" x14ac:dyDescent="0.3">
      <c r="A5" s="129">
        <v>43255</v>
      </c>
      <c r="B5" s="130" t="s">
        <v>141</v>
      </c>
      <c r="C5" s="131">
        <v>35482.1</v>
      </c>
      <c r="D5" s="127"/>
      <c r="E5" s="131"/>
      <c r="F5" s="132">
        <f t="shared" si="0"/>
        <v>35482.1</v>
      </c>
      <c r="H5" s="253"/>
      <c r="I5" s="254"/>
      <c r="J5" s="255"/>
    </row>
    <row r="6" spans="1:10" x14ac:dyDescent="0.25">
      <c r="A6" s="129">
        <v>43255</v>
      </c>
      <c r="B6" s="130" t="s">
        <v>142</v>
      </c>
      <c r="C6" s="131">
        <v>91946.1</v>
      </c>
      <c r="D6" s="127"/>
      <c r="E6" s="131"/>
      <c r="F6" s="133">
        <f t="shared" si="0"/>
        <v>91946.1</v>
      </c>
    </row>
    <row r="7" spans="1:10" x14ac:dyDescent="0.25">
      <c r="A7" s="129">
        <v>43257</v>
      </c>
      <c r="B7" s="130" t="s">
        <v>143</v>
      </c>
      <c r="C7" s="131">
        <v>156332.64000000001</v>
      </c>
      <c r="D7" s="127"/>
      <c r="E7" s="131"/>
      <c r="F7" s="133">
        <f t="shared" si="0"/>
        <v>156332.64000000001</v>
      </c>
    </row>
    <row r="8" spans="1:10" x14ac:dyDescent="0.25">
      <c r="A8" s="129">
        <v>43258</v>
      </c>
      <c r="B8" s="130" t="s">
        <v>144</v>
      </c>
      <c r="C8" s="131">
        <v>28102</v>
      </c>
      <c r="D8" s="127"/>
      <c r="E8" s="131"/>
      <c r="F8" s="133">
        <f t="shared" si="0"/>
        <v>28102</v>
      </c>
    </row>
    <row r="9" spans="1:10" x14ac:dyDescent="0.25">
      <c r="A9" s="129">
        <v>43259</v>
      </c>
      <c r="B9" s="130" t="s">
        <v>145</v>
      </c>
      <c r="C9" s="131">
        <v>27049.599999999999</v>
      </c>
      <c r="D9" s="127"/>
      <c r="E9" s="131"/>
      <c r="F9" s="133">
        <f t="shared" si="0"/>
        <v>27049.599999999999</v>
      </c>
    </row>
    <row r="10" spans="1:10" x14ac:dyDescent="0.25">
      <c r="A10" s="129">
        <v>43259</v>
      </c>
      <c r="B10" s="192" t="s">
        <v>146</v>
      </c>
      <c r="C10" s="131">
        <v>3813.6</v>
      </c>
      <c r="D10" s="127"/>
      <c r="E10" s="131"/>
      <c r="F10" s="133">
        <f t="shared" si="0"/>
        <v>3813.6</v>
      </c>
    </row>
    <row r="11" spans="1:10" x14ac:dyDescent="0.25">
      <c r="A11" s="129">
        <v>43260</v>
      </c>
      <c r="B11" s="130" t="s">
        <v>147</v>
      </c>
      <c r="C11" s="131">
        <v>104684.72</v>
      </c>
      <c r="D11" s="127"/>
      <c r="E11" s="131"/>
      <c r="F11" s="133">
        <f t="shared" si="0"/>
        <v>104684.72</v>
      </c>
    </row>
    <row r="12" spans="1:10" x14ac:dyDescent="0.25">
      <c r="A12" s="134">
        <v>43262</v>
      </c>
      <c r="B12" s="135" t="s">
        <v>148</v>
      </c>
      <c r="C12" s="131">
        <v>83769</v>
      </c>
      <c r="D12" s="127"/>
      <c r="E12" s="131"/>
      <c r="F12" s="133">
        <f t="shared" si="0"/>
        <v>83769</v>
      </c>
    </row>
    <row r="13" spans="1:10" x14ac:dyDescent="0.25">
      <c r="A13" s="134">
        <v>43262</v>
      </c>
      <c r="B13" s="135" t="s">
        <v>149</v>
      </c>
      <c r="C13" s="131">
        <v>6317</v>
      </c>
      <c r="D13" s="127"/>
      <c r="E13" s="131"/>
      <c r="F13" s="133">
        <f t="shared" si="0"/>
        <v>6317</v>
      </c>
    </row>
    <row r="14" spans="1:10" x14ac:dyDescent="0.25">
      <c r="A14" s="134">
        <v>43263</v>
      </c>
      <c r="B14" s="135" t="s">
        <v>150</v>
      </c>
      <c r="C14" s="131">
        <v>3008</v>
      </c>
      <c r="D14" s="127"/>
      <c r="E14" s="131"/>
      <c r="F14" s="133">
        <f t="shared" si="0"/>
        <v>3008</v>
      </c>
    </row>
    <row r="15" spans="1:10" x14ac:dyDescent="0.25">
      <c r="A15" s="134">
        <v>43264</v>
      </c>
      <c r="B15" s="135" t="s">
        <v>185</v>
      </c>
      <c r="C15" s="131">
        <v>106862</v>
      </c>
      <c r="D15" s="127"/>
      <c r="E15" s="131"/>
      <c r="F15" s="133">
        <f t="shared" si="0"/>
        <v>106862</v>
      </c>
    </row>
    <row r="16" spans="1:10" x14ac:dyDescent="0.25">
      <c r="A16" s="134">
        <v>43265</v>
      </c>
      <c r="B16" s="135" t="s">
        <v>154</v>
      </c>
      <c r="C16" s="131">
        <v>48928.800000000003</v>
      </c>
      <c r="D16" s="127"/>
      <c r="E16" s="131"/>
      <c r="F16" s="133">
        <f t="shared" si="0"/>
        <v>48928.800000000003</v>
      </c>
    </row>
    <row r="17" spans="1:6" x14ac:dyDescent="0.25">
      <c r="A17" s="134">
        <v>43266</v>
      </c>
      <c r="B17" s="135" t="s">
        <v>155</v>
      </c>
      <c r="C17" s="131">
        <v>62211</v>
      </c>
      <c r="D17" s="127"/>
      <c r="E17" s="131"/>
      <c r="F17" s="133">
        <f t="shared" si="0"/>
        <v>62211</v>
      </c>
    </row>
    <row r="18" spans="1:6" x14ac:dyDescent="0.25">
      <c r="A18" s="134">
        <v>43267</v>
      </c>
      <c r="B18" s="135" t="s">
        <v>156</v>
      </c>
      <c r="C18" s="131">
        <v>52658.92</v>
      </c>
      <c r="D18" s="127"/>
      <c r="E18" s="131"/>
      <c r="F18" s="133">
        <f t="shared" si="0"/>
        <v>52658.92</v>
      </c>
    </row>
    <row r="19" spans="1:6" x14ac:dyDescent="0.25">
      <c r="A19" s="134">
        <v>43269</v>
      </c>
      <c r="B19" s="135" t="s">
        <v>157</v>
      </c>
      <c r="C19" s="131">
        <v>18007.14</v>
      </c>
      <c r="D19" s="127"/>
      <c r="E19" s="131"/>
      <c r="F19" s="133">
        <f t="shared" si="0"/>
        <v>18007.14</v>
      </c>
    </row>
    <row r="20" spans="1:6" x14ac:dyDescent="0.25">
      <c r="A20" s="134">
        <v>43270</v>
      </c>
      <c r="B20" s="135" t="s">
        <v>158</v>
      </c>
      <c r="C20" s="131">
        <v>85821</v>
      </c>
      <c r="D20" s="127"/>
      <c r="E20" s="131"/>
      <c r="F20" s="133">
        <f t="shared" si="0"/>
        <v>85821</v>
      </c>
    </row>
    <row r="21" spans="1:6" x14ac:dyDescent="0.25">
      <c r="A21" s="134">
        <v>43271</v>
      </c>
      <c r="B21" s="135" t="s">
        <v>172</v>
      </c>
      <c r="C21" s="131">
        <v>56802.5</v>
      </c>
      <c r="D21" s="127"/>
      <c r="E21" s="131"/>
      <c r="F21" s="133">
        <f t="shared" si="0"/>
        <v>56802.5</v>
      </c>
    </row>
    <row r="22" spans="1:6" x14ac:dyDescent="0.25">
      <c r="A22" s="134">
        <v>43272</v>
      </c>
      <c r="B22" s="135" t="s">
        <v>173</v>
      </c>
      <c r="C22" s="131">
        <v>141183</v>
      </c>
      <c r="D22" s="127"/>
      <c r="E22" s="131"/>
      <c r="F22" s="133">
        <f t="shared" si="0"/>
        <v>141183</v>
      </c>
    </row>
    <row r="23" spans="1:6" x14ac:dyDescent="0.25">
      <c r="A23" s="134">
        <v>43273</v>
      </c>
      <c r="B23" s="135" t="s">
        <v>174</v>
      </c>
      <c r="C23" s="131">
        <v>900</v>
      </c>
      <c r="D23" s="127"/>
      <c r="E23" s="131"/>
      <c r="F23" s="133">
        <f t="shared" si="0"/>
        <v>900</v>
      </c>
    </row>
    <row r="24" spans="1:6" x14ac:dyDescent="0.25">
      <c r="A24" s="134">
        <v>43273</v>
      </c>
      <c r="B24" s="135" t="s">
        <v>175</v>
      </c>
      <c r="C24" s="131">
        <v>71802.600000000006</v>
      </c>
      <c r="D24" s="127"/>
      <c r="E24" s="131"/>
      <c r="F24" s="133">
        <f t="shared" si="0"/>
        <v>71802.600000000006</v>
      </c>
    </row>
    <row r="25" spans="1:6" x14ac:dyDescent="0.25">
      <c r="A25" s="134">
        <v>43274</v>
      </c>
      <c r="B25" s="135" t="s">
        <v>176</v>
      </c>
      <c r="C25" s="131">
        <v>4826</v>
      </c>
      <c r="D25" s="127"/>
      <c r="E25" s="131"/>
      <c r="F25" s="133">
        <f t="shared" si="0"/>
        <v>4826</v>
      </c>
    </row>
    <row r="26" spans="1:6" x14ac:dyDescent="0.25">
      <c r="A26" s="134">
        <v>43274</v>
      </c>
      <c r="B26" s="135" t="s">
        <v>177</v>
      </c>
      <c r="C26" s="131">
        <v>62323.6</v>
      </c>
      <c r="D26" s="127"/>
      <c r="E26" s="131"/>
      <c r="F26" s="133">
        <f t="shared" si="0"/>
        <v>62323.6</v>
      </c>
    </row>
    <row r="27" spans="1:6" x14ac:dyDescent="0.25">
      <c r="A27" s="134">
        <v>43275</v>
      </c>
      <c r="B27" s="135" t="s">
        <v>178</v>
      </c>
      <c r="C27" s="131">
        <v>36798.800000000003</v>
      </c>
      <c r="D27" s="127"/>
      <c r="E27" s="131"/>
      <c r="F27" s="133">
        <f t="shared" si="0"/>
        <v>36798.800000000003</v>
      </c>
    </row>
    <row r="28" spans="1:6" x14ac:dyDescent="0.25">
      <c r="A28" s="134">
        <v>43276</v>
      </c>
      <c r="B28" s="135" t="s">
        <v>179</v>
      </c>
      <c r="C28" s="131">
        <v>92858.98</v>
      </c>
      <c r="D28" s="127"/>
      <c r="E28" s="131"/>
      <c r="F28" s="133">
        <f t="shared" si="0"/>
        <v>92858.98</v>
      </c>
    </row>
    <row r="29" spans="1:6" x14ac:dyDescent="0.25">
      <c r="A29" s="134">
        <v>43277</v>
      </c>
      <c r="B29" s="135" t="s">
        <v>180</v>
      </c>
      <c r="C29" s="131">
        <v>38590.400000000001</v>
      </c>
      <c r="D29" s="127"/>
      <c r="E29" s="131"/>
      <c r="F29" s="133">
        <f t="shared" si="0"/>
        <v>38590.400000000001</v>
      </c>
    </row>
    <row r="30" spans="1:6" x14ac:dyDescent="0.25">
      <c r="A30" s="134">
        <v>43278</v>
      </c>
      <c r="B30" s="135" t="s">
        <v>181</v>
      </c>
      <c r="C30" s="131">
        <v>95920</v>
      </c>
      <c r="D30" s="127"/>
      <c r="E30" s="131"/>
      <c r="F30" s="133">
        <f t="shared" si="0"/>
        <v>95920</v>
      </c>
    </row>
    <row r="31" spans="1:6" x14ac:dyDescent="0.25">
      <c r="A31" s="134">
        <v>43279</v>
      </c>
      <c r="B31" s="135" t="s">
        <v>182</v>
      </c>
      <c r="C31" s="131">
        <v>79240</v>
      </c>
      <c r="D31" s="127"/>
      <c r="E31" s="131"/>
      <c r="F31" s="133">
        <f t="shared" si="0"/>
        <v>79240</v>
      </c>
    </row>
    <row r="32" spans="1:6" x14ac:dyDescent="0.25">
      <c r="A32" s="134">
        <v>43280</v>
      </c>
      <c r="B32" s="135" t="s">
        <v>183</v>
      </c>
      <c r="C32" s="131">
        <v>135924</v>
      </c>
      <c r="D32" s="127"/>
      <c r="E32" s="131"/>
      <c r="F32" s="133">
        <f t="shared" si="0"/>
        <v>135924</v>
      </c>
    </row>
    <row r="33" spans="1:6" x14ac:dyDescent="0.25">
      <c r="A33" s="134">
        <v>43281</v>
      </c>
      <c r="B33" s="135" t="s">
        <v>184</v>
      </c>
      <c r="C33" s="131">
        <v>75649</v>
      </c>
      <c r="D33" s="127"/>
      <c r="E33" s="131"/>
      <c r="F33" s="133">
        <f t="shared" si="0"/>
        <v>75649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ht="16.5" thickBot="1" x14ac:dyDescent="0.3">
      <c r="A36" s="161" t="s">
        <v>53</v>
      </c>
      <c r="B36" s="162"/>
      <c r="C36" s="142"/>
      <c r="D36" s="143"/>
      <c r="E36" s="144">
        <v>15331.1</v>
      </c>
      <c r="F36" s="145">
        <f t="shared" si="0"/>
        <v>-15331.1</v>
      </c>
    </row>
    <row r="37" spans="1:6" s="151" customFormat="1" ht="19.5" thickBot="1" x14ac:dyDescent="0.35">
      <c r="A37" s="149"/>
      <c r="B37" s="150"/>
      <c r="C37" s="146">
        <f>SUM(C3:C36)</f>
        <v>1963968.5000000002</v>
      </c>
      <c r="D37" s="146"/>
      <c r="E37" s="152">
        <f>SUM(E3:E36)</f>
        <v>15331.1</v>
      </c>
      <c r="F37" s="152">
        <f>SUM(F3:F36)</f>
        <v>1948637.4000000001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tabSelected="1" topLeftCell="D22" workbookViewId="0">
      <selection activeCell="H44" sqref="H44:I44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8" t="s">
        <v>188</v>
      </c>
      <c r="C1" s="218"/>
      <c r="D1" s="218"/>
      <c r="E1" s="218"/>
      <c r="F1" s="218"/>
      <c r="G1" s="218"/>
      <c r="H1" s="218"/>
      <c r="I1" s="218"/>
      <c r="J1" s="218"/>
      <c r="L1" s="3" t="s">
        <v>0</v>
      </c>
      <c r="M1" s="4"/>
    </row>
    <row r="2" spans="1:16" ht="15.75" thickBot="1" x14ac:dyDescent="0.3">
      <c r="A2" s="1"/>
      <c r="B2" s="5"/>
      <c r="D2" s="211"/>
      <c r="E2" s="8"/>
      <c r="L2" s="9"/>
      <c r="M2" s="4"/>
    </row>
    <row r="3" spans="1:16" ht="19.5" customHeight="1" thickBot="1" x14ac:dyDescent="0.35">
      <c r="A3" s="219" t="s">
        <v>1</v>
      </c>
      <c r="B3" s="10" t="s">
        <v>2</v>
      </c>
      <c r="C3" s="11"/>
      <c r="D3" s="221" t="s">
        <v>3</v>
      </c>
      <c r="E3" s="221"/>
      <c r="F3" s="221"/>
      <c r="G3" s="222">
        <v>2000</v>
      </c>
      <c r="H3" s="222"/>
      <c r="I3" s="5"/>
      <c r="L3" s="9"/>
      <c r="M3" s="4"/>
    </row>
    <row r="4" spans="1:16" ht="20.25" thickTop="1" thickBot="1" x14ac:dyDescent="0.35">
      <c r="A4" s="220"/>
      <c r="B4" s="12">
        <v>228897.28</v>
      </c>
      <c r="C4" s="13"/>
      <c r="D4" s="223" t="s">
        <v>4</v>
      </c>
      <c r="E4" s="224"/>
      <c r="H4" s="225" t="s">
        <v>5</v>
      </c>
      <c r="I4" s="226"/>
      <c r="J4" s="226"/>
      <c r="K4" s="226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43282</v>
      </c>
      <c r="E5" s="157">
        <v>63362.48</v>
      </c>
      <c r="F5" s="158"/>
      <c r="G5" s="159">
        <v>43282</v>
      </c>
      <c r="H5" s="160">
        <v>0</v>
      </c>
      <c r="I5" s="20"/>
      <c r="J5" s="21"/>
      <c r="K5" s="21"/>
      <c r="L5" s="22">
        <v>115822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43283</v>
      </c>
      <c r="E6" s="24">
        <v>47381.1</v>
      </c>
      <c r="F6" s="25"/>
      <c r="G6" s="159">
        <v>43283</v>
      </c>
      <c r="H6" s="26">
        <v>35</v>
      </c>
      <c r="I6" s="27"/>
      <c r="J6" s="28" t="s">
        <v>8</v>
      </c>
      <c r="K6" s="29">
        <v>549</v>
      </c>
      <c r="L6" s="22">
        <v>52856.5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43284</v>
      </c>
      <c r="E7" s="24">
        <v>46732.95</v>
      </c>
      <c r="F7" s="19"/>
      <c r="G7" s="159">
        <v>43284</v>
      </c>
      <c r="H7" s="26">
        <v>50</v>
      </c>
      <c r="I7" s="61">
        <v>43284</v>
      </c>
      <c r="J7" s="30" t="s">
        <v>9</v>
      </c>
      <c r="K7" s="31">
        <v>7121.5</v>
      </c>
      <c r="L7" s="22">
        <v>45813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43285</v>
      </c>
      <c r="E8" s="24">
        <v>59397.7</v>
      </c>
      <c r="F8" s="19"/>
      <c r="G8" s="159">
        <v>43285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59398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43286</v>
      </c>
      <c r="E9" s="24">
        <v>63587.67</v>
      </c>
      <c r="F9" s="19"/>
      <c r="G9" s="159">
        <v>43286</v>
      </c>
      <c r="H9" s="26">
        <v>0</v>
      </c>
      <c r="I9" s="279" t="s">
        <v>220</v>
      </c>
      <c r="J9" s="28" t="s">
        <v>189</v>
      </c>
      <c r="K9" s="38">
        <v>9635.7900000000009</v>
      </c>
      <c r="L9" s="22">
        <f>38580+25000+8</f>
        <v>63588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43287</v>
      </c>
      <c r="E10" s="24">
        <v>71816.98</v>
      </c>
      <c r="F10" s="19"/>
      <c r="G10" s="159">
        <v>43287</v>
      </c>
      <c r="H10" s="26">
        <v>0</v>
      </c>
      <c r="I10" s="278" t="s">
        <v>221</v>
      </c>
      <c r="J10" s="28" t="s">
        <v>190</v>
      </c>
      <c r="K10" s="38">
        <v>8645.35</v>
      </c>
      <c r="L10" s="22">
        <v>71817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43288</v>
      </c>
      <c r="E11" s="24">
        <v>90540.2</v>
      </c>
      <c r="F11" s="19"/>
      <c r="G11" s="159">
        <v>43288</v>
      </c>
      <c r="H11" s="26">
        <v>0</v>
      </c>
      <c r="I11" s="37" t="s">
        <v>222</v>
      </c>
      <c r="J11" s="28" t="s">
        <v>191</v>
      </c>
      <c r="K11" s="38">
        <v>9407.2199999999993</v>
      </c>
      <c r="L11" s="22">
        <v>90540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43289</v>
      </c>
      <c r="E12" s="24">
        <v>95015.25</v>
      </c>
      <c r="F12" s="19"/>
      <c r="G12" s="159">
        <v>43289</v>
      </c>
      <c r="H12" s="26">
        <v>0</v>
      </c>
      <c r="I12" s="37" t="s">
        <v>223</v>
      </c>
      <c r="J12" s="28" t="s">
        <v>192</v>
      </c>
      <c r="K12" s="38">
        <v>7750.08</v>
      </c>
      <c r="L12" s="22">
        <v>95015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43290</v>
      </c>
      <c r="E13" s="24">
        <v>66472.759999999995</v>
      </c>
      <c r="F13" s="19"/>
      <c r="G13" s="159">
        <v>43290</v>
      </c>
      <c r="H13" s="26">
        <v>0</v>
      </c>
      <c r="I13" s="37"/>
      <c r="J13" s="28" t="s">
        <v>167</v>
      </c>
      <c r="K13" s="29">
        <v>0</v>
      </c>
      <c r="L13" s="22">
        <f>45000+21473</f>
        <v>66473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43291</v>
      </c>
      <c r="E14" s="24">
        <v>35639.4</v>
      </c>
      <c r="F14" s="19"/>
      <c r="G14" s="159">
        <v>43291</v>
      </c>
      <c r="H14" s="26">
        <v>35</v>
      </c>
      <c r="I14" s="61"/>
      <c r="J14" s="40" t="s">
        <v>92</v>
      </c>
      <c r="K14" s="29">
        <v>0</v>
      </c>
      <c r="L14" s="22">
        <v>35604.5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43292</v>
      </c>
      <c r="E15" s="24">
        <v>73673.3</v>
      </c>
      <c r="F15" s="19"/>
      <c r="G15" s="159">
        <v>43292</v>
      </c>
      <c r="H15" s="26">
        <v>0</v>
      </c>
      <c r="I15" s="27"/>
      <c r="J15" s="175"/>
      <c r="K15" s="29">
        <v>0</v>
      </c>
      <c r="L15" s="22">
        <f>25000+47773</f>
        <v>72773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43293</v>
      </c>
      <c r="E16" s="24">
        <v>51608.95</v>
      </c>
      <c r="F16" s="19"/>
      <c r="G16" s="159">
        <v>43293</v>
      </c>
      <c r="H16" s="26">
        <v>0</v>
      </c>
      <c r="I16" s="27"/>
      <c r="J16" s="42"/>
      <c r="K16" s="43">
        <v>0</v>
      </c>
      <c r="L16" s="22">
        <v>51609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43294</v>
      </c>
      <c r="E17" s="24">
        <v>112300.6</v>
      </c>
      <c r="F17" s="19"/>
      <c r="G17" s="159">
        <v>43294</v>
      </c>
      <c r="H17" s="26">
        <v>0</v>
      </c>
      <c r="I17" s="213"/>
      <c r="J17" s="214"/>
      <c r="K17" s="43">
        <v>0</v>
      </c>
      <c r="L17" s="22">
        <f>50000+62300</f>
        <v>112300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43295</v>
      </c>
      <c r="E18" s="24">
        <v>110031.71</v>
      </c>
      <c r="F18" s="19"/>
      <c r="G18" s="159">
        <v>43295</v>
      </c>
      <c r="H18" s="26">
        <v>0</v>
      </c>
      <c r="I18" s="213"/>
      <c r="J18" s="214"/>
      <c r="K18" s="45">
        <v>0</v>
      </c>
      <c r="L18" s="22">
        <v>135032</v>
      </c>
      <c r="M18" s="215">
        <v>25000</v>
      </c>
      <c r="N18" s="19"/>
    </row>
    <row r="19" spans="1:14" ht="16.5" thickBot="1" x14ac:dyDescent="0.3">
      <c r="A19" s="23"/>
      <c r="B19" s="17">
        <v>0</v>
      </c>
      <c r="C19" s="36"/>
      <c r="D19" s="107">
        <v>43296</v>
      </c>
      <c r="E19" s="24">
        <v>95095.05</v>
      </c>
      <c r="F19" s="19"/>
      <c r="G19" s="159">
        <v>43296</v>
      </c>
      <c r="H19" s="26">
        <v>0</v>
      </c>
      <c r="I19" s="27"/>
      <c r="J19" s="46" t="s">
        <v>12</v>
      </c>
      <c r="K19" s="45">
        <v>0</v>
      </c>
      <c r="L19" s="22">
        <v>70095</v>
      </c>
      <c r="M19" s="216" t="s">
        <v>193</v>
      </c>
      <c r="N19" s="217"/>
    </row>
    <row r="20" spans="1:14" ht="16.5" thickBot="1" x14ac:dyDescent="0.3">
      <c r="A20" s="23"/>
      <c r="B20" s="17">
        <v>0</v>
      </c>
      <c r="C20" s="48"/>
      <c r="D20" s="107">
        <v>43297</v>
      </c>
      <c r="E20" s="24">
        <v>52640.65</v>
      </c>
      <c r="F20" s="19"/>
      <c r="G20" s="159">
        <v>43297</v>
      </c>
      <c r="H20" s="26">
        <v>35</v>
      </c>
      <c r="I20" s="49"/>
      <c r="J20" s="50"/>
      <c r="K20" s="51" t="s">
        <v>153</v>
      </c>
      <c r="L20" s="22">
        <v>52605.65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43298</v>
      </c>
      <c r="E21" s="24">
        <v>43434.5</v>
      </c>
      <c r="F21" s="19"/>
      <c r="G21" s="159">
        <v>43298</v>
      </c>
      <c r="H21" s="26">
        <v>0</v>
      </c>
      <c r="I21" s="33"/>
      <c r="J21" s="52"/>
      <c r="K21" s="51"/>
      <c r="L21" s="22">
        <v>43434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43299</v>
      </c>
      <c r="E22" s="24">
        <v>51187.75</v>
      </c>
      <c r="F22" s="19"/>
      <c r="G22" s="159">
        <v>43299</v>
      </c>
      <c r="H22" s="26">
        <v>0</v>
      </c>
      <c r="I22" s="49" t="s">
        <v>23</v>
      </c>
      <c r="J22" s="53"/>
      <c r="K22" s="51">
        <v>0</v>
      </c>
      <c r="L22" s="22">
        <v>51188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43300</v>
      </c>
      <c r="E23" s="24">
        <v>54467.7</v>
      </c>
      <c r="F23" s="19"/>
      <c r="G23" s="159">
        <v>43300</v>
      </c>
      <c r="H23" s="26">
        <v>0</v>
      </c>
      <c r="I23" s="27"/>
      <c r="J23" s="52"/>
      <c r="K23" s="51">
        <v>0</v>
      </c>
      <c r="L23" s="22">
        <v>54468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43301</v>
      </c>
      <c r="E24" s="24">
        <v>83835.59</v>
      </c>
      <c r="F24" s="19"/>
      <c r="G24" s="159">
        <v>43301</v>
      </c>
      <c r="H24" s="26">
        <v>0</v>
      </c>
      <c r="I24" s="27"/>
      <c r="J24" s="54" t="s">
        <v>15</v>
      </c>
      <c r="K24" s="51">
        <v>870</v>
      </c>
      <c r="L24" s="22">
        <v>83835.5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43302</v>
      </c>
      <c r="E25" s="24">
        <v>107049.66</v>
      </c>
      <c r="F25" s="19"/>
      <c r="G25" s="159">
        <v>43302</v>
      </c>
      <c r="H25" s="26">
        <v>0</v>
      </c>
      <c r="I25" s="27"/>
      <c r="J25" s="55">
        <v>43284</v>
      </c>
      <c r="K25" s="51">
        <v>0</v>
      </c>
      <c r="L25" s="22">
        <v>107050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43303</v>
      </c>
      <c r="E26" s="24">
        <v>82967.8</v>
      </c>
      <c r="F26" s="19"/>
      <c r="G26" s="159">
        <v>43303</v>
      </c>
      <c r="H26" s="26">
        <v>35</v>
      </c>
      <c r="I26" s="27"/>
      <c r="J26" s="56" t="s">
        <v>16</v>
      </c>
      <c r="K26" s="27">
        <v>900</v>
      </c>
      <c r="L26" s="22">
        <v>82933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43304</v>
      </c>
      <c r="E27" s="24">
        <v>63452.6</v>
      </c>
      <c r="F27" s="19"/>
      <c r="G27" s="159">
        <v>43304</v>
      </c>
      <c r="H27" s="26">
        <v>0</v>
      </c>
      <c r="I27" s="27"/>
      <c r="J27" s="116">
        <v>43292</v>
      </c>
      <c r="K27" s="27">
        <v>0</v>
      </c>
      <c r="L27" s="22">
        <v>63453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43305</v>
      </c>
      <c r="E28" s="24">
        <v>61919.18</v>
      </c>
      <c r="F28" s="19"/>
      <c r="G28" s="159">
        <v>43305</v>
      </c>
      <c r="H28" s="26">
        <v>0</v>
      </c>
      <c r="I28" s="27"/>
      <c r="J28" s="57"/>
      <c r="K28" s="51">
        <v>0</v>
      </c>
      <c r="L28" s="22">
        <f>36919+25000</f>
        <v>61919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43306</v>
      </c>
      <c r="E29" s="24">
        <v>94050.61</v>
      </c>
      <c r="F29" s="19"/>
      <c r="G29" s="159">
        <v>43306</v>
      </c>
      <c r="H29" s="26">
        <v>0</v>
      </c>
      <c r="I29" s="27"/>
      <c r="J29" s="55"/>
      <c r="K29" s="51">
        <v>0</v>
      </c>
      <c r="L29" s="22">
        <v>94050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43307</v>
      </c>
      <c r="E30" s="24">
        <v>45082.14</v>
      </c>
      <c r="F30" s="19"/>
      <c r="G30" s="159">
        <v>43307</v>
      </c>
      <c r="H30" s="26">
        <v>50</v>
      </c>
      <c r="I30" s="27"/>
      <c r="J30" s="60" t="s">
        <v>18</v>
      </c>
      <c r="K30" s="51">
        <v>0</v>
      </c>
      <c r="L30" s="22">
        <v>45032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43308</v>
      </c>
      <c r="E31" s="24">
        <v>57531.75</v>
      </c>
      <c r="F31" s="19"/>
      <c r="G31" s="159">
        <v>43308</v>
      </c>
      <c r="H31" s="26">
        <v>0</v>
      </c>
      <c r="I31" s="61"/>
      <c r="J31" s="62"/>
      <c r="K31" s="51">
        <v>0</v>
      </c>
      <c r="L31" s="22">
        <v>57532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43309</v>
      </c>
      <c r="E32" s="24">
        <v>68328.95</v>
      </c>
      <c r="F32" s="19"/>
      <c r="G32" s="159">
        <v>43309</v>
      </c>
      <c r="H32" s="26">
        <v>35</v>
      </c>
      <c r="I32" s="61"/>
      <c r="J32" s="60"/>
      <c r="K32" s="29">
        <v>0</v>
      </c>
      <c r="L32" s="22">
        <f>45000+23294</f>
        <v>68294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43310</v>
      </c>
      <c r="E33" s="24">
        <v>64793.4</v>
      </c>
      <c r="F33" s="19"/>
      <c r="G33" s="159">
        <v>43310</v>
      </c>
      <c r="H33" s="26">
        <v>0</v>
      </c>
      <c r="I33" s="27"/>
      <c r="J33" s="63"/>
      <c r="K33" s="38"/>
      <c r="L33" s="22">
        <v>64793.5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43311</v>
      </c>
      <c r="E34" s="24">
        <v>37201.199999999997</v>
      </c>
      <c r="F34" s="19"/>
      <c r="G34" s="159">
        <v>43311</v>
      </c>
      <c r="H34" s="26">
        <v>0</v>
      </c>
      <c r="I34" s="27"/>
      <c r="J34" s="63"/>
      <c r="K34" s="38"/>
      <c r="L34" s="22">
        <f>20000+17201</f>
        <v>37201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43312</v>
      </c>
      <c r="E35" s="24">
        <v>26879.35</v>
      </c>
      <c r="F35" s="19"/>
      <c r="G35" s="159">
        <v>43312</v>
      </c>
      <c r="H35" s="26">
        <v>0</v>
      </c>
      <c r="I35" s="27"/>
      <c r="J35" s="60"/>
      <c r="K35" s="29"/>
      <c r="L35" s="22">
        <v>26879.5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2133404.15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2077478.9299999997</v>
      </c>
      <c r="G38" s="211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73628.94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8" t="s">
        <v>20</v>
      </c>
      <c r="H40" s="259"/>
      <c r="I40" s="212"/>
      <c r="J40" s="260">
        <f>H38+K38</f>
        <v>73903.94</v>
      </c>
      <c r="K40" s="261"/>
      <c r="L40" s="94"/>
      <c r="M40" s="95"/>
    </row>
    <row r="41" spans="1:14" ht="15.75" x14ac:dyDescent="0.25">
      <c r="A41" s="1"/>
      <c r="B41" s="179"/>
      <c r="C41" s="262" t="s">
        <v>21</v>
      </c>
      <c r="D41" s="262"/>
      <c r="E41" s="180">
        <f>E38-J40</f>
        <v>2003574.9899999998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11911.85</v>
      </c>
      <c r="F42" s="176"/>
      <c r="G42" s="176"/>
      <c r="H42" s="263" t="s">
        <v>26</v>
      </c>
      <c r="I42" s="263"/>
      <c r="J42" s="263">
        <f>E46</f>
        <v>234161.68999999977</v>
      </c>
      <c r="K42" s="270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-1850038.33</v>
      </c>
      <c r="F43" s="176"/>
      <c r="G43" s="176"/>
      <c r="H43" s="237" t="s">
        <v>1</v>
      </c>
      <c r="I43" s="237"/>
      <c r="J43" s="271">
        <f>-B4</f>
        <v>-228897.28</v>
      </c>
      <c r="K43" s="272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165448.50999999978</v>
      </c>
      <c r="F44" s="176"/>
      <c r="G44" s="176"/>
      <c r="H44" s="240" t="s">
        <v>55</v>
      </c>
      <c r="I44" s="241"/>
      <c r="J44" s="242">
        <f>SUM(J41:K43)</f>
        <v>5264.4099999997707</v>
      </c>
      <c r="K44" s="243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68713.179999999993</v>
      </c>
      <c r="F45" s="176"/>
      <c r="G45" s="176"/>
      <c r="H45" s="71"/>
      <c r="I45" s="176"/>
      <c r="J45" s="264"/>
      <c r="K45" s="265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234161.68999999977</v>
      </c>
      <c r="F46" s="189"/>
      <c r="G46" s="189"/>
      <c r="H46" s="190"/>
      <c r="I46" s="191"/>
      <c r="J46" s="266"/>
      <c r="K46" s="267"/>
      <c r="L46" s="94"/>
      <c r="M46" s="95"/>
    </row>
    <row r="47" spans="1:14" ht="18.75" x14ac:dyDescent="0.25">
      <c r="A47" s="1"/>
      <c r="B47" s="5"/>
      <c r="E47" s="51"/>
      <c r="J47" s="268"/>
      <c r="K47" s="269"/>
      <c r="L47" s="94"/>
      <c r="M47" s="95"/>
    </row>
    <row r="48" spans="1:14" x14ac:dyDescent="0.25">
      <c r="A48" s="1"/>
      <c r="B48" s="5"/>
      <c r="C48" s="227"/>
      <c r="D48" s="22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J47:K47"/>
    <mergeCell ref="C48:D48"/>
    <mergeCell ref="H43:I43"/>
    <mergeCell ref="J43:K43"/>
    <mergeCell ref="H44:I44"/>
    <mergeCell ref="J44:K44"/>
    <mergeCell ref="J45:K45"/>
    <mergeCell ref="J46:K46"/>
    <mergeCell ref="H42:I42"/>
    <mergeCell ref="J42:K42"/>
    <mergeCell ref="B1:J1"/>
    <mergeCell ref="A3:A4"/>
    <mergeCell ref="D3:F3"/>
    <mergeCell ref="G3:H3"/>
    <mergeCell ref="D4:E4"/>
    <mergeCell ref="H4:K4"/>
    <mergeCell ref="G40:H40"/>
    <mergeCell ref="J40:K40"/>
    <mergeCell ref="C41:D41"/>
  </mergeCells>
  <pageMargins left="0.51181102362204722" right="0.11811023622047245" top="0.15748031496062992" bottom="0.15748031496062992" header="0.31496062992125984" footer="0.31496062992125984"/>
  <pageSetup scale="75" orientation="landscape" horizontalDpi="0" verticalDpi="0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8"/>
  <sheetViews>
    <sheetView topLeftCell="A7" workbookViewId="0">
      <selection activeCell="E38" sqref="E38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4" t="s">
        <v>46</v>
      </c>
      <c r="D1" s="245"/>
      <c r="E1" s="246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7" t="s">
        <v>52</v>
      </c>
      <c r="I2" s="248"/>
      <c r="J2" s="249"/>
    </row>
    <row r="3" spans="1:10" x14ac:dyDescent="0.25">
      <c r="A3" s="124">
        <v>43283</v>
      </c>
      <c r="B3" s="125" t="s">
        <v>194</v>
      </c>
      <c r="C3" s="126">
        <v>95708</v>
      </c>
      <c r="D3" s="127"/>
      <c r="E3" s="126"/>
      <c r="F3" s="128">
        <f t="shared" ref="F3:F37" si="0">C3-E3</f>
        <v>95708</v>
      </c>
      <c r="H3" s="250"/>
      <c r="I3" s="251"/>
      <c r="J3" s="252"/>
    </row>
    <row r="4" spans="1:10" x14ac:dyDescent="0.25">
      <c r="A4" s="124">
        <v>43285</v>
      </c>
      <c r="B4" s="125" t="s">
        <v>195</v>
      </c>
      <c r="C4" s="126">
        <v>88143.7</v>
      </c>
      <c r="D4" s="127"/>
      <c r="E4" s="131"/>
      <c r="F4" s="132">
        <f t="shared" si="0"/>
        <v>88143.7</v>
      </c>
      <c r="H4" s="250"/>
      <c r="I4" s="251"/>
      <c r="J4" s="252"/>
    </row>
    <row r="5" spans="1:10" ht="15.75" thickBot="1" x14ac:dyDescent="0.3">
      <c r="A5" s="129">
        <v>43287</v>
      </c>
      <c r="B5" s="130" t="s">
        <v>196</v>
      </c>
      <c r="C5" s="131">
        <v>165395.6</v>
      </c>
      <c r="D5" s="127"/>
      <c r="E5" s="131"/>
      <c r="F5" s="132">
        <f t="shared" si="0"/>
        <v>165395.6</v>
      </c>
      <c r="H5" s="253"/>
      <c r="I5" s="254"/>
      <c r="J5" s="255"/>
    </row>
    <row r="6" spans="1:10" x14ac:dyDescent="0.25">
      <c r="A6" s="129">
        <v>43288</v>
      </c>
      <c r="B6" s="130" t="s">
        <v>197</v>
      </c>
      <c r="C6" s="131">
        <v>92832</v>
      </c>
      <c r="D6" s="127"/>
      <c r="E6" s="131"/>
      <c r="F6" s="133">
        <f t="shared" si="0"/>
        <v>92832</v>
      </c>
    </row>
    <row r="7" spans="1:10" x14ac:dyDescent="0.25">
      <c r="A7" s="129">
        <v>43288</v>
      </c>
      <c r="B7" s="130" t="s">
        <v>198</v>
      </c>
      <c r="C7" s="131">
        <v>3700</v>
      </c>
      <c r="D7" s="127"/>
      <c r="E7" s="131"/>
      <c r="F7" s="133">
        <f t="shared" si="0"/>
        <v>3700</v>
      </c>
    </row>
    <row r="8" spans="1:10" x14ac:dyDescent="0.25">
      <c r="A8" s="129">
        <v>43290</v>
      </c>
      <c r="B8" s="130" t="s">
        <v>199</v>
      </c>
      <c r="C8" s="131">
        <v>117965.12</v>
      </c>
      <c r="D8" s="127"/>
      <c r="E8" s="131"/>
      <c r="F8" s="133">
        <f t="shared" si="0"/>
        <v>117965.12</v>
      </c>
    </row>
    <row r="9" spans="1:10" x14ac:dyDescent="0.25">
      <c r="A9" s="129">
        <v>43290</v>
      </c>
      <c r="B9" s="130" t="s">
        <v>200</v>
      </c>
      <c r="C9" s="131">
        <v>2922.4</v>
      </c>
      <c r="D9" s="127"/>
      <c r="E9" s="131"/>
      <c r="F9" s="133">
        <f t="shared" si="0"/>
        <v>2922.4</v>
      </c>
    </row>
    <row r="10" spans="1:10" x14ac:dyDescent="0.25">
      <c r="A10" s="129">
        <v>43291</v>
      </c>
      <c r="B10" s="192" t="s">
        <v>201</v>
      </c>
      <c r="C10" s="131">
        <v>2260</v>
      </c>
      <c r="D10" s="127"/>
      <c r="E10" s="131"/>
      <c r="F10" s="133">
        <f t="shared" si="0"/>
        <v>2260</v>
      </c>
    </row>
    <row r="11" spans="1:10" x14ac:dyDescent="0.25">
      <c r="A11" s="129">
        <v>43292</v>
      </c>
      <c r="B11" s="130" t="s">
        <v>202</v>
      </c>
      <c r="C11" s="131">
        <v>111182</v>
      </c>
      <c r="D11" s="127"/>
      <c r="E11" s="131"/>
      <c r="F11" s="133">
        <f t="shared" si="0"/>
        <v>111182</v>
      </c>
    </row>
    <row r="12" spans="1:10" x14ac:dyDescent="0.25">
      <c r="A12" s="134">
        <v>43293</v>
      </c>
      <c r="B12" s="135" t="s">
        <v>203</v>
      </c>
      <c r="C12" s="131">
        <v>94107.02</v>
      </c>
      <c r="D12" s="127"/>
      <c r="E12" s="131"/>
      <c r="F12" s="133">
        <f t="shared" si="0"/>
        <v>94107.02</v>
      </c>
    </row>
    <row r="13" spans="1:10" x14ac:dyDescent="0.25">
      <c r="A13" s="134">
        <v>43294</v>
      </c>
      <c r="B13" s="153" t="s">
        <v>205</v>
      </c>
      <c r="C13" s="154">
        <v>96643.66</v>
      </c>
      <c r="D13" s="127"/>
      <c r="E13" s="131"/>
      <c r="F13" s="133">
        <f t="shared" si="0"/>
        <v>96643.66</v>
      </c>
    </row>
    <row r="14" spans="1:10" x14ac:dyDescent="0.25">
      <c r="A14" s="134">
        <v>43295</v>
      </c>
      <c r="B14" s="135" t="s">
        <v>204</v>
      </c>
      <c r="C14" s="131">
        <v>43691.3</v>
      </c>
      <c r="D14" s="127"/>
      <c r="E14" s="131"/>
      <c r="F14" s="133">
        <f t="shared" si="0"/>
        <v>43691.3</v>
      </c>
    </row>
    <row r="15" spans="1:10" x14ac:dyDescent="0.25">
      <c r="A15" s="134">
        <v>43295</v>
      </c>
      <c r="B15" s="135" t="s">
        <v>206</v>
      </c>
      <c r="C15" s="131">
        <v>41205.599999999999</v>
      </c>
      <c r="D15" s="127"/>
      <c r="E15" s="131"/>
      <c r="F15" s="133">
        <f t="shared" si="0"/>
        <v>41205.599999999999</v>
      </c>
    </row>
    <row r="16" spans="1:10" x14ac:dyDescent="0.25">
      <c r="A16" s="134">
        <v>43297</v>
      </c>
      <c r="B16" s="135" t="s">
        <v>207</v>
      </c>
      <c r="C16" s="131">
        <v>46733.65</v>
      </c>
      <c r="D16" s="127"/>
      <c r="E16" s="131"/>
      <c r="F16" s="133">
        <f t="shared" si="0"/>
        <v>46733.65</v>
      </c>
    </row>
    <row r="17" spans="1:6" x14ac:dyDescent="0.25">
      <c r="A17" s="134">
        <v>43298</v>
      </c>
      <c r="B17" s="153" t="s">
        <v>214</v>
      </c>
      <c r="C17" s="154">
        <v>52075</v>
      </c>
      <c r="D17" s="127"/>
      <c r="E17" s="131"/>
      <c r="F17" s="133">
        <f t="shared" si="0"/>
        <v>52075</v>
      </c>
    </row>
    <row r="18" spans="1:6" x14ac:dyDescent="0.25">
      <c r="A18" s="134">
        <v>43299</v>
      </c>
      <c r="B18" s="135" t="s">
        <v>208</v>
      </c>
      <c r="C18" s="131">
        <v>144014.5</v>
      </c>
      <c r="D18" s="127"/>
      <c r="E18" s="131"/>
      <c r="F18" s="133">
        <f t="shared" si="0"/>
        <v>144014.5</v>
      </c>
    </row>
    <row r="19" spans="1:6" x14ac:dyDescent="0.25">
      <c r="A19" s="134">
        <v>43300</v>
      </c>
      <c r="B19" s="135" t="s">
        <v>209</v>
      </c>
      <c r="C19" s="131">
        <v>69211.7</v>
      </c>
      <c r="D19" s="127"/>
      <c r="E19" s="131"/>
      <c r="F19" s="133">
        <f t="shared" si="0"/>
        <v>69211.7</v>
      </c>
    </row>
    <row r="20" spans="1:6" x14ac:dyDescent="0.25">
      <c r="A20" s="134">
        <v>43301</v>
      </c>
      <c r="B20" s="135" t="s">
        <v>210</v>
      </c>
      <c r="C20" s="131">
        <v>126768.78</v>
      </c>
      <c r="D20" s="127"/>
      <c r="E20" s="131"/>
      <c r="F20" s="133">
        <f t="shared" si="0"/>
        <v>126768.78</v>
      </c>
    </row>
    <row r="21" spans="1:6" x14ac:dyDescent="0.25">
      <c r="A21" s="134">
        <v>43301</v>
      </c>
      <c r="B21" s="135" t="s">
        <v>211</v>
      </c>
      <c r="C21" s="131">
        <v>27666.9</v>
      </c>
      <c r="D21" s="127"/>
      <c r="E21" s="131"/>
      <c r="F21" s="133">
        <f t="shared" si="0"/>
        <v>27666.9</v>
      </c>
    </row>
    <row r="22" spans="1:6" x14ac:dyDescent="0.25">
      <c r="A22" s="134">
        <v>43302</v>
      </c>
      <c r="B22" s="135" t="s">
        <v>212</v>
      </c>
      <c r="C22" s="131">
        <v>73089.3</v>
      </c>
      <c r="D22" s="127"/>
      <c r="E22" s="131"/>
      <c r="F22" s="133">
        <f t="shared" si="0"/>
        <v>73089.3</v>
      </c>
    </row>
    <row r="23" spans="1:6" x14ac:dyDescent="0.25">
      <c r="A23" s="134">
        <v>43302</v>
      </c>
      <c r="B23" s="135" t="s">
        <v>213</v>
      </c>
      <c r="C23" s="131">
        <v>14844.2</v>
      </c>
      <c r="D23" s="127"/>
      <c r="E23" s="131"/>
      <c r="F23" s="133">
        <f t="shared" si="0"/>
        <v>14844.2</v>
      </c>
    </row>
    <row r="24" spans="1:6" x14ac:dyDescent="0.25">
      <c r="A24" s="134">
        <v>43305</v>
      </c>
      <c r="B24" s="135" t="s">
        <v>215</v>
      </c>
      <c r="C24" s="131">
        <v>57417</v>
      </c>
      <c r="D24" s="127"/>
      <c r="E24" s="131"/>
      <c r="F24" s="133">
        <f t="shared" si="0"/>
        <v>57417</v>
      </c>
    </row>
    <row r="25" spans="1:6" x14ac:dyDescent="0.25">
      <c r="A25" s="134">
        <v>43305</v>
      </c>
      <c r="B25" s="135" t="s">
        <v>216</v>
      </c>
      <c r="C25" s="131">
        <v>140818</v>
      </c>
      <c r="D25" s="127"/>
      <c r="E25" s="131"/>
      <c r="F25" s="133">
        <f t="shared" si="0"/>
        <v>140818</v>
      </c>
    </row>
    <row r="26" spans="1:6" x14ac:dyDescent="0.25">
      <c r="A26" s="134">
        <v>43306</v>
      </c>
      <c r="B26" s="153" t="s">
        <v>217</v>
      </c>
      <c r="C26" s="154">
        <v>14075</v>
      </c>
      <c r="D26" s="127"/>
      <c r="E26" s="131"/>
      <c r="F26" s="133">
        <f t="shared" si="0"/>
        <v>14075</v>
      </c>
    </row>
    <row r="27" spans="1:6" x14ac:dyDescent="0.25">
      <c r="A27" s="134">
        <v>43308</v>
      </c>
      <c r="B27" s="135">
        <v>118</v>
      </c>
      <c r="C27" s="131">
        <v>1489.6</v>
      </c>
      <c r="D27" s="127" t="s">
        <v>54</v>
      </c>
      <c r="E27" s="131"/>
      <c r="F27" s="133">
        <f t="shared" si="0"/>
        <v>1489.6</v>
      </c>
    </row>
    <row r="28" spans="1:6" x14ac:dyDescent="0.25">
      <c r="A28" s="134">
        <v>43308</v>
      </c>
      <c r="B28" s="135" t="s">
        <v>218</v>
      </c>
      <c r="C28" s="131">
        <v>79858.5</v>
      </c>
      <c r="D28" s="127"/>
      <c r="E28" s="131"/>
      <c r="F28" s="133">
        <f t="shared" si="0"/>
        <v>79858.5</v>
      </c>
    </row>
    <row r="29" spans="1:6" x14ac:dyDescent="0.25">
      <c r="A29" s="134">
        <v>43309</v>
      </c>
      <c r="B29" s="135" t="s">
        <v>219</v>
      </c>
      <c r="C29" s="131">
        <v>97918</v>
      </c>
      <c r="D29" s="127"/>
      <c r="E29" s="131"/>
      <c r="F29" s="133">
        <f t="shared" si="0"/>
        <v>97918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x14ac:dyDescent="0.25">
      <c r="A32" s="134"/>
      <c r="B32" s="135"/>
      <c r="C32" s="131"/>
      <c r="D32" s="127"/>
      <c r="E32" s="131"/>
      <c r="F32" s="133">
        <f t="shared" si="0"/>
        <v>0</v>
      </c>
    </row>
    <row r="33" spans="1:6" x14ac:dyDescent="0.25">
      <c r="A33" s="134"/>
      <c r="B33" s="135"/>
      <c r="C33" s="131"/>
      <c r="D33" s="127"/>
      <c r="E33" s="131"/>
      <c r="F33" s="133">
        <f t="shared" si="0"/>
        <v>0</v>
      </c>
    </row>
    <row r="34" spans="1:6" x14ac:dyDescent="0.25">
      <c r="A34" s="134"/>
      <c r="B34" s="135"/>
      <c r="C34" s="131"/>
      <c r="D34" s="127"/>
      <c r="E34" s="131"/>
      <c r="F34" s="133">
        <f t="shared" si="0"/>
        <v>0</v>
      </c>
    </row>
    <row r="35" spans="1:6" x14ac:dyDescent="0.25">
      <c r="A35" s="134"/>
      <c r="B35" s="135"/>
      <c r="C35" s="131"/>
      <c r="D35" s="127"/>
      <c r="E35" s="131"/>
      <c r="F35" s="133">
        <f t="shared" si="0"/>
        <v>0</v>
      </c>
    </row>
    <row r="36" spans="1:6" x14ac:dyDescent="0.25">
      <c r="A36" s="134"/>
      <c r="B36" s="135"/>
      <c r="C36" s="131"/>
      <c r="D36" s="127"/>
      <c r="E36" s="131"/>
      <c r="F36" s="133">
        <f t="shared" si="0"/>
        <v>0</v>
      </c>
    </row>
    <row r="37" spans="1:6" ht="16.5" thickBot="1" x14ac:dyDescent="0.3">
      <c r="A37" s="161" t="s">
        <v>53</v>
      </c>
      <c r="B37" s="162"/>
      <c r="C37" s="142"/>
      <c r="D37" s="143"/>
      <c r="E37" s="144">
        <v>51698.2</v>
      </c>
      <c r="F37" s="145">
        <f t="shared" si="0"/>
        <v>-51698.2</v>
      </c>
    </row>
    <row r="38" spans="1:6" s="151" customFormat="1" ht="19.5" thickBot="1" x14ac:dyDescent="0.35">
      <c r="A38" s="149"/>
      <c r="B38" s="150"/>
      <c r="C38" s="146">
        <f>SUM(C3:C37)</f>
        <v>1901736.5300000003</v>
      </c>
      <c r="D38" s="146"/>
      <c r="E38" s="152">
        <f>SUM(E3:E37)</f>
        <v>51698.2</v>
      </c>
      <c r="F38" s="152">
        <f>SUM(F3:F37)</f>
        <v>1850038.3300000003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0"/>
  <sheetViews>
    <sheetView workbookViewId="0">
      <selection activeCell="B18" sqref="B18"/>
    </sheetView>
  </sheetViews>
  <sheetFormatPr baseColWidth="10" defaultRowHeight="15" x14ac:dyDescent="0.25"/>
  <cols>
    <col min="2" max="2" width="16.42578125" customWidth="1"/>
    <col min="3" max="3" width="23.42578125" style="5" customWidth="1"/>
  </cols>
  <sheetData>
    <row r="3" spans="2:3" ht="18.75" x14ac:dyDescent="0.3">
      <c r="B3" s="205" t="s">
        <v>152</v>
      </c>
    </row>
    <row r="5" spans="2:3" ht="21" x14ac:dyDescent="0.35">
      <c r="B5" s="200">
        <v>43264</v>
      </c>
      <c r="C5" s="201">
        <v>28623</v>
      </c>
    </row>
    <row r="6" spans="2:3" ht="21" x14ac:dyDescent="0.35">
      <c r="B6" s="200">
        <v>43265</v>
      </c>
      <c r="C6" s="201">
        <v>38604.5</v>
      </c>
    </row>
    <row r="7" spans="2:3" ht="21" x14ac:dyDescent="0.35">
      <c r="B7" s="200">
        <v>43266</v>
      </c>
      <c r="C7" s="201">
        <v>60530.5</v>
      </c>
    </row>
    <row r="8" spans="2:3" ht="21" x14ac:dyDescent="0.35">
      <c r="B8" s="200">
        <v>43267</v>
      </c>
      <c r="C8" s="201">
        <v>35000</v>
      </c>
    </row>
    <row r="9" spans="2:3" ht="21.75" thickBot="1" x14ac:dyDescent="0.4">
      <c r="B9" s="202"/>
      <c r="C9" s="203">
        <v>0</v>
      </c>
    </row>
    <row r="10" spans="2:3" ht="24" thickBot="1" x14ac:dyDescent="0.4">
      <c r="B10" s="199" t="s">
        <v>151</v>
      </c>
      <c r="C10" s="204">
        <f>SUM(C5:C9)</f>
        <v>162758</v>
      </c>
    </row>
  </sheetData>
  <pageMargins left="0.7" right="0.7" top="0.75" bottom="0.75" header="0.3" footer="0.3"/>
  <pageSetup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3:D14"/>
  <sheetViews>
    <sheetView workbookViewId="0">
      <selection activeCell="F14" sqref="F14"/>
    </sheetView>
  </sheetViews>
  <sheetFormatPr baseColWidth="10" defaultRowHeight="15" x14ac:dyDescent="0.25"/>
  <cols>
    <col min="4" max="4" width="12.7109375" style="5" bestFit="1" customWidth="1"/>
  </cols>
  <sheetData>
    <row r="3" spans="2:4" ht="18.75" x14ac:dyDescent="0.3">
      <c r="C3" s="209" t="s">
        <v>159</v>
      </c>
    </row>
    <row r="5" spans="2:4" ht="26.25" customHeight="1" x14ac:dyDescent="0.25">
      <c r="B5" s="2"/>
      <c r="C5" s="2" t="s">
        <v>10</v>
      </c>
      <c r="D5" s="207">
        <v>28750</v>
      </c>
    </row>
    <row r="6" spans="2:4" ht="26.25" customHeight="1" x14ac:dyDescent="0.25">
      <c r="B6" s="2"/>
      <c r="C6" s="2" t="s">
        <v>160</v>
      </c>
      <c r="D6" s="207">
        <v>549</v>
      </c>
    </row>
    <row r="7" spans="2:4" ht="38.25" customHeight="1" x14ac:dyDescent="0.25">
      <c r="B7" s="277" t="s">
        <v>161</v>
      </c>
      <c r="C7" s="277"/>
      <c r="D7" s="207">
        <v>12702</v>
      </c>
    </row>
    <row r="8" spans="2:4" ht="26.25" customHeight="1" x14ac:dyDescent="0.25">
      <c r="B8" s="2"/>
      <c r="C8" s="2" t="s">
        <v>9</v>
      </c>
      <c r="D8" s="207">
        <v>7121.5</v>
      </c>
    </row>
    <row r="9" spans="2:4" ht="26.25" customHeight="1" x14ac:dyDescent="0.25">
      <c r="B9" s="2"/>
      <c r="C9" s="206" t="s">
        <v>162</v>
      </c>
      <c r="D9" s="207">
        <v>900</v>
      </c>
    </row>
    <row r="10" spans="2:4" ht="26.25" customHeight="1" x14ac:dyDescent="0.25">
      <c r="B10" s="2"/>
      <c r="C10" s="2" t="s">
        <v>163</v>
      </c>
      <c r="D10" s="207">
        <v>105</v>
      </c>
    </row>
    <row r="11" spans="2:4" ht="26.25" customHeight="1" x14ac:dyDescent="0.25">
      <c r="B11" s="2"/>
      <c r="C11" s="2" t="s">
        <v>164</v>
      </c>
      <c r="D11" s="207">
        <v>70</v>
      </c>
    </row>
    <row r="12" spans="2:4" ht="26.25" customHeight="1" x14ac:dyDescent="0.25">
      <c r="B12" s="2"/>
      <c r="C12" s="206" t="s">
        <v>165</v>
      </c>
      <c r="D12" s="207">
        <v>140</v>
      </c>
    </row>
    <row r="13" spans="2:4" ht="26.25" customHeight="1" thickBot="1" x14ac:dyDescent="0.3">
      <c r="D13" s="5">
        <v>0</v>
      </c>
    </row>
    <row r="14" spans="2:4" ht="21" customHeight="1" thickBot="1" x14ac:dyDescent="0.3">
      <c r="D14" s="208">
        <f>SUM(D5:D13)</f>
        <v>50337.5</v>
      </c>
    </row>
  </sheetData>
  <mergeCells count="1">
    <mergeCell ref="B7:C7"/>
  </mergeCells>
  <pageMargins left="0.7" right="0.7" top="0.75" bottom="0.75" header="0.3" footer="0.3"/>
  <pageSetup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30" sqref="C30"/>
    </sheetView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5"/>
  <sheetViews>
    <sheetView topLeftCell="A22" workbookViewId="0">
      <selection activeCell="D22" sqref="D22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4" t="s">
        <v>46</v>
      </c>
      <c r="D1" s="245"/>
      <c r="E1" s="246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7" t="s">
        <v>52</v>
      </c>
      <c r="I2" s="248"/>
      <c r="J2" s="249"/>
    </row>
    <row r="3" spans="1:10" x14ac:dyDescent="0.25">
      <c r="A3" s="124">
        <v>43102</v>
      </c>
      <c r="B3" s="125">
        <v>332</v>
      </c>
      <c r="C3" s="126">
        <v>48800</v>
      </c>
      <c r="D3" s="127"/>
      <c r="E3" s="126"/>
      <c r="F3" s="128">
        <f t="shared" ref="F3:F44" si="0">C3-E3</f>
        <v>48800</v>
      </c>
      <c r="H3" s="250"/>
      <c r="I3" s="251"/>
      <c r="J3" s="252"/>
    </row>
    <row r="4" spans="1:10" x14ac:dyDescent="0.25">
      <c r="A4" s="129">
        <v>43103</v>
      </c>
      <c r="B4" s="130">
        <v>342</v>
      </c>
      <c r="C4" s="131">
        <v>57865.05</v>
      </c>
      <c r="D4" s="127"/>
      <c r="E4" s="131"/>
      <c r="F4" s="132">
        <f t="shared" si="0"/>
        <v>57865.05</v>
      </c>
      <c r="H4" s="250"/>
      <c r="I4" s="251"/>
      <c r="J4" s="252"/>
    </row>
    <row r="5" spans="1:10" ht="15.75" thickBot="1" x14ac:dyDescent="0.3">
      <c r="A5" s="129">
        <v>43103</v>
      </c>
      <c r="B5" s="130">
        <v>343</v>
      </c>
      <c r="C5" s="131">
        <v>722.4</v>
      </c>
      <c r="D5" s="127"/>
      <c r="E5" s="131"/>
      <c r="F5" s="132">
        <f t="shared" si="0"/>
        <v>722.4</v>
      </c>
      <c r="H5" s="253"/>
      <c r="I5" s="254"/>
      <c r="J5" s="255"/>
    </row>
    <row r="6" spans="1:10" x14ac:dyDescent="0.25">
      <c r="A6" s="129">
        <v>43104</v>
      </c>
      <c r="B6" s="130">
        <v>354</v>
      </c>
      <c r="C6" s="131">
        <v>45433.9</v>
      </c>
      <c r="D6" s="127"/>
      <c r="E6" s="131"/>
      <c r="F6" s="133">
        <f t="shared" si="0"/>
        <v>45433.9</v>
      </c>
    </row>
    <row r="7" spans="1:10" x14ac:dyDescent="0.25">
      <c r="A7" s="129">
        <v>43104</v>
      </c>
      <c r="B7" s="130">
        <v>357</v>
      </c>
      <c r="C7" s="131">
        <v>34171.599999999999</v>
      </c>
      <c r="D7" s="127"/>
      <c r="E7" s="131"/>
      <c r="F7" s="133">
        <f t="shared" si="0"/>
        <v>34171.599999999999</v>
      </c>
    </row>
    <row r="8" spans="1:10" x14ac:dyDescent="0.25">
      <c r="A8" s="129">
        <v>43104</v>
      </c>
      <c r="B8" s="130">
        <v>360</v>
      </c>
      <c r="C8" s="131">
        <v>31069.5</v>
      </c>
      <c r="D8" s="127"/>
      <c r="E8" s="131"/>
      <c r="F8" s="133">
        <f t="shared" si="0"/>
        <v>31069.5</v>
      </c>
    </row>
    <row r="9" spans="1:10" x14ac:dyDescent="0.25">
      <c r="A9" s="129">
        <v>43105</v>
      </c>
      <c r="B9" s="130">
        <v>361</v>
      </c>
      <c r="C9" s="131">
        <v>56728.62</v>
      </c>
      <c r="D9" s="127"/>
      <c r="E9" s="131"/>
      <c r="F9" s="133">
        <f t="shared" si="0"/>
        <v>56728.62</v>
      </c>
    </row>
    <row r="10" spans="1:10" x14ac:dyDescent="0.25">
      <c r="A10" s="129">
        <v>43105</v>
      </c>
      <c r="B10" s="130">
        <v>364</v>
      </c>
      <c r="C10" s="131">
        <v>30530.6</v>
      </c>
      <c r="D10" s="127"/>
      <c r="E10" s="131"/>
      <c r="F10" s="133">
        <f t="shared" si="0"/>
        <v>30530.6</v>
      </c>
    </row>
    <row r="11" spans="1:10" x14ac:dyDescent="0.25">
      <c r="A11" s="129">
        <v>43105</v>
      </c>
      <c r="B11" s="130">
        <v>367</v>
      </c>
      <c r="C11" s="131">
        <v>2164.8000000000002</v>
      </c>
      <c r="D11" s="127"/>
      <c r="E11" s="131"/>
      <c r="F11" s="133">
        <f t="shared" si="0"/>
        <v>2164.8000000000002</v>
      </c>
    </row>
    <row r="12" spans="1:10" x14ac:dyDescent="0.25">
      <c r="A12" s="134">
        <v>43106</v>
      </c>
      <c r="B12" s="135">
        <v>373</v>
      </c>
      <c r="C12" s="131">
        <v>105564.42</v>
      </c>
      <c r="D12" s="127"/>
      <c r="E12" s="131"/>
      <c r="F12" s="133">
        <f t="shared" si="0"/>
        <v>105564.42</v>
      </c>
    </row>
    <row r="13" spans="1:10" x14ac:dyDescent="0.25">
      <c r="A13" s="134">
        <v>43107</v>
      </c>
      <c r="B13" s="135">
        <v>375</v>
      </c>
      <c r="C13" s="131">
        <v>6944.5</v>
      </c>
      <c r="D13" s="127"/>
      <c r="E13" s="131"/>
      <c r="F13" s="133">
        <f t="shared" si="0"/>
        <v>6944.5</v>
      </c>
    </row>
    <row r="14" spans="1:10" x14ac:dyDescent="0.25">
      <c r="A14" s="134">
        <v>43108</v>
      </c>
      <c r="B14" s="135">
        <v>381</v>
      </c>
      <c r="C14" s="131">
        <v>45507.16</v>
      </c>
      <c r="D14" s="127"/>
      <c r="E14" s="131"/>
      <c r="F14" s="133">
        <f t="shared" si="0"/>
        <v>45507.16</v>
      </c>
    </row>
    <row r="15" spans="1:10" x14ac:dyDescent="0.25">
      <c r="A15" s="134">
        <v>43108</v>
      </c>
      <c r="B15" s="135">
        <v>382</v>
      </c>
      <c r="C15" s="131">
        <v>700</v>
      </c>
      <c r="D15" s="127"/>
      <c r="E15" s="131"/>
      <c r="F15" s="133">
        <f t="shared" si="0"/>
        <v>700</v>
      </c>
    </row>
    <row r="16" spans="1:10" x14ac:dyDescent="0.25">
      <c r="A16" s="134">
        <v>43108</v>
      </c>
      <c r="B16" s="135">
        <v>383</v>
      </c>
      <c r="C16" s="131">
        <v>31308.75</v>
      </c>
      <c r="D16" s="127"/>
      <c r="E16" s="131"/>
      <c r="F16" s="133">
        <f t="shared" si="0"/>
        <v>31308.75</v>
      </c>
    </row>
    <row r="17" spans="1:6" x14ac:dyDescent="0.25">
      <c r="A17" s="134">
        <v>43110</v>
      </c>
      <c r="B17" s="135">
        <v>391</v>
      </c>
      <c r="C17" s="131">
        <v>72802.850000000006</v>
      </c>
      <c r="D17" s="127"/>
      <c r="E17" s="131"/>
      <c r="F17" s="133">
        <f t="shared" si="0"/>
        <v>72802.850000000006</v>
      </c>
    </row>
    <row r="18" spans="1:6" x14ac:dyDescent="0.25">
      <c r="A18" s="134">
        <v>43111</v>
      </c>
      <c r="B18" s="135">
        <v>402</v>
      </c>
      <c r="C18" s="131">
        <v>136440.98000000001</v>
      </c>
      <c r="D18" s="127"/>
      <c r="E18" s="131"/>
      <c r="F18" s="133">
        <f t="shared" si="0"/>
        <v>136440.98000000001</v>
      </c>
    </row>
    <row r="19" spans="1:6" x14ac:dyDescent="0.25">
      <c r="A19" s="134">
        <v>43112</v>
      </c>
      <c r="B19" s="135">
        <v>413</v>
      </c>
      <c r="C19" s="131">
        <v>33575.199999999997</v>
      </c>
      <c r="D19" s="127"/>
      <c r="E19" s="131"/>
      <c r="F19" s="133">
        <f t="shared" si="0"/>
        <v>33575.199999999997</v>
      </c>
    </row>
    <row r="20" spans="1:6" x14ac:dyDescent="0.25">
      <c r="A20" s="134">
        <v>43112</v>
      </c>
      <c r="B20" s="135">
        <v>414</v>
      </c>
      <c r="C20" s="131">
        <v>29393</v>
      </c>
      <c r="D20" s="127"/>
      <c r="E20" s="131"/>
      <c r="F20" s="133">
        <f t="shared" si="0"/>
        <v>29393</v>
      </c>
    </row>
    <row r="21" spans="1:6" x14ac:dyDescent="0.25">
      <c r="A21" s="134">
        <v>43113</v>
      </c>
      <c r="B21" s="135">
        <v>420</v>
      </c>
      <c r="C21" s="131">
        <v>52192.1</v>
      </c>
      <c r="D21" s="127"/>
      <c r="E21" s="131"/>
      <c r="F21" s="133">
        <f t="shared" si="0"/>
        <v>52192.1</v>
      </c>
    </row>
    <row r="22" spans="1:6" x14ac:dyDescent="0.25">
      <c r="A22" s="134">
        <v>43113</v>
      </c>
      <c r="B22" s="135">
        <v>423</v>
      </c>
      <c r="C22" s="131">
        <v>32180.6</v>
      </c>
      <c r="D22" s="127"/>
      <c r="E22" s="131"/>
      <c r="F22" s="133">
        <f t="shared" si="0"/>
        <v>32180.6</v>
      </c>
    </row>
    <row r="23" spans="1:6" x14ac:dyDescent="0.25">
      <c r="A23" s="134">
        <v>43113</v>
      </c>
      <c r="B23" s="153">
        <v>424</v>
      </c>
      <c r="C23" s="154">
        <v>34154.36</v>
      </c>
      <c r="D23" s="127"/>
      <c r="E23" s="131"/>
      <c r="F23" s="133">
        <f t="shared" si="0"/>
        <v>34154.36</v>
      </c>
    </row>
    <row r="24" spans="1:6" x14ac:dyDescent="0.25">
      <c r="A24" s="134">
        <v>43115</v>
      </c>
      <c r="B24" s="135">
        <v>427</v>
      </c>
      <c r="C24" s="131">
        <v>39606.370000000003</v>
      </c>
      <c r="D24" s="127"/>
      <c r="E24" s="131"/>
      <c r="F24" s="133">
        <f t="shared" si="0"/>
        <v>39606.370000000003</v>
      </c>
    </row>
    <row r="25" spans="1:6" x14ac:dyDescent="0.25">
      <c r="A25" s="134">
        <v>43115</v>
      </c>
      <c r="B25" s="135">
        <v>429</v>
      </c>
      <c r="C25" s="131">
        <v>38539.4</v>
      </c>
      <c r="D25" s="127"/>
      <c r="E25" s="131"/>
      <c r="F25" s="133">
        <f t="shared" si="0"/>
        <v>38539.4</v>
      </c>
    </row>
    <row r="26" spans="1:6" x14ac:dyDescent="0.25">
      <c r="A26" s="134">
        <v>43117</v>
      </c>
      <c r="B26" s="135">
        <v>435</v>
      </c>
      <c r="C26" s="131">
        <v>86967.74</v>
      </c>
      <c r="D26" s="127"/>
      <c r="E26" s="131"/>
      <c r="F26" s="133">
        <f t="shared" si="0"/>
        <v>86967.74</v>
      </c>
    </row>
    <row r="27" spans="1:6" x14ac:dyDescent="0.25">
      <c r="A27" s="134">
        <v>43117</v>
      </c>
      <c r="B27" s="135">
        <v>436</v>
      </c>
      <c r="C27" s="131">
        <v>622</v>
      </c>
      <c r="D27" s="127"/>
      <c r="E27" s="131"/>
      <c r="F27" s="133">
        <f t="shared" si="0"/>
        <v>622</v>
      </c>
    </row>
    <row r="28" spans="1:6" x14ac:dyDescent="0.25">
      <c r="A28" s="134">
        <v>43118</v>
      </c>
      <c r="B28" s="135">
        <v>442</v>
      </c>
      <c r="C28" s="131">
        <v>45750.97</v>
      </c>
      <c r="D28" s="127"/>
      <c r="E28" s="131"/>
      <c r="F28" s="133">
        <f t="shared" si="0"/>
        <v>45750.97</v>
      </c>
    </row>
    <row r="29" spans="1:6" x14ac:dyDescent="0.25">
      <c r="A29" s="134">
        <v>43119</v>
      </c>
      <c r="B29" s="135">
        <v>447</v>
      </c>
      <c r="C29" s="131">
        <v>37826.44</v>
      </c>
      <c r="D29" s="127"/>
      <c r="E29" s="131"/>
      <c r="F29" s="133">
        <f t="shared" si="0"/>
        <v>37826.44</v>
      </c>
    </row>
    <row r="30" spans="1:6" x14ac:dyDescent="0.25">
      <c r="A30" s="134">
        <v>43119</v>
      </c>
      <c r="B30" s="135">
        <v>448</v>
      </c>
      <c r="C30" s="131">
        <v>36931.980000000003</v>
      </c>
      <c r="D30" s="127"/>
      <c r="E30" s="131"/>
      <c r="F30" s="133">
        <f t="shared" si="0"/>
        <v>36931.980000000003</v>
      </c>
    </row>
    <row r="31" spans="1:6" x14ac:dyDescent="0.25">
      <c r="A31" s="134">
        <v>43120</v>
      </c>
      <c r="B31" s="135">
        <v>456</v>
      </c>
      <c r="C31" s="131">
        <v>43754.7</v>
      </c>
      <c r="D31" s="127"/>
      <c r="E31" s="131"/>
      <c r="F31" s="133">
        <f t="shared" si="0"/>
        <v>43754.7</v>
      </c>
    </row>
    <row r="32" spans="1:6" x14ac:dyDescent="0.25">
      <c r="A32" s="134">
        <v>43122</v>
      </c>
      <c r="B32" s="136">
        <v>461</v>
      </c>
      <c r="C32" s="131">
        <v>115583.05</v>
      </c>
      <c r="D32" s="127"/>
      <c r="E32" s="131"/>
      <c r="F32" s="133">
        <f t="shared" si="0"/>
        <v>115583.05</v>
      </c>
    </row>
    <row r="33" spans="1:6" x14ac:dyDescent="0.25">
      <c r="A33" s="134">
        <v>43124</v>
      </c>
      <c r="B33" s="136">
        <v>468</v>
      </c>
      <c r="C33" s="131">
        <v>42446.400000000001</v>
      </c>
      <c r="D33" s="127"/>
      <c r="E33" s="131"/>
      <c r="F33" s="133">
        <f t="shared" si="0"/>
        <v>42446.400000000001</v>
      </c>
    </row>
    <row r="34" spans="1:6" x14ac:dyDescent="0.25">
      <c r="A34" s="134">
        <v>43125</v>
      </c>
      <c r="B34" s="135">
        <v>473</v>
      </c>
      <c r="C34" s="131">
        <v>38685.599999999999</v>
      </c>
      <c r="D34" s="127"/>
      <c r="E34" s="131"/>
      <c r="F34" s="137">
        <f t="shared" si="0"/>
        <v>38685.599999999999</v>
      </c>
    </row>
    <row r="35" spans="1:6" x14ac:dyDescent="0.25">
      <c r="A35" s="134">
        <v>43125</v>
      </c>
      <c r="B35" s="135">
        <v>474</v>
      </c>
      <c r="C35" s="131">
        <v>42573.440000000002</v>
      </c>
      <c r="D35" s="127"/>
      <c r="E35" s="131"/>
      <c r="F35" s="137">
        <f t="shared" si="0"/>
        <v>42573.440000000002</v>
      </c>
    </row>
    <row r="36" spans="1:6" x14ac:dyDescent="0.25">
      <c r="A36" s="134">
        <v>43126</v>
      </c>
      <c r="B36" s="147">
        <v>478</v>
      </c>
      <c r="C36" s="138">
        <v>46071.18</v>
      </c>
      <c r="D36" s="127"/>
      <c r="E36" s="138"/>
      <c r="F36" s="139">
        <f t="shared" si="0"/>
        <v>46071.18</v>
      </c>
    </row>
    <row r="37" spans="1:6" ht="15.75" x14ac:dyDescent="0.25">
      <c r="A37" s="134">
        <v>43127</v>
      </c>
      <c r="B37" s="148">
        <v>485</v>
      </c>
      <c r="C37" s="138">
        <v>35789</v>
      </c>
      <c r="D37" s="140"/>
      <c r="E37" s="140"/>
      <c r="F37" s="141">
        <f t="shared" si="0"/>
        <v>35789</v>
      </c>
    </row>
    <row r="38" spans="1:6" ht="15.75" x14ac:dyDescent="0.25">
      <c r="A38" s="134">
        <v>43127</v>
      </c>
      <c r="B38" s="148">
        <v>492</v>
      </c>
      <c r="C38" s="138">
        <v>106191.69</v>
      </c>
      <c r="D38" s="140"/>
      <c r="E38" s="140"/>
      <c r="F38" s="141">
        <f t="shared" si="0"/>
        <v>106191.69</v>
      </c>
    </row>
    <row r="39" spans="1:6" ht="15.75" x14ac:dyDescent="0.25">
      <c r="A39" s="134">
        <v>43129</v>
      </c>
      <c r="B39" s="148">
        <v>500</v>
      </c>
      <c r="C39" s="138">
        <v>43105.04</v>
      </c>
      <c r="D39" s="140"/>
      <c r="E39" s="140"/>
      <c r="F39" s="141">
        <f t="shared" si="0"/>
        <v>43105.04</v>
      </c>
    </row>
    <row r="40" spans="1:6" ht="15.75" x14ac:dyDescent="0.25">
      <c r="A40" s="134">
        <v>43129</v>
      </c>
      <c r="B40" s="148">
        <v>501</v>
      </c>
      <c r="C40" s="138">
        <v>35657.64</v>
      </c>
      <c r="D40" s="140"/>
      <c r="E40" s="140"/>
      <c r="F40" s="141">
        <f t="shared" si="0"/>
        <v>35657.64</v>
      </c>
    </row>
    <row r="41" spans="1:6" ht="15.75" x14ac:dyDescent="0.25">
      <c r="A41" s="134">
        <v>43131</v>
      </c>
      <c r="B41" s="148">
        <v>510</v>
      </c>
      <c r="C41" s="138">
        <v>43346.62</v>
      </c>
      <c r="D41" s="140"/>
      <c r="E41" s="140"/>
      <c r="F41" s="141">
        <f t="shared" si="0"/>
        <v>43346.62</v>
      </c>
    </row>
    <row r="42" spans="1:6" ht="15.75" x14ac:dyDescent="0.25">
      <c r="A42" s="134">
        <v>43113</v>
      </c>
      <c r="B42" s="148">
        <v>472</v>
      </c>
      <c r="C42" s="138">
        <v>116</v>
      </c>
      <c r="D42" s="140" t="s">
        <v>54</v>
      </c>
      <c r="E42" s="140"/>
      <c r="F42" s="141">
        <f t="shared" si="0"/>
        <v>116</v>
      </c>
    </row>
    <row r="43" spans="1:6" ht="15.75" x14ac:dyDescent="0.25">
      <c r="A43" s="134">
        <v>43114</v>
      </c>
      <c r="B43" s="148">
        <v>474</v>
      </c>
      <c r="C43" s="138">
        <v>127</v>
      </c>
      <c r="D43" s="140"/>
      <c r="E43" s="140"/>
      <c r="F43" s="141">
        <f t="shared" si="0"/>
        <v>127</v>
      </c>
    </row>
    <row r="44" spans="1:6" ht="16.5" thickBot="1" x14ac:dyDescent="0.3">
      <c r="A44" s="256" t="s">
        <v>53</v>
      </c>
      <c r="B44" s="257"/>
      <c r="C44" s="142">
        <v>0</v>
      </c>
      <c r="D44" s="143"/>
      <c r="E44" s="144">
        <v>50007.3</v>
      </c>
      <c r="F44" s="145">
        <f t="shared" si="0"/>
        <v>-50007.3</v>
      </c>
    </row>
    <row r="45" spans="1:6" s="151" customFormat="1" ht="19.5" thickBot="1" x14ac:dyDescent="0.35">
      <c r="A45" s="149"/>
      <c r="B45" s="150"/>
      <c r="C45" s="146">
        <f>SUM(C3:C44)</f>
        <v>1767942.6499999997</v>
      </c>
      <c r="D45" s="146"/>
      <c r="E45" s="152">
        <f t="shared" ref="E45" si="1">SUM(E3:E44)</f>
        <v>50007.3</v>
      </c>
      <c r="F45" s="152">
        <f>SUM(F3:F44)</f>
        <v>1717935.3499999996</v>
      </c>
    </row>
  </sheetData>
  <mergeCells count="3">
    <mergeCell ref="C1:E1"/>
    <mergeCell ref="H2:J5"/>
    <mergeCell ref="A44:B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P68"/>
  <sheetViews>
    <sheetView workbookViewId="0">
      <selection activeCell="J11" sqref="J1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8" t="s">
        <v>56</v>
      </c>
      <c r="C1" s="218"/>
      <c r="D1" s="218"/>
      <c r="E1" s="218"/>
      <c r="F1" s="218"/>
      <c r="G1" s="218"/>
      <c r="H1" s="218"/>
      <c r="I1" s="218"/>
      <c r="J1" s="218"/>
      <c r="L1" s="3" t="s">
        <v>0</v>
      </c>
      <c r="M1" s="4"/>
    </row>
    <row r="2" spans="1:16" ht="15.75" thickBot="1" x14ac:dyDescent="0.3">
      <c r="A2" s="1"/>
      <c r="B2" s="5"/>
      <c r="D2" s="155"/>
      <c r="E2" s="8"/>
      <c r="L2" s="9"/>
      <c r="M2" s="4"/>
    </row>
    <row r="3" spans="1:16" ht="19.5" customHeight="1" thickBot="1" x14ac:dyDescent="0.35">
      <c r="A3" s="219" t="s">
        <v>1</v>
      </c>
      <c r="B3" s="10" t="s">
        <v>2</v>
      </c>
      <c r="C3" s="11"/>
      <c r="D3" s="221" t="s">
        <v>3</v>
      </c>
      <c r="E3" s="221"/>
      <c r="F3" s="221"/>
      <c r="G3" s="222">
        <v>2000</v>
      </c>
      <c r="H3" s="222"/>
      <c r="I3" s="5"/>
      <c r="L3" s="9"/>
      <c r="M3" s="4"/>
    </row>
    <row r="4" spans="1:16" ht="20.25" thickTop="1" thickBot="1" x14ac:dyDescent="0.35">
      <c r="A4" s="220"/>
      <c r="B4" s="12">
        <v>158643.47</v>
      </c>
      <c r="C4" s="13"/>
      <c r="D4" s="223" t="s">
        <v>4</v>
      </c>
      <c r="E4" s="224"/>
      <c r="H4" s="225" t="s">
        <v>5</v>
      </c>
      <c r="I4" s="226"/>
      <c r="J4" s="226"/>
      <c r="K4" s="226"/>
      <c r="L4" s="14" t="s">
        <v>6</v>
      </c>
      <c r="P4" t="s">
        <v>23</v>
      </c>
    </row>
    <row r="5" spans="1:16" ht="17.25" thickTop="1" thickBot="1" x14ac:dyDescent="0.3">
      <c r="A5" s="16">
        <v>43132</v>
      </c>
      <c r="B5" s="17">
        <v>0</v>
      </c>
      <c r="C5" s="18"/>
      <c r="D5" s="107">
        <v>43132</v>
      </c>
      <c r="E5" s="157">
        <v>54408</v>
      </c>
      <c r="F5" s="158"/>
      <c r="G5" s="159">
        <v>43132</v>
      </c>
      <c r="H5" s="160">
        <v>0</v>
      </c>
      <c r="I5" s="20"/>
      <c r="J5" s="21"/>
      <c r="K5" s="21"/>
      <c r="L5" s="22">
        <v>54408</v>
      </c>
      <c r="M5" s="103" t="s">
        <v>42</v>
      </c>
    </row>
    <row r="6" spans="1:16" ht="17.25" thickTop="1" thickBot="1" x14ac:dyDescent="0.3">
      <c r="A6" s="23">
        <v>43133</v>
      </c>
      <c r="B6" s="17">
        <v>0</v>
      </c>
      <c r="C6" s="18"/>
      <c r="D6" s="106">
        <v>43133</v>
      </c>
      <c r="E6" s="24">
        <v>68248.14</v>
      </c>
      <c r="F6" s="25"/>
      <c r="G6" s="108">
        <v>43133</v>
      </c>
      <c r="H6" s="26">
        <v>30</v>
      </c>
      <c r="I6" s="27"/>
      <c r="J6" s="28" t="s">
        <v>8</v>
      </c>
      <c r="K6" s="29">
        <v>549</v>
      </c>
      <c r="L6" s="22">
        <f>45000+23218</f>
        <v>68218</v>
      </c>
      <c r="M6" s="103" t="s">
        <v>42</v>
      </c>
    </row>
    <row r="7" spans="1:16" ht="16.5" thickTop="1" thickBot="1" x14ac:dyDescent="0.3">
      <c r="A7" s="23">
        <v>43134</v>
      </c>
      <c r="B7" s="17">
        <v>0</v>
      </c>
      <c r="C7" s="18"/>
      <c r="D7" s="106">
        <v>43134</v>
      </c>
      <c r="E7" s="24">
        <v>94795.98</v>
      </c>
      <c r="F7" s="19"/>
      <c r="G7" s="108">
        <v>43134</v>
      </c>
      <c r="H7" s="26">
        <v>0</v>
      </c>
      <c r="I7" s="27" t="s">
        <v>66</v>
      </c>
      <c r="J7" s="30" t="s">
        <v>9</v>
      </c>
      <c r="K7" s="31">
        <v>8226.5</v>
      </c>
      <c r="L7" s="32">
        <v>94796</v>
      </c>
      <c r="M7" s="33" t="s">
        <v>42</v>
      </c>
    </row>
    <row r="8" spans="1:16" ht="16.5" thickTop="1" thickBot="1" x14ac:dyDescent="0.3">
      <c r="A8" s="23">
        <v>43135</v>
      </c>
      <c r="B8" s="17">
        <v>0</v>
      </c>
      <c r="C8" s="34"/>
      <c r="D8" s="106">
        <v>43135</v>
      </c>
      <c r="E8" s="24">
        <v>85540.65</v>
      </c>
      <c r="F8" s="19"/>
      <c r="G8" s="108">
        <v>43135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f>500+85040.5</f>
        <v>85540.5</v>
      </c>
      <c r="M8" s="33" t="s">
        <v>42</v>
      </c>
    </row>
    <row r="9" spans="1:16" ht="16.5" thickTop="1" thickBot="1" x14ac:dyDescent="0.3">
      <c r="A9" s="23">
        <v>43136</v>
      </c>
      <c r="B9" s="17">
        <v>0</v>
      </c>
      <c r="C9" s="36"/>
      <c r="D9" s="106">
        <v>43136</v>
      </c>
      <c r="E9" s="24">
        <v>79759.8</v>
      </c>
      <c r="F9" s="19"/>
      <c r="G9" s="108">
        <v>43136</v>
      </c>
      <c r="H9" s="26">
        <v>35</v>
      </c>
      <c r="I9" s="37" t="s">
        <v>61</v>
      </c>
      <c r="J9" s="28" t="s">
        <v>57</v>
      </c>
      <c r="K9" s="38">
        <v>9064.3700000000008</v>
      </c>
      <c r="L9" s="32">
        <v>79725</v>
      </c>
      <c r="M9" s="33" t="s">
        <v>42</v>
      </c>
    </row>
    <row r="10" spans="1:16" ht="16.5" thickTop="1" thickBot="1" x14ac:dyDescent="0.3">
      <c r="A10" s="23">
        <v>43137</v>
      </c>
      <c r="B10" s="17">
        <v>0</v>
      </c>
      <c r="C10" s="34"/>
      <c r="D10" s="106">
        <v>43137</v>
      </c>
      <c r="E10" s="24">
        <v>26195.9</v>
      </c>
      <c r="F10" s="19"/>
      <c r="G10" s="108">
        <v>43137</v>
      </c>
      <c r="H10" s="26">
        <v>0</v>
      </c>
      <c r="I10" s="37" t="s">
        <v>62</v>
      </c>
      <c r="J10" s="28" t="s">
        <v>58</v>
      </c>
      <c r="K10" s="38">
        <v>9959.93</v>
      </c>
      <c r="L10" s="32">
        <v>26196</v>
      </c>
      <c r="M10" s="33" t="s">
        <v>42</v>
      </c>
    </row>
    <row r="11" spans="1:16" ht="16.5" thickTop="1" thickBot="1" x14ac:dyDescent="0.3">
      <c r="A11" s="23">
        <v>43138</v>
      </c>
      <c r="B11" s="17">
        <v>0</v>
      </c>
      <c r="C11" s="34"/>
      <c r="D11" s="106">
        <v>43138</v>
      </c>
      <c r="E11" s="24">
        <v>42262.25</v>
      </c>
      <c r="F11" s="19"/>
      <c r="G11" s="108">
        <v>43138</v>
      </c>
      <c r="H11" s="26">
        <v>0</v>
      </c>
      <c r="I11" s="37" t="s">
        <v>63</v>
      </c>
      <c r="J11" s="28" t="s">
        <v>59</v>
      </c>
      <c r="K11" s="38">
        <v>9150.08</v>
      </c>
      <c r="L11" s="32">
        <v>42262</v>
      </c>
      <c r="M11" s="33" t="s">
        <v>42</v>
      </c>
    </row>
    <row r="12" spans="1:16" ht="16.5" thickTop="1" thickBot="1" x14ac:dyDescent="0.3">
      <c r="A12" s="23">
        <v>43139</v>
      </c>
      <c r="B12" s="17">
        <v>0</v>
      </c>
      <c r="C12" s="34"/>
      <c r="D12" s="106">
        <v>43139</v>
      </c>
      <c r="E12" s="24">
        <v>60547</v>
      </c>
      <c r="F12" s="19"/>
      <c r="G12" s="108">
        <v>43139</v>
      </c>
      <c r="H12" s="26">
        <v>0</v>
      </c>
      <c r="I12" s="37" t="s">
        <v>65</v>
      </c>
      <c r="J12" s="28" t="s">
        <v>60</v>
      </c>
      <c r="K12" s="38">
        <v>9150.08</v>
      </c>
      <c r="L12" s="32">
        <v>60547.5</v>
      </c>
      <c r="M12" s="33" t="s">
        <v>42</v>
      </c>
      <c r="N12" s="39"/>
    </row>
    <row r="13" spans="1:16" ht="16.5" thickTop="1" thickBot="1" x14ac:dyDescent="0.3">
      <c r="A13" s="23">
        <v>43140</v>
      </c>
      <c r="B13" s="17">
        <v>0</v>
      </c>
      <c r="C13" s="34"/>
      <c r="D13" s="106">
        <v>43140</v>
      </c>
      <c r="E13" s="24">
        <v>78331.92</v>
      </c>
      <c r="F13" s="19"/>
      <c r="G13" s="108">
        <v>43140</v>
      </c>
      <c r="H13" s="26">
        <v>0</v>
      </c>
      <c r="I13" s="27"/>
      <c r="J13" s="28" t="s">
        <v>34</v>
      </c>
      <c r="K13" s="29">
        <v>0</v>
      </c>
      <c r="L13" s="32">
        <f>60000+16562</f>
        <v>76562</v>
      </c>
      <c r="M13" s="33" t="s">
        <v>42</v>
      </c>
    </row>
    <row r="14" spans="1:16" ht="16.5" thickTop="1" thickBot="1" x14ac:dyDescent="0.3">
      <c r="A14" s="23">
        <v>43141</v>
      </c>
      <c r="B14" s="17">
        <v>0</v>
      </c>
      <c r="C14" s="36"/>
      <c r="D14" s="106">
        <v>43141</v>
      </c>
      <c r="E14" s="24">
        <v>80722.679999999993</v>
      </c>
      <c r="F14" s="19"/>
      <c r="G14" s="108">
        <v>43141</v>
      </c>
      <c r="H14" s="26">
        <v>60</v>
      </c>
      <c r="I14" s="27"/>
      <c r="J14" s="40"/>
      <c r="K14" s="29">
        <v>0</v>
      </c>
      <c r="L14" s="32">
        <v>80662.5</v>
      </c>
      <c r="M14" s="33" t="s">
        <v>42</v>
      </c>
    </row>
    <row r="15" spans="1:16" ht="16.5" thickTop="1" thickBot="1" x14ac:dyDescent="0.3">
      <c r="A15" s="23">
        <v>43142</v>
      </c>
      <c r="B15" s="17">
        <v>0</v>
      </c>
      <c r="C15" s="36"/>
      <c r="D15" s="106">
        <v>43142</v>
      </c>
      <c r="E15" s="24">
        <v>82618.34</v>
      </c>
      <c r="F15" s="19"/>
      <c r="G15" s="108">
        <v>43142</v>
      </c>
      <c r="H15" s="26">
        <v>0</v>
      </c>
      <c r="I15" s="27"/>
      <c r="J15" s="41"/>
      <c r="K15" s="29">
        <v>0</v>
      </c>
      <c r="L15" s="32">
        <v>82618.5</v>
      </c>
      <c r="M15" s="33" t="s">
        <v>42</v>
      </c>
    </row>
    <row r="16" spans="1:16" ht="16.5" thickTop="1" thickBot="1" x14ac:dyDescent="0.3">
      <c r="A16" s="23">
        <v>43143</v>
      </c>
      <c r="B16" s="17">
        <v>0</v>
      </c>
      <c r="C16" s="36"/>
      <c r="D16" s="106">
        <v>43143</v>
      </c>
      <c r="E16" s="24">
        <v>71291</v>
      </c>
      <c r="F16" s="19"/>
      <c r="G16" s="108">
        <v>43143</v>
      </c>
      <c r="H16" s="26">
        <v>0</v>
      </c>
      <c r="I16" s="27"/>
      <c r="J16" s="42"/>
      <c r="K16" s="43">
        <v>0</v>
      </c>
      <c r="L16" s="32">
        <v>71291</v>
      </c>
      <c r="M16" s="33" t="s">
        <v>42</v>
      </c>
    </row>
    <row r="17" spans="1:14" ht="16.5" thickTop="1" thickBot="1" x14ac:dyDescent="0.3">
      <c r="A17" s="23">
        <v>43144</v>
      </c>
      <c r="B17" s="17">
        <v>0</v>
      </c>
      <c r="C17" s="36"/>
      <c r="D17" s="106">
        <v>43144</v>
      </c>
      <c r="E17" s="24">
        <v>24941.3</v>
      </c>
      <c r="F17" s="19"/>
      <c r="G17" s="108">
        <v>43144</v>
      </c>
      <c r="H17" s="26">
        <v>0</v>
      </c>
      <c r="I17" s="27"/>
      <c r="J17" s="228" t="s">
        <v>11</v>
      </c>
      <c r="K17" s="43">
        <v>0</v>
      </c>
      <c r="L17" s="32">
        <f>15000+9941.5</f>
        <v>24941.5</v>
      </c>
      <c r="M17" s="33" t="s">
        <v>42</v>
      </c>
    </row>
    <row r="18" spans="1:14" ht="16.5" thickTop="1" thickBot="1" x14ac:dyDescent="0.3">
      <c r="A18" s="23">
        <v>43145</v>
      </c>
      <c r="B18" s="17">
        <v>0</v>
      </c>
      <c r="C18" s="34"/>
      <c r="D18" s="106">
        <v>43145</v>
      </c>
      <c r="E18" s="24">
        <v>38044.42</v>
      </c>
      <c r="F18" s="19"/>
      <c r="G18" s="108">
        <v>43145</v>
      </c>
      <c r="H18" s="26">
        <v>35</v>
      </c>
      <c r="I18" s="44"/>
      <c r="J18" s="228"/>
      <c r="K18" s="45">
        <v>0</v>
      </c>
      <c r="L18" s="32">
        <v>38009.5</v>
      </c>
      <c r="M18" s="33" t="s">
        <v>42</v>
      </c>
    </row>
    <row r="19" spans="1:14" ht="17.25" thickTop="1" thickBot="1" x14ac:dyDescent="0.3">
      <c r="A19" s="23">
        <v>43146</v>
      </c>
      <c r="B19" s="17">
        <v>0</v>
      </c>
      <c r="C19" s="36"/>
      <c r="D19" s="106">
        <v>43146</v>
      </c>
      <c r="E19" s="24">
        <v>56648.66</v>
      </c>
      <c r="F19" s="19"/>
      <c r="G19" s="108">
        <v>43146</v>
      </c>
      <c r="H19" s="26">
        <v>0</v>
      </c>
      <c r="I19" s="27"/>
      <c r="J19" s="46" t="s">
        <v>12</v>
      </c>
      <c r="K19" s="45">
        <v>0</v>
      </c>
      <c r="L19" s="32">
        <v>56648.5</v>
      </c>
      <c r="M19" s="47" t="s">
        <v>42</v>
      </c>
    </row>
    <row r="20" spans="1:14" ht="17.25" thickTop="1" thickBot="1" x14ac:dyDescent="0.3">
      <c r="A20" s="23">
        <v>43147</v>
      </c>
      <c r="B20" s="17">
        <v>0</v>
      </c>
      <c r="C20" s="48"/>
      <c r="D20" s="106">
        <v>43147</v>
      </c>
      <c r="E20" s="24">
        <v>50671.6</v>
      </c>
      <c r="F20" s="19"/>
      <c r="G20" s="108">
        <v>43147</v>
      </c>
      <c r="H20" s="26">
        <v>0</v>
      </c>
      <c r="I20" s="49"/>
      <c r="J20" s="50" t="s">
        <v>13</v>
      </c>
      <c r="K20" s="51">
        <v>0</v>
      </c>
      <c r="L20" s="32">
        <f>35671.5+15000</f>
        <v>50671.5</v>
      </c>
      <c r="M20" s="47" t="s">
        <v>42</v>
      </c>
    </row>
    <row r="21" spans="1:14" ht="16.5" thickTop="1" thickBot="1" x14ac:dyDescent="0.3">
      <c r="A21" s="23">
        <v>43148</v>
      </c>
      <c r="B21" s="17">
        <v>0</v>
      </c>
      <c r="C21" s="48"/>
      <c r="D21" s="106">
        <v>43148</v>
      </c>
      <c r="E21" s="24">
        <v>78560.87</v>
      </c>
      <c r="F21" s="19"/>
      <c r="G21" s="108">
        <v>43148</v>
      </c>
      <c r="H21" s="26">
        <v>0</v>
      </c>
      <c r="I21" s="33" t="s">
        <v>14</v>
      </c>
      <c r="J21" s="52"/>
      <c r="K21" s="51"/>
      <c r="L21" s="32">
        <v>78561</v>
      </c>
      <c r="M21" s="33" t="s">
        <v>42</v>
      </c>
    </row>
    <row r="22" spans="1:14" ht="17.25" thickTop="1" thickBot="1" x14ac:dyDescent="0.3">
      <c r="A22" s="23">
        <v>43149</v>
      </c>
      <c r="B22" s="17">
        <v>0</v>
      </c>
      <c r="C22" s="36"/>
      <c r="D22" s="106">
        <v>43149</v>
      </c>
      <c r="E22" s="24">
        <v>81305.58</v>
      </c>
      <c r="F22" s="19"/>
      <c r="G22" s="108">
        <v>43149</v>
      </c>
      <c r="H22" s="26">
        <v>0</v>
      </c>
      <c r="I22" s="49"/>
      <c r="J22" s="53"/>
      <c r="K22" s="51">
        <v>0</v>
      </c>
      <c r="L22" s="32">
        <v>81305.5</v>
      </c>
      <c r="M22" s="47" t="s">
        <v>42</v>
      </c>
    </row>
    <row r="23" spans="1:14" ht="16.5" thickTop="1" thickBot="1" x14ac:dyDescent="0.3">
      <c r="A23" s="23">
        <v>43150</v>
      </c>
      <c r="B23" s="17">
        <v>0</v>
      </c>
      <c r="C23" s="36"/>
      <c r="D23" s="106">
        <v>43150</v>
      </c>
      <c r="E23" s="24">
        <v>48600.91</v>
      </c>
      <c r="F23" s="19"/>
      <c r="G23" s="108">
        <v>43150</v>
      </c>
      <c r="H23" s="26">
        <v>0</v>
      </c>
      <c r="I23" s="27"/>
      <c r="J23" s="52"/>
      <c r="K23" s="51">
        <v>0</v>
      </c>
      <c r="L23" s="32">
        <v>48601</v>
      </c>
      <c r="M23" s="33" t="s">
        <v>42</v>
      </c>
    </row>
    <row r="24" spans="1:14" ht="16.5" thickTop="1" thickBot="1" x14ac:dyDescent="0.3">
      <c r="A24" s="23">
        <v>43151</v>
      </c>
      <c r="B24" s="17">
        <v>0</v>
      </c>
      <c r="C24" s="36"/>
      <c r="D24" s="106">
        <v>43151</v>
      </c>
      <c r="E24" s="24">
        <v>29226.75</v>
      </c>
      <c r="F24" s="19"/>
      <c r="G24" s="108">
        <v>43151</v>
      </c>
      <c r="H24" s="26">
        <v>35</v>
      </c>
      <c r="I24" s="27"/>
      <c r="J24" s="54" t="s">
        <v>15</v>
      </c>
      <c r="K24" s="51">
        <v>870</v>
      </c>
      <c r="L24" s="32">
        <f>14192+15000</f>
        <v>29192</v>
      </c>
      <c r="M24" s="33" t="s">
        <v>42</v>
      </c>
    </row>
    <row r="25" spans="1:14" ht="16.5" thickTop="1" thickBot="1" x14ac:dyDescent="0.3">
      <c r="A25" s="23">
        <v>43152</v>
      </c>
      <c r="B25" s="17">
        <v>0</v>
      </c>
      <c r="C25" s="48"/>
      <c r="D25" s="106">
        <v>43152</v>
      </c>
      <c r="E25" s="24">
        <v>66127.97</v>
      </c>
      <c r="F25" s="19"/>
      <c r="G25" s="108">
        <v>43152</v>
      </c>
      <c r="H25" s="26">
        <v>0</v>
      </c>
      <c r="I25" s="27"/>
      <c r="J25" s="55">
        <v>43140</v>
      </c>
      <c r="K25" s="51">
        <v>0</v>
      </c>
      <c r="L25" s="32">
        <v>66128</v>
      </c>
      <c r="M25" s="33" t="s">
        <v>42</v>
      </c>
    </row>
    <row r="26" spans="1:14" ht="16.5" thickTop="1" thickBot="1" x14ac:dyDescent="0.3">
      <c r="A26" s="23">
        <v>43153</v>
      </c>
      <c r="B26" s="17">
        <v>0</v>
      </c>
      <c r="C26" s="36"/>
      <c r="D26" s="106">
        <v>43153</v>
      </c>
      <c r="E26" s="24">
        <v>37242.6</v>
      </c>
      <c r="F26" s="19"/>
      <c r="G26" s="108">
        <v>43153</v>
      </c>
      <c r="H26" s="26">
        <v>0</v>
      </c>
      <c r="I26" s="27"/>
      <c r="J26" s="56" t="s">
        <v>16</v>
      </c>
      <c r="K26" s="27">
        <v>900</v>
      </c>
      <c r="L26" s="32">
        <v>37242.5</v>
      </c>
      <c r="M26" s="33" t="s">
        <v>42</v>
      </c>
      <c r="N26" t="s">
        <v>64</v>
      </c>
    </row>
    <row r="27" spans="1:14" ht="16.5" thickTop="1" thickBot="1" x14ac:dyDescent="0.3">
      <c r="A27" s="23">
        <v>43154</v>
      </c>
      <c r="B27" s="17">
        <v>0</v>
      </c>
      <c r="C27" s="36"/>
      <c r="D27" s="106">
        <v>43154</v>
      </c>
      <c r="E27" s="24">
        <v>62371.08</v>
      </c>
      <c r="F27" s="19"/>
      <c r="G27" s="108">
        <v>43154</v>
      </c>
      <c r="H27" s="26">
        <v>0</v>
      </c>
      <c r="I27" s="27"/>
      <c r="J27" s="116">
        <v>43140</v>
      </c>
      <c r="K27" s="27">
        <v>0</v>
      </c>
      <c r="L27" s="32">
        <v>62371</v>
      </c>
      <c r="M27" s="33" t="s">
        <v>42</v>
      </c>
      <c r="N27" t="s">
        <v>23</v>
      </c>
    </row>
    <row r="28" spans="1:14" ht="16.5" thickTop="1" thickBot="1" x14ac:dyDescent="0.3">
      <c r="A28" s="23">
        <v>43155</v>
      </c>
      <c r="B28" s="17">
        <v>0</v>
      </c>
      <c r="C28" s="36"/>
      <c r="D28" s="106">
        <v>43155</v>
      </c>
      <c r="E28" s="24">
        <v>81969.31</v>
      </c>
      <c r="F28" s="19"/>
      <c r="G28" s="108">
        <v>43155</v>
      </c>
      <c r="H28" s="26">
        <v>0</v>
      </c>
      <c r="I28" s="27"/>
      <c r="J28" s="57"/>
      <c r="K28" s="51">
        <v>0</v>
      </c>
      <c r="L28" s="58">
        <v>81919</v>
      </c>
      <c r="M28" s="33" t="s">
        <v>42</v>
      </c>
    </row>
    <row r="29" spans="1:14" ht="16.5" thickTop="1" thickBot="1" x14ac:dyDescent="0.3">
      <c r="A29" s="23">
        <v>43156</v>
      </c>
      <c r="B29" s="17">
        <v>0</v>
      </c>
      <c r="C29" s="36"/>
      <c r="D29" s="106">
        <v>43156</v>
      </c>
      <c r="E29" s="24">
        <v>79445.25</v>
      </c>
      <c r="F29" s="19"/>
      <c r="G29" s="108">
        <v>43156</v>
      </c>
      <c r="H29" s="26">
        <v>0</v>
      </c>
      <c r="I29" s="27"/>
      <c r="J29" s="55"/>
      <c r="K29" s="51">
        <v>0</v>
      </c>
      <c r="L29" s="32">
        <v>79445</v>
      </c>
      <c r="M29" s="33" t="s">
        <v>42</v>
      </c>
    </row>
    <row r="30" spans="1:14" ht="16.5" thickTop="1" thickBot="1" x14ac:dyDescent="0.3">
      <c r="A30" s="23">
        <v>43157</v>
      </c>
      <c r="B30" s="17">
        <v>0</v>
      </c>
      <c r="C30" s="48"/>
      <c r="D30" s="106">
        <v>43157</v>
      </c>
      <c r="E30" s="24">
        <v>50931.83</v>
      </c>
      <c r="F30" s="19"/>
      <c r="G30" s="108">
        <v>43157</v>
      </c>
      <c r="H30" s="26">
        <v>35</v>
      </c>
      <c r="I30" s="27"/>
      <c r="J30" s="60" t="s">
        <v>18</v>
      </c>
      <c r="K30" s="51">
        <v>0</v>
      </c>
      <c r="L30" s="58">
        <v>50897</v>
      </c>
      <c r="M30" s="33" t="s">
        <v>42</v>
      </c>
    </row>
    <row r="31" spans="1:14" ht="16.5" thickTop="1" thickBot="1" x14ac:dyDescent="0.3">
      <c r="A31" s="23">
        <v>43158</v>
      </c>
      <c r="B31" s="17">
        <v>0</v>
      </c>
      <c r="C31" s="48"/>
      <c r="D31" s="106">
        <v>43158</v>
      </c>
      <c r="E31" s="24">
        <v>19582.900000000001</v>
      </c>
      <c r="F31" s="19"/>
      <c r="G31" s="108">
        <v>43158</v>
      </c>
      <c r="H31" s="26">
        <v>0</v>
      </c>
      <c r="I31" s="61"/>
      <c r="J31" s="62"/>
      <c r="K31" s="51">
        <v>0</v>
      </c>
      <c r="L31" s="58">
        <v>19583</v>
      </c>
      <c r="M31" s="33" t="s">
        <v>42</v>
      </c>
    </row>
    <row r="32" spans="1:14" ht="16.5" thickTop="1" thickBot="1" x14ac:dyDescent="0.3">
      <c r="A32" s="23">
        <v>43159</v>
      </c>
      <c r="B32" s="17">
        <v>0</v>
      </c>
      <c r="C32" s="34"/>
      <c r="D32" s="106">
        <v>43159</v>
      </c>
      <c r="E32" s="24">
        <v>64658.13</v>
      </c>
      <c r="F32" s="19"/>
      <c r="G32" s="108">
        <v>43159</v>
      </c>
      <c r="H32" s="26">
        <v>0</v>
      </c>
      <c r="I32" s="61"/>
      <c r="J32" s="60"/>
      <c r="K32" s="29">
        <v>0</v>
      </c>
      <c r="L32" s="32">
        <v>64658</v>
      </c>
      <c r="M32" s="33" t="s">
        <v>42</v>
      </c>
    </row>
    <row r="33" spans="1:14" ht="16.5" thickTop="1" thickBot="1" x14ac:dyDescent="0.3">
      <c r="A33" s="23"/>
      <c r="B33" s="17"/>
      <c r="C33" s="34"/>
      <c r="D33" s="106" t="s">
        <v>23</v>
      </c>
      <c r="E33" s="24"/>
      <c r="F33" s="19"/>
      <c r="G33" s="108"/>
      <c r="H33" s="26"/>
      <c r="I33" s="27"/>
      <c r="J33" s="63"/>
      <c r="K33" s="38"/>
      <c r="L33" s="32"/>
      <c r="M33" s="33"/>
    </row>
    <row r="34" spans="1:14" ht="17.25" thickTop="1" thickBot="1" x14ac:dyDescent="0.3">
      <c r="A34" s="23"/>
      <c r="B34" s="17"/>
      <c r="C34" s="48"/>
      <c r="D34" s="106"/>
      <c r="E34" s="24"/>
      <c r="F34" s="19"/>
      <c r="G34" s="108"/>
      <c r="H34" s="26"/>
      <c r="I34" s="27"/>
      <c r="J34" s="63"/>
      <c r="K34" s="38"/>
      <c r="L34" s="104">
        <v>0</v>
      </c>
      <c r="M34" s="33"/>
      <c r="N34" s="64"/>
    </row>
    <row r="35" spans="1:14" ht="16.5" thickTop="1" thickBot="1" x14ac:dyDescent="0.3">
      <c r="A35" s="23"/>
      <c r="B35" s="17"/>
      <c r="C35" s="18"/>
      <c r="D35" s="106"/>
      <c r="E35" s="24"/>
      <c r="F35" s="19"/>
      <c r="G35" s="108"/>
      <c r="H35" s="26"/>
      <c r="I35" s="27"/>
      <c r="J35" s="60"/>
      <c r="K35" s="29"/>
      <c r="L35" s="105"/>
      <c r="M35" s="33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1693001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1695050.8200000003</v>
      </c>
      <c r="G38" s="155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76619.960000000006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29" t="s">
        <v>20</v>
      </c>
      <c r="H40" s="230"/>
      <c r="I40" s="156"/>
      <c r="J40" s="231">
        <f>H38+K38</f>
        <v>76849.960000000006</v>
      </c>
      <c r="K40" s="232"/>
      <c r="L40" s="94"/>
      <c r="M40" s="95"/>
    </row>
    <row r="41" spans="1:14" ht="15.75" x14ac:dyDescent="0.25">
      <c r="A41" s="1"/>
      <c r="B41" s="5"/>
      <c r="C41" s="233" t="s">
        <v>21</v>
      </c>
      <c r="D41" s="233"/>
      <c r="E41" s="51">
        <f>E38-J40</f>
        <v>1618200.8600000003</v>
      </c>
      <c r="H41" s="96"/>
      <c r="I41" s="96"/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0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-1522451.72</v>
      </c>
      <c r="H43" s="227"/>
      <c r="I43" s="227"/>
      <c r="J43" s="227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95749.140000000363</v>
      </c>
      <c r="H44" s="234" t="s">
        <v>26</v>
      </c>
      <c r="I44" s="234"/>
      <c r="J44" s="235">
        <f>E46</f>
        <v>221812.18000000034</v>
      </c>
      <c r="K44" s="236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126063.03999999999</v>
      </c>
      <c r="H45" s="237" t="s">
        <v>1</v>
      </c>
      <c r="I45" s="237"/>
      <c r="J45" s="238">
        <f>-B4</f>
        <v>-158643.47</v>
      </c>
      <c r="K45" s="238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221812.18000000034</v>
      </c>
      <c r="I46" s="101"/>
      <c r="J46" s="239">
        <v>0</v>
      </c>
      <c r="K46" s="239"/>
      <c r="L46" s="94"/>
      <c r="M46" s="95"/>
    </row>
    <row r="47" spans="1:14" ht="19.5" thickBot="1" x14ac:dyDescent="0.3">
      <c r="A47" s="1"/>
      <c r="B47" s="5"/>
      <c r="E47" s="51"/>
      <c r="H47" s="240" t="s">
        <v>55</v>
      </c>
      <c r="I47" s="241"/>
      <c r="J47" s="242">
        <f>SUM(J44:K46)</f>
        <v>63168.710000000341</v>
      </c>
      <c r="K47" s="243"/>
      <c r="L47" s="94"/>
      <c r="M47" s="95"/>
    </row>
    <row r="48" spans="1:14" x14ac:dyDescent="0.25">
      <c r="A48" s="1"/>
      <c r="B48" s="5"/>
      <c r="C48" s="227"/>
      <c r="D48" s="22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3"/>
  <sheetViews>
    <sheetView topLeftCell="A5" workbookViewId="0">
      <selection activeCell="H27" sqref="H27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4" t="s">
        <v>46</v>
      </c>
      <c r="D1" s="245"/>
      <c r="E1" s="246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7" t="s">
        <v>52</v>
      </c>
      <c r="I2" s="248"/>
      <c r="J2" s="249"/>
    </row>
    <row r="3" spans="1:10" x14ac:dyDescent="0.25">
      <c r="A3" s="124">
        <v>43132</v>
      </c>
      <c r="B3" s="125">
        <v>514</v>
      </c>
      <c r="C3" s="126">
        <v>71125.56</v>
      </c>
      <c r="D3" s="127"/>
      <c r="E3" s="126"/>
      <c r="F3" s="128">
        <f t="shared" ref="F3:F27" si="0">C3-E3</f>
        <v>71125.56</v>
      </c>
      <c r="H3" s="250"/>
      <c r="I3" s="251"/>
      <c r="J3" s="252"/>
    </row>
    <row r="4" spans="1:10" x14ac:dyDescent="0.25">
      <c r="A4" s="124">
        <v>43133</v>
      </c>
      <c r="B4" s="165">
        <v>520</v>
      </c>
      <c r="C4" s="126">
        <v>116207.92</v>
      </c>
      <c r="D4" s="127"/>
      <c r="E4" s="131"/>
      <c r="F4" s="132">
        <f t="shared" si="0"/>
        <v>116207.92</v>
      </c>
      <c r="H4" s="250"/>
      <c r="I4" s="251"/>
      <c r="J4" s="252"/>
    </row>
    <row r="5" spans="1:10" ht="15.75" thickBot="1" x14ac:dyDescent="0.3">
      <c r="A5" s="129">
        <v>43134</v>
      </c>
      <c r="B5" s="166">
        <v>527</v>
      </c>
      <c r="C5" s="131">
        <v>136309.38</v>
      </c>
      <c r="D5" s="127"/>
      <c r="E5" s="131"/>
      <c r="F5" s="132">
        <f t="shared" si="0"/>
        <v>136309.38</v>
      </c>
      <c r="H5" s="253"/>
      <c r="I5" s="254"/>
      <c r="J5" s="255"/>
    </row>
    <row r="6" spans="1:10" x14ac:dyDescent="0.25">
      <c r="A6" s="129">
        <v>43136</v>
      </c>
      <c r="B6" s="166">
        <v>539</v>
      </c>
      <c r="C6" s="131">
        <v>41331</v>
      </c>
      <c r="D6" s="127"/>
      <c r="E6" s="131"/>
      <c r="F6" s="133">
        <f t="shared" si="0"/>
        <v>41331</v>
      </c>
    </row>
    <row r="7" spans="1:10" x14ac:dyDescent="0.25">
      <c r="A7" s="129">
        <v>43138</v>
      </c>
      <c r="B7" s="166">
        <v>545</v>
      </c>
      <c r="C7" s="131">
        <v>130502.6</v>
      </c>
      <c r="D7" s="127"/>
      <c r="E7" s="131"/>
      <c r="F7" s="133">
        <f t="shared" si="0"/>
        <v>130502.6</v>
      </c>
    </row>
    <row r="8" spans="1:10" x14ac:dyDescent="0.25">
      <c r="A8" s="129">
        <v>43139</v>
      </c>
      <c r="B8" s="166">
        <v>555</v>
      </c>
      <c r="C8" s="131">
        <v>42957.34</v>
      </c>
      <c r="D8" s="127"/>
      <c r="E8" s="131"/>
      <c r="F8" s="133">
        <f t="shared" si="0"/>
        <v>42957.34</v>
      </c>
    </row>
    <row r="9" spans="1:10" x14ac:dyDescent="0.25">
      <c r="A9" s="129">
        <v>43140</v>
      </c>
      <c r="B9" s="166">
        <v>556</v>
      </c>
      <c r="C9" s="131">
        <v>149942.34</v>
      </c>
      <c r="D9" s="127"/>
      <c r="E9" s="131"/>
      <c r="F9" s="133">
        <f t="shared" si="0"/>
        <v>149942.34</v>
      </c>
    </row>
    <row r="10" spans="1:10" x14ac:dyDescent="0.25">
      <c r="A10" s="129">
        <v>43141</v>
      </c>
      <c r="B10" s="166">
        <v>569</v>
      </c>
      <c r="C10" s="131">
        <v>76995.88</v>
      </c>
      <c r="D10" s="127"/>
      <c r="E10" s="131"/>
      <c r="F10" s="133">
        <f t="shared" si="0"/>
        <v>76995.88</v>
      </c>
    </row>
    <row r="11" spans="1:10" x14ac:dyDescent="0.25">
      <c r="A11" s="129">
        <v>43143</v>
      </c>
      <c r="B11" s="166">
        <v>570</v>
      </c>
      <c r="C11" s="131">
        <v>30167</v>
      </c>
      <c r="D11" s="127"/>
      <c r="E11" s="131"/>
      <c r="F11" s="133">
        <f t="shared" si="0"/>
        <v>30167</v>
      </c>
    </row>
    <row r="12" spans="1:10" x14ac:dyDescent="0.25">
      <c r="A12" s="134">
        <v>43145</v>
      </c>
      <c r="B12" s="167">
        <v>582</v>
      </c>
      <c r="C12" s="131">
        <v>59230.400000000001</v>
      </c>
      <c r="D12" s="127"/>
      <c r="E12" s="131"/>
      <c r="F12" s="133">
        <f t="shared" si="0"/>
        <v>59230.400000000001</v>
      </c>
    </row>
    <row r="13" spans="1:10" x14ac:dyDescent="0.25">
      <c r="A13" s="134">
        <v>43146</v>
      </c>
      <c r="B13" s="167">
        <v>585</v>
      </c>
      <c r="C13" s="131">
        <v>94228.160000000003</v>
      </c>
      <c r="D13" s="127"/>
      <c r="E13" s="131"/>
      <c r="F13" s="133">
        <f t="shared" si="0"/>
        <v>94228.160000000003</v>
      </c>
    </row>
    <row r="14" spans="1:10" x14ac:dyDescent="0.25">
      <c r="A14" s="134">
        <v>43146</v>
      </c>
      <c r="B14" s="167">
        <v>590</v>
      </c>
      <c r="C14" s="131">
        <v>14396.4</v>
      </c>
      <c r="D14" s="127"/>
      <c r="E14" s="131"/>
      <c r="F14" s="133">
        <f t="shared" si="0"/>
        <v>14396.4</v>
      </c>
    </row>
    <row r="15" spans="1:10" x14ac:dyDescent="0.25">
      <c r="A15" s="134">
        <v>43147</v>
      </c>
      <c r="B15" s="167">
        <v>591</v>
      </c>
      <c r="C15" s="131">
        <v>73278.399999999994</v>
      </c>
      <c r="D15" s="127"/>
      <c r="E15" s="131"/>
      <c r="F15" s="133">
        <f t="shared" si="0"/>
        <v>73278.399999999994</v>
      </c>
    </row>
    <row r="16" spans="1:10" x14ac:dyDescent="0.25">
      <c r="A16" s="134">
        <v>43148</v>
      </c>
      <c r="B16" s="167">
        <v>600</v>
      </c>
      <c r="C16" s="131">
        <v>48794.8</v>
      </c>
      <c r="D16" s="127"/>
      <c r="E16" s="131"/>
      <c r="F16" s="133">
        <f t="shared" si="0"/>
        <v>48794.8</v>
      </c>
    </row>
    <row r="17" spans="1:9" x14ac:dyDescent="0.25">
      <c r="A17" s="134">
        <v>43150</v>
      </c>
      <c r="B17" s="167">
        <v>606</v>
      </c>
      <c r="C17" s="131">
        <v>52155.72</v>
      </c>
      <c r="D17" s="127"/>
      <c r="E17" s="131"/>
      <c r="F17" s="133">
        <f t="shared" si="0"/>
        <v>52155.72</v>
      </c>
      <c r="H17">
        <v>610</v>
      </c>
      <c r="I17" s="5">
        <v>30954</v>
      </c>
    </row>
    <row r="18" spans="1:9" x14ac:dyDescent="0.25">
      <c r="A18" s="134">
        <v>43150</v>
      </c>
      <c r="B18" s="167">
        <v>610</v>
      </c>
      <c r="C18" s="131">
        <v>30954</v>
      </c>
      <c r="D18" s="127"/>
      <c r="E18" s="131"/>
      <c r="F18" s="133">
        <f t="shared" si="0"/>
        <v>30954</v>
      </c>
      <c r="I18" s="5"/>
    </row>
    <row r="19" spans="1:9" x14ac:dyDescent="0.25">
      <c r="A19" s="134">
        <v>43152</v>
      </c>
      <c r="B19" s="167">
        <v>618</v>
      </c>
      <c r="C19" s="131">
        <v>94175.64</v>
      </c>
      <c r="D19" s="127"/>
      <c r="E19" s="131"/>
      <c r="F19" s="133">
        <f t="shared" si="0"/>
        <v>94175.64</v>
      </c>
    </row>
    <row r="20" spans="1:9" x14ac:dyDescent="0.25">
      <c r="A20" s="134">
        <v>43153</v>
      </c>
      <c r="B20" s="135">
        <v>625</v>
      </c>
      <c r="C20" s="131">
        <v>75539.5</v>
      </c>
      <c r="D20" s="127"/>
      <c r="E20" s="131"/>
      <c r="F20" s="133">
        <f t="shared" si="0"/>
        <v>75539.5</v>
      </c>
    </row>
    <row r="21" spans="1:9" x14ac:dyDescent="0.25">
      <c r="A21" s="134">
        <v>43154</v>
      </c>
      <c r="B21" s="167">
        <v>631</v>
      </c>
      <c r="C21" s="131">
        <v>69568.7</v>
      </c>
      <c r="D21" s="127"/>
      <c r="E21" s="131"/>
      <c r="F21" s="133">
        <f t="shared" si="0"/>
        <v>69568.7</v>
      </c>
    </row>
    <row r="22" spans="1:9" x14ac:dyDescent="0.25">
      <c r="A22" s="134">
        <v>43155</v>
      </c>
      <c r="B22" s="167">
        <v>636</v>
      </c>
      <c r="C22" s="131">
        <v>3670.42</v>
      </c>
      <c r="D22" s="127"/>
      <c r="E22" s="131"/>
      <c r="F22" s="133">
        <f t="shared" si="0"/>
        <v>3670.42</v>
      </c>
    </row>
    <row r="23" spans="1:9" x14ac:dyDescent="0.25">
      <c r="A23" s="134">
        <v>43157</v>
      </c>
      <c r="B23" s="167">
        <v>644</v>
      </c>
      <c r="C23" s="131">
        <v>47916.34</v>
      </c>
      <c r="D23" s="127"/>
      <c r="E23" s="131"/>
      <c r="F23" s="133">
        <f t="shared" si="0"/>
        <v>47916.34</v>
      </c>
    </row>
    <row r="24" spans="1:9" x14ac:dyDescent="0.25">
      <c r="A24" s="134">
        <v>43158</v>
      </c>
      <c r="B24" s="167">
        <v>651</v>
      </c>
      <c r="C24" s="131">
        <v>105811.62</v>
      </c>
      <c r="D24" s="127"/>
      <c r="E24" s="131"/>
      <c r="F24" s="133">
        <f t="shared" si="0"/>
        <v>105811.62</v>
      </c>
    </row>
    <row r="25" spans="1:9" x14ac:dyDescent="0.25">
      <c r="A25" s="134">
        <v>43135</v>
      </c>
      <c r="B25" s="135">
        <v>587</v>
      </c>
      <c r="C25" s="131">
        <v>100</v>
      </c>
      <c r="D25" s="127" t="s">
        <v>67</v>
      </c>
      <c r="E25" s="131"/>
      <c r="F25" s="133">
        <f t="shared" si="0"/>
        <v>100</v>
      </c>
    </row>
    <row r="26" spans="1:9" x14ac:dyDescent="0.25">
      <c r="A26" s="134"/>
      <c r="B26" s="135"/>
      <c r="C26" s="131"/>
      <c r="D26" s="127"/>
      <c r="E26" s="131"/>
      <c r="F26" s="133">
        <f t="shared" si="0"/>
        <v>0</v>
      </c>
    </row>
    <row r="27" spans="1:9" ht="16.5" thickBot="1" x14ac:dyDescent="0.3">
      <c r="A27" s="161" t="s">
        <v>53</v>
      </c>
      <c r="B27" s="162"/>
      <c r="C27" s="142"/>
      <c r="D27" s="143"/>
      <c r="E27" s="144">
        <v>42907.4</v>
      </c>
      <c r="F27" s="145">
        <f t="shared" si="0"/>
        <v>-42907.4</v>
      </c>
    </row>
    <row r="28" spans="1:9" s="151" customFormat="1" ht="19.5" thickBot="1" x14ac:dyDescent="0.35">
      <c r="A28" s="149"/>
      <c r="B28" s="150"/>
      <c r="C28" s="146">
        <f>SUM(C3:C27)</f>
        <v>1565359.1199999996</v>
      </c>
      <c r="D28" s="146"/>
      <c r="E28" s="152">
        <f>SUM(E3:E27)</f>
        <v>42907.4</v>
      </c>
      <c r="F28" s="152">
        <f>SUM(F3:F27)</f>
        <v>1522451.7199999997</v>
      </c>
    </row>
    <row r="33" spans="6:6" x14ac:dyDescent="0.25">
      <c r="F33" s="19" t="s">
        <v>64</v>
      </c>
    </row>
  </sheetData>
  <mergeCells count="2">
    <mergeCell ref="C1:E1"/>
    <mergeCell ref="H2:J5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P68"/>
  <sheetViews>
    <sheetView topLeftCell="C1" workbookViewId="0">
      <selection activeCell="H21" sqref="H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8" t="s">
        <v>68</v>
      </c>
      <c r="C1" s="218"/>
      <c r="D1" s="218"/>
      <c r="E1" s="218"/>
      <c r="F1" s="218"/>
      <c r="G1" s="218"/>
      <c r="H1" s="218"/>
      <c r="I1" s="218"/>
      <c r="J1" s="218"/>
      <c r="L1" s="3" t="s">
        <v>0</v>
      </c>
      <c r="M1" s="4"/>
    </row>
    <row r="2" spans="1:16" ht="15.75" thickBot="1" x14ac:dyDescent="0.3">
      <c r="A2" s="1"/>
      <c r="B2" s="5"/>
      <c r="D2" s="163"/>
      <c r="E2" s="8"/>
      <c r="L2" s="9"/>
      <c r="M2" s="4"/>
    </row>
    <row r="3" spans="1:16" ht="19.5" customHeight="1" thickBot="1" x14ac:dyDescent="0.35">
      <c r="A3" s="219" t="s">
        <v>1</v>
      </c>
      <c r="B3" s="10" t="s">
        <v>2</v>
      </c>
      <c r="C3" s="11"/>
      <c r="D3" s="221" t="s">
        <v>3</v>
      </c>
      <c r="E3" s="221"/>
      <c r="F3" s="221"/>
      <c r="G3" s="222">
        <v>2000</v>
      </c>
      <c r="H3" s="222"/>
      <c r="I3" s="5"/>
      <c r="L3" s="9"/>
      <c r="M3" s="4"/>
    </row>
    <row r="4" spans="1:16" ht="20.25" thickTop="1" thickBot="1" x14ac:dyDescent="0.35">
      <c r="A4" s="220"/>
      <c r="B4" s="12">
        <v>126063.03999999999</v>
      </c>
      <c r="C4" s="13"/>
      <c r="D4" s="223" t="s">
        <v>4</v>
      </c>
      <c r="E4" s="224"/>
      <c r="H4" s="225" t="s">
        <v>5</v>
      </c>
      <c r="I4" s="226"/>
      <c r="J4" s="226"/>
      <c r="K4" s="226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43160</v>
      </c>
      <c r="E5" s="157">
        <v>32305.02</v>
      </c>
      <c r="F5" s="158"/>
      <c r="G5" s="159">
        <v>43160</v>
      </c>
      <c r="H5" s="160">
        <v>0</v>
      </c>
      <c r="I5" s="20"/>
      <c r="J5" s="21"/>
      <c r="K5" s="21"/>
      <c r="L5" s="22">
        <v>32305</v>
      </c>
      <c r="M5" s="103" t="s">
        <v>7</v>
      </c>
    </row>
    <row r="6" spans="1:16" ht="17.25" thickTop="1" thickBot="1" x14ac:dyDescent="0.3">
      <c r="A6" s="23"/>
      <c r="B6" s="17">
        <v>0</v>
      </c>
      <c r="C6" s="18"/>
      <c r="D6" s="106">
        <v>43161</v>
      </c>
      <c r="E6" s="24">
        <v>56543.9</v>
      </c>
      <c r="F6" s="25"/>
      <c r="G6" s="108">
        <v>43161</v>
      </c>
      <c r="H6" s="26">
        <v>0</v>
      </c>
      <c r="I6" s="27"/>
      <c r="J6" s="28" t="s">
        <v>8</v>
      </c>
      <c r="K6" s="29">
        <v>549</v>
      </c>
      <c r="L6" s="22">
        <f>25000+33304</f>
        <v>58304</v>
      </c>
      <c r="M6" s="103" t="s">
        <v>7</v>
      </c>
    </row>
    <row r="7" spans="1:16" ht="16.5" thickTop="1" thickBot="1" x14ac:dyDescent="0.3">
      <c r="A7" s="23"/>
      <c r="B7" s="17">
        <v>0</v>
      </c>
      <c r="C7" s="18"/>
      <c r="D7" s="106">
        <v>43162</v>
      </c>
      <c r="E7" s="24">
        <v>63598.239999999998</v>
      </c>
      <c r="F7" s="19"/>
      <c r="G7" s="108">
        <v>43162</v>
      </c>
      <c r="H7" s="26">
        <v>35</v>
      </c>
      <c r="I7" s="27" t="s">
        <v>82</v>
      </c>
      <c r="J7" s="30" t="s">
        <v>9</v>
      </c>
      <c r="K7" s="31">
        <v>4928</v>
      </c>
      <c r="L7" s="32">
        <v>63563</v>
      </c>
      <c r="M7" s="33" t="s">
        <v>7</v>
      </c>
    </row>
    <row r="8" spans="1:16" ht="16.5" thickTop="1" thickBot="1" x14ac:dyDescent="0.3">
      <c r="A8" s="23"/>
      <c r="B8" s="17">
        <v>0</v>
      </c>
      <c r="C8" s="34"/>
      <c r="D8" s="106">
        <v>43163</v>
      </c>
      <c r="E8" s="24">
        <v>86175.52</v>
      </c>
      <c r="F8" s="19"/>
      <c r="G8" s="108">
        <v>43163</v>
      </c>
      <c r="H8" s="26">
        <v>0</v>
      </c>
      <c r="I8" s="27"/>
      <c r="J8" s="28" t="s">
        <v>10</v>
      </c>
      <c r="K8" s="35">
        <f>7187.5+7187.5+7187.5+7187.5</f>
        <v>28750</v>
      </c>
      <c r="L8" s="32">
        <v>86175.5</v>
      </c>
      <c r="M8" s="33" t="s">
        <v>7</v>
      </c>
    </row>
    <row r="9" spans="1:16" ht="16.5" thickTop="1" thickBot="1" x14ac:dyDescent="0.3">
      <c r="A9" s="23"/>
      <c r="B9" s="17">
        <v>0</v>
      </c>
      <c r="C9" s="36"/>
      <c r="D9" s="106">
        <v>43164</v>
      </c>
      <c r="E9" s="24">
        <v>60931.28</v>
      </c>
      <c r="F9" s="19"/>
      <c r="G9" s="108">
        <v>43164</v>
      </c>
      <c r="H9" s="26">
        <v>0</v>
      </c>
      <c r="I9" s="37" t="s">
        <v>76</v>
      </c>
      <c r="J9" s="28" t="s">
        <v>71</v>
      </c>
      <c r="K9" s="38">
        <v>9121.84</v>
      </c>
      <c r="L9" s="32">
        <v>60931</v>
      </c>
      <c r="M9" s="33" t="s">
        <v>7</v>
      </c>
    </row>
    <row r="10" spans="1:16" ht="16.5" thickTop="1" thickBot="1" x14ac:dyDescent="0.3">
      <c r="A10" s="23"/>
      <c r="B10" s="17">
        <v>0</v>
      </c>
      <c r="C10" s="34"/>
      <c r="D10" s="106">
        <v>43165</v>
      </c>
      <c r="E10" s="24">
        <v>24245.8</v>
      </c>
      <c r="F10" s="19"/>
      <c r="G10" s="108">
        <v>43165</v>
      </c>
      <c r="H10" s="26">
        <v>0</v>
      </c>
      <c r="I10" s="37" t="s">
        <v>77</v>
      </c>
      <c r="J10" s="28" t="s">
        <v>72</v>
      </c>
      <c r="K10" s="38">
        <v>9150.08</v>
      </c>
      <c r="L10" s="32">
        <v>24246</v>
      </c>
      <c r="M10" s="33" t="s">
        <v>7</v>
      </c>
    </row>
    <row r="11" spans="1:16" ht="16.5" thickTop="1" thickBot="1" x14ac:dyDescent="0.3">
      <c r="A11" s="23"/>
      <c r="B11" s="17">
        <v>0</v>
      </c>
      <c r="C11" s="34"/>
      <c r="D11" s="106">
        <v>43166</v>
      </c>
      <c r="E11" s="24">
        <v>33528.47</v>
      </c>
      <c r="F11" s="19"/>
      <c r="G11" s="108">
        <v>43166</v>
      </c>
      <c r="H11" s="26">
        <v>0</v>
      </c>
      <c r="I11" s="37" t="s">
        <v>78</v>
      </c>
      <c r="J11" s="28" t="s">
        <v>73</v>
      </c>
      <c r="K11" s="38">
        <v>9150.08</v>
      </c>
      <c r="L11" s="32">
        <v>33528</v>
      </c>
      <c r="M11" s="33" t="s">
        <v>7</v>
      </c>
    </row>
    <row r="12" spans="1:16" ht="16.5" thickTop="1" thickBot="1" x14ac:dyDescent="0.3">
      <c r="A12" s="23"/>
      <c r="B12" s="17">
        <v>0</v>
      </c>
      <c r="C12" s="34"/>
      <c r="D12" s="106">
        <v>43167</v>
      </c>
      <c r="E12" s="24">
        <v>43504.6</v>
      </c>
      <c r="F12" s="19"/>
      <c r="G12" s="108">
        <v>43167</v>
      </c>
      <c r="H12" s="26">
        <v>0</v>
      </c>
      <c r="I12" s="37" t="s">
        <v>79</v>
      </c>
      <c r="J12" s="28" t="s">
        <v>74</v>
      </c>
      <c r="K12" s="38">
        <v>9807.2199999999993</v>
      </c>
      <c r="L12" s="32">
        <v>42634</v>
      </c>
      <c r="M12" s="33" t="s">
        <v>7</v>
      </c>
      <c r="N12" s="39"/>
    </row>
    <row r="13" spans="1:16" ht="16.5" thickTop="1" thickBot="1" x14ac:dyDescent="0.3">
      <c r="A13" s="23"/>
      <c r="B13" s="17">
        <v>0</v>
      </c>
      <c r="C13" s="34"/>
      <c r="D13" s="106">
        <v>43168</v>
      </c>
      <c r="E13" s="24">
        <v>61713.25</v>
      </c>
      <c r="F13" s="19"/>
      <c r="G13" s="108">
        <v>43168</v>
      </c>
      <c r="H13" s="26">
        <v>0</v>
      </c>
      <c r="I13" s="37" t="s">
        <v>80</v>
      </c>
      <c r="J13" s="28" t="s">
        <v>75</v>
      </c>
      <c r="K13" s="29">
        <v>9407.2199999999993</v>
      </c>
      <c r="L13" s="32">
        <f>20000+40813</f>
        <v>60813</v>
      </c>
      <c r="M13" s="33" t="s">
        <v>7</v>
      </c>
    </row>
    <row r="14" spans="1:16" ht="16.5" thickTop="1" thickBot="1" x14ac:dyDescent="0.3">
      <c r="A14" s="23"/>
      <c r="B14" s="17">
        <v>0</v>
      </c>
      <c r="C14" s="36"/>
      <c r="D14" s="106">
        <v>43169</v>
      </c>
      <c r="E14" s="24">
        <v>77248.179999999993</v>
      </c>
      <c r="F14" s="19"/>
      <c r="G14" s="108">
        <v>43169</v>
      </c>
      <c r="H14" s="26">
        <v>35</v>
      </c>
      <c r="I14" s="27"/>
      <c r="J14" s="40"/>
      <c r="K14" s="29">
        <v>0</v>
      </c>
      <c r="L14" s="32">
        <v>77213</v>
      </c>
      <c r="M14" s="33" t="s">
        <v>7</v>
      </c>
    </row>
    <row r="15" spans="1:16" ht="16.5" thickTop="1" thickBot="1" x14ac:dyDescent="0.3">
      <c r="A15" s="23"/>
      <c r="B15" s="17">
        <v>0</v>
      </c>
      <c r="C15" s="36"/>
      <c r="D15" s="106">
        <v>43170</v>
      </c>
      <c r="E15" s="24">
        <v>69399.62</v>
      </c>
      <c r="F15" s="19"/>
      <c r="G15" s="108">
        <v>43170</v>
      </c>
      <c r="H15" s="26">
        <v>0</v>
      </c>
      <c r="I15" s="27"/>
      <c r="J15" s="41"/>
      <c r="K15" s="29">
        <v>0</v>
      </c>
      <c r="L15" s="32">
        <v>69400</v>
      </c>
      <c r="M15" s="33" t="s">
        <v>7</v>
      </c>
    </row>
    <row r="16" spans="1:16" ht="16.5" thickTop="1" thickBot="1" x14ac:dyDescent="0.3">
      <c r="A16" s="23"/>
      <c r="B16" s="17">
        <v>0</v>
      </c>
      <c r="C16" s="36"/>
      <c r="D16" s="106">
        <v>43171</v>
      </c>
      <c r="E16" s="24">
        <v>41848.120000000003</v>
      </c>
      <c r="F16" s="19"/>
      <c r="G16" s="108">
        <v>43171</v>
      </c>
      <c r="H16" s="26">
        <v>0</v>
      </c>
      <c r="I16" s="27"/>
      <c r="J16" s="42"/>
      <c r="K16" s="43">
        <v>0</v>
      </c>
      <c r="L16" s="32">
        <v>41848</v>
      </c>
      <c r="M16" s="33" t="s">
        <v>7</v>
      </c>
    </row>
    <row r="17" spans="1:15" ht="16.5" thickTop="1" thickBot="1" x14ac:dyDescent="0.3">
      <c r="A17" s="23"/>
      <c r="B17" s="17">
        <v>0</v>
      </c>
      <c r="C17" s="36"/>
      <c r="D17" s="106">
        <v>43172</v>
      </c>
      <c r="E17" s="24">
        <v>18831.150000000001</v>
      </c>
      <c r="F17" s="19"/>
      <c r="G17" s="108">
        <v>43172</v>
      </c>
      <c r="H17" s="26">
        <v>0</v>
      </c>
      <c r="I17" s="27"/>
      <c r="J17" s="228" t="s">
        <v>11</v>
      </c>
      <c r="K17" s="43">
        <v>0</v>
      </c>
      <c r="L17" s="32">
        <v>18831</v>
      </c>
      <c r="M17" s="33" t="s">
        <v>7</v>
      </c>
    </row>
    <row r="18" spans="1:15" ht="16.5" thickTop="1" thickBot="1" x14ac:dyDescent="0.3">
      <c r="A18" s="23"/>
      <c r="B18" s="17">
        <v>0</v>
      </c>
      <c r="C18" s="34"/>
      <c r="D18" s="106">
        <v>43173</v>
      </c>
      <c r="E18" s="24">
        <v>44510.2</v>
      </c>
      <c r="F18" s="19"/>
      <c r="G18" s="108">
        <v>43173</v>
      </c>
      <c r="H18" s="26">
        <v>0</v>
      </c>
      <c r="I18" s="44"/>
      <c r="J18" s="228"/>
      <c r="K18" s="45">
        <v>0</v>
      </c>
      <c r="L18" s="32">
        <v>44510</v>
      </c>
      <c r="M18" s="33" t="s">
        <v>7</v>
      </c>
    </row>
    <row r="19" spans="1:15" ht="17.25" thickTop="1" thickBot="1" x14ac:dyDescent="0.3">
      <c r="A19" s="23"/>
      <c r="B19" s="17">
        <v>0</v>
      </c>
      <c r="C19" s="36"/>
      <c r="D19" s="106">
        <v>43174</v>
      </c>
      <c r="E19" s="24">
        <v>30022.720000000001</v>
      </c>
      <c r="F19" s="19"/>
      <c r="G19" s="108">
        <v>43174</v>
      </c>
      <c r="H19" s="26">
        <v>0</v>
      </c>
      <c r="I19" s="27"/>
      <c r="J19" s="46" t="s">
        <v>12</v>
      </c>
      <c r="K19" s="45">
        <v>0</v>
      </c>
      <c r="L19" s="32">
        <v>30023</v>
      </c>
      <c r="M19" s="47" t="s">
        <v>7</v>
      </c>
    </row>
    <row r="20" spans="1:15" ht="17.25" thickTop="1" thickBot="1" x14ac:dyDescent="0.3">
      <c r="A20" s="23"/>
      <c r="B20" s="17">
        <v>0</v>
      </c>
      <c r="C20" s="48"/>
      <c r="D20" s="106">
        <v>43175</v>
      </c>
      <c r="E20" s="24">
        <v>57830.11</v>
      </c>
      <c r="F20" s="19"/>
      <c r="G20" s="108">
        <v>43175</v>
      </c>
      <c r="H20" s="26">
        <v>0</v>
      </c>
      <c r="I20" s="49"/>
      <c r="J20" s="50" t="s">
        <v>13</v>
      </c>
      <c r="K20" s="51">
        <v>0</v>
      </c>
      <c r="L20" s="32">
        <f>25000+32830</f>
        <v>57830</v>
      </c>
      <c r="M20" s="47" t="s">
        <v>7</v>
      </c>
    </row>
    <row r="21" spans="1:15" ht="16.5" thickTop="1" thickBot="1" x14ac:dyDescent="0.3">
      <c r="A21" s="23"/>
      <c r="B21" s="17">
        <v>0</v>
      </c>
      <c r="C21" s="48"/>
      <c r="D21" s="106">
        <v>43176</v>
      </c>
      <c r="E21" s="24">
        <v>75507.149999999994</v>
      </c>
      <c r="F21" s="19"/>
      <c r="G21" s="108">
        <v>43176</v>
      </c>
      <c r="H21" s="26">
        <v>45</v>
      </c>
      <c r="I21" s="33" t="s">
        <v>14</v>
      </c>
      <c r="J21" s="52"/>
      <c r="K21" s="51"/>
      <c r="L21" s="32">
        <v>75462</v>
      </c>
      <c r="M21" s="33" t="s">
        <v>7</v>
      </c>
    </row>
    <row r="22" spans="1:15" ht="17.25" thickTop="1" thickBot="1" x14ac:dyDescent="0.3">
      <c r="A22" s="23"/>
      <c r="B22" s="17">
        <v>0</v>
      </c>
      <c r="C22" s="36"/>
      <c r="D22" s="106">
        <v>43177</v>
      </c>
      <c r="E22" s="24">
        <v>68127.02</v>
      </c>
      <c r="F22" s="19"/>
      <c r="G22" s="108">
        <v>43177</v>
      </c>
      <c r="H22" s="26">
        <v>0</v>
      </c>
      <c r="I22" s="49"/>
      <c r="J22" s="53"/>
      <c r="K22" s="51">
        <v>0</v>
      </c>
      <c r="L22" s="32">
        <v>68127</v>
      </c>
      <c r="M22" s="47" t="s">
        <v>7</v>
      </c>
    </row>
    <row r="23" spans="1:15" ht="16.5" thickTop="1" thickBot="1" x14ac:dyDescent="0.3">
      <c r="A23" s="23"/>
      <c r="B23" s="17">
        <v>0</v>
      </c>
      <c r="C23" s="36"/>
      <c r="D23" s="106">
        <v>43178</v>
      </c>
      <c r="E23" s="24">
        <v>63415.01</v>
      </c>
      <c r="F23" s="19"/>
      <c r="G23" s="108">
        <v>43178</v>
      </c>
      <c r="H23" s="26">
        <v>35</v>
      </c>
      <c r="I23" s="27"/>
      <c r="J23" s="52"/>
      <c r="K23" s="51">
        <v>0</v>
      </c>
      <c r="L23" s="32">
        <v>63380</v>
      </c>
      <c r="M23" s="33" t="s">
        <v>7</v>
      </c>
    </row>
    <row r="24" spans="1:15" ht="16.5" thickTop="1" thickBot="1" x14ac:dyDescent="0.3">
      <c r="A24" s="23"/>
      <c r="B24" s="17">
        <v>0</v>
      </c>
      <c r="C24" s="36"/>
      <c r="D24" s="106">
        <v>43179</v>
      </c>
      <c r="E24" s="24">
        <v>25138.55</v>
      </c>
      <c r="F24" s="19"/>
      <c r="G24" s="108">
        <v>43179</v>
      </c>
      <c r="H24" s="26">
        <v>0</v>
      </c>
      <c r="I24" s="27" t="s">
        <v>69</v>
      </c>
      <c r="J24" s="54" t="s">
        <v>15</v>
      </c>
      <c r="K24" s="51">
        <v>870</v>
      </c>
      <c r="L24" s="32">
        <v>25238.5</v>
      </c>
      <c r="M24" s="33" t="s">
        <v>7</v>
      </c>
      <c r="N24" s="168">
        <v>100</v>
      </c>
    </row>
    <row r="25" spans="1:15" ht="16.5" thickTop="1" thickBot="1" x14ac:dyDescent="0.3">
      <c r="A25" s="23"/>
      <c r="B25" s="17">
        <v>0</v>
      </c>
      <c r="C25" s="48"/>
      <c r="D25" s="106">
        <v>43180</v>
      </c>
      <c r="E25" s="24">
        <v>38982</v>
      </c>
      <c r="F25" s="19"/>
      <c r="G25" s="108">
        <v>43180</v>
      </c>
      <c r="H25" s="26">
        <v>40</v>
      </c>
      <c r="I25" s="27"/>
      <c r="J25" s="55"/>
      <c r="K25" s="51">
        <v>0</v>
      </c>
      <c r="L25" s="32">
        <v>38942</v>
      </c>
      <c r="M25" s="33" t="s">
        <v>7</v>
      </c>
    </row>
    <row r="26" spans="1:15" ht="16.5" thickTop="1" thickBot="1" x14ac:dyDescent="0.3">
      <c r="A26" s="23"/>
      <c r="B26" s="17">
        <v>0</v>
      </c>
      <c r="C26" s="36"/>
      <c r="D26" s="106">
        <v>43181</v>
      </c>
      <c r="E26" s="24">
        <v>51250.35</v>
      </c>
      <c r="F26" s="19"/>
      <c r="G26" s="108">
        <v>43181</v>
      </c>
      <c r="H26" s="26">
        <v>0</v>
      </c>
      <c r="I26" s="27" t="s">
        <v>70</v>
      </c>
      <c r="J26" s="56" t="s">
        <v>16</v>
      </c>
      <c r="K26" s="27">
        <v>900</v>
      </c>
      <c r="L26" s="32">
        <v>51250</v>
      </c>
      <c r="M26" s="33" t="s">
        <v>7</v>
      </c>
      <c r="N26" t="s">
        <v>64</v>
      </c>
    </row>
    <row r="27" spans="1:15" ht="16.5" thickTop="1" thickBot="1" x14ac:dyDescent="0.3">
      <c r="A27" s="23"/>
      <c r="B27" s="17">
        <v>0</v>
      </c>
      <c r="C27" s="36"/>
      <c r="D27" s="106">
        <v>43182</v>
      </c>
      <c r="E27" s="24">
        <v>59966.55</v>
      </c>
      <c r="F27" s="19"/>
      <c r="G27" s="108">
        <v>43182</v>
      </c>
      <c r="H27" s="26">
        <v>0</v>
      </c>
      <c r="I27" s="27"/>
      <c r="J27" s="116"/>
      <c r="K27" s="27">
        <v>0</v>
      </c>
      <c r="L27" s="32">
        <f>55000+4966.5</f>
        <v>59966.5</v>
      </c>
      <c r="M27" s="33" t="s">
        <v>7</v>
      </c>
      <c r="N27" t="s">
        <v>23</v>
      </c>
    </row>
    <row r="28" spans="1:15" ht="16.5" thickTop="1" thickBot="1" x14ac:dyDescent="0.3">
      <c r="A28" s="23"/>
      <c r="B28" s="17">
        <v>0</v>
      </c>
      <c r="C28" s="36"/>
      <c r="D28" s="106">
        <v>43183</v>
      </c>
      <c r="E28" s="24">
        <v>86302.89</v>
      </c>
      <c r="F28" s="19"/>
      <c r="G28" s="108">
        <v>43183</v>
      </c>
      <c r="H28" s="26">
        <v>0</v>
      </c>
      <c r="I28" s="27"/>
      <c r="J28" s="57"/>
      <c r="K28" s="51">
        <v>0</v>
      </c>
      <c r="L28" s="58">
        <v>86303</v>
      </c>
      <c r="M28" s="33" t="s">
        <v>7</v>
      </c>
      <c r="O28" t="s">
        <v>99</v>
      </c>
    </row>
    <row r="29" spans="1:15" ht="16.5" thickTop="1" thickBot="1" x14ac:dyDescent="0.3">
      <c r="A29" s="23"/>
      <c r="B29" s="17">
        <v>0</v>
      </c>
      <c r="C29" s="36"/>
      <c r="D29" s="106">
        <v>43184</v>
      </c>
      <c r="E29" s="24">
        <v>67019.47</v>
      </c>
      <c r="F29" s="19"/>
      <c r="G29" s="108">
        <v>43184</v>
      </c>
      <c r="H29" s="26">
        <v>0</v>
      </c>
      <c r="I29" s="27"/>
      <c r="J29" s="55"/>
      <c r="K29" s="51">
        <v>0</v>
      </c>
      <c r="L29" s="32">
        <v>67019.5</v>
      </c>
      <c r="M29" s="33" t="s">
        <v>7</v>
      </c>
    </row>
    <row r="30" spans="1:15" ht="16.5" thickTop="1" thickBot="1" x14ac:dyDescent="0.3">
      <c r="A30" s="23"/>
      <c r="B30" s="17">
        <v>0</v>
      </c>
      <c r="C30" s="48"/>
      <c r="D30" s="106">
        <v>43185</v>
      </c>
      <c r="E30" s="24">
        <v>76322.19</v>
      </c>
      <c r="F30" s="19"/>
      <c r="G30" s="108">
        <v>43185</v>
      </c>
      <c r="H30" s="26">
        <v>35</v>
      </c>
      <c r="I30" s="27"/>
      <c r="J30" s="60" t="s">
        <v>18</v>
      </c>
      <c r="K30" s="51">
        <v>0</v>
      </c>
      <c r="L30" s="58">
        <v>76287</v>
      </c>
      <c r="M30" s="33" t="s">
        <v>7</v>
      </c>
    </row>
    <row r="31" spans="1:15" ht="16.5" thickTop="1" thickBot="1" x14ac:dyDescent="0.3">
      <c r="A31" s="23"/>
      <c r="B31" s="17">
        <v>0</v>
      </c>
      <c r="C31" s="48"/>
      <c r="D31" s="106">
        <v>43186</v>
      </c>
      <c r="E31" s="24">
        <v>24412.44</v>
      </c>
      <c r="F31" s="19"/>
      <c r="G31" s="108">
        <v>43186</v>
      </c>
      <c r="H31" s="26">
        <v>0</v>
      </c>
      <c r="I31" s="61"/>
      <c r="J31" s="62"/>
      <c r="K31" s="51">
        <v>0</v>
      </c>
      <c r="L31" s="58">
        <v>24412.5</v>
      </c>
      <c r="M31" s="33" t="s">
        <v>7</v>
      </c>
    </row>
    <row r="32" spans="1:15" ht="16.5" thickTop="1" thickBot="1" x14ac:dyDescent="0.3">
      <c r="A32" s="23"/>
      <c r="B32" s="17">
        <v>0</v>
      </c>
      <c r="C32" s="34"/>
      <c r="D32" s="106">
        <v>43187</v>
      </c>
      <c r="E32" s="24">
        <v>57495.98</v>
      </c>
      <c r="F32" s="19"/>
      <c r="G32" s="108">
        <v>43187</v>
      </c>
      <c r="H32" s="26">
        <v>0</v>
      </c>
      <c r="I32" s="61"/>
      <c r="J32" s="60"/>
      <c r="K32" s="29">
        <v>0</v>
      </c>
      <c r="L32" s="32">
        <f>35000+22496</f>
        <v>57496</v>
      </c>
      <c r="M32" s="33" t="s">
        <v>7</v>
      </c>
    </row>
    <row r="33" spans="1:14" ht="16.5" thickTop="1" thickBot="1" x14ac:dyDescent="0.3">
      <c r="A33" s="23"/>
      <c r="B33" s="17">
        <v>0</v>
      </c>
      <c r="C33" s="34"/>
      <c r="D33" s="106">
        <v>43188</v>
      </c>
      <c r="E33" s="24">
        <v>87373.74</v>
      </c>
      <c r="F33" s="19"/>
      <c r="G33" s="108">
        <v>43188</v>
      </c>
      <c r="H33" s="26">
        <v>50</v>
      </c>
      <c r="I33" s="27"/>
      <c r="J33" s="63"/>
      <c r="K33" s="38"/>
      <c r="L33" s="32">
        <v>87324</v>
      </c>
      <c r="M33" s="33" t="s">
        <v>7</v>
      </c>
    </row>
    <row r="34" spans="1:14" ht="17.25" thickTop="1" thickBot="1" x14ac:dyDescent="0.3">
      <c r="A34" s="23"/>
      <c r="B34" s="17">
        <v>0</v>
      </c>
      <c r="C34" s="48"/>
      <c r="D34" s="106">
        <v>43189</v>
      </c>
      <c r="E34" s="169">
        <v>0</v>
      </c>
      <c r="F34" s="19"/>
      <c r="G34" s="108">
        <v>43189</v>
      </c>
      <c r="H34" s="170">
        <v>0</v>
      </c>
      <c r="I34" s="27"/>
      <c r="J34" s="63"/>
      <c r="K34" s="38"/>
      <c r="L34" s="171">
        <v>0</v>
      </c>
      <c r="M34" s="172" t="s">
        <v>81</v>
      </c>
      <c r="N34" s="64"/>
    </row>
    <row r="35" spans="1:14" ht="16.5" thickTop="1" thickBot="1" x14ac:dyDescent="0.3">
      <c r="A35" s="23"/>
      <c r="B35" s="17">
        <v>0</v>
      </c>
      <c r="C35" s="18"/>
      <c r="D35" s="106">
        <v>43190</v>
      </c>
      <c r="E35" s="24">
        <v>90018.66</v>
      </c>
      <c r="F35" s="19"/>
      <c r="G35" s="108">
        <v>43190</v>
      </c>
      <c r="H35" s="26">
        <v>0</v>
      </c>
      <c r="I35" s="27"/>
      <c r="J35" s="60"/>
      <c r="K35" s="29"/>
      <c r="L35" s="105">
        <v>90018.5</v>
      </c>
      <c r="M35" s="33" t="s">
        <v>7</v>
      </c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1673381</v>
      </c>
      <c r="M36" s="74">
        <v>0</v>
      </c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83">
        <f>SUM(M5:M36)</f>
        <v>0</v>
      </c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1673568.18</v>
      </c>
      <c r="G38" s="163" t="s">
        <v>19</v>
      </c>
      <c r="H38" s="88">
        <f>SUM(H5:H37)</f>
        <v>275</v>
      </c>
      <c r="I38" s="88"/>
      <c r="J38" s="89" t="s">
        <v>19</v>
      </c>
      <c r="K38" s="90">
        <f t="shared" ref="K38" si="0">SUM(K5:K37)</f>
        <v>82633.440000000002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5.75" x14ac:dyDescent="0.25">
      <c r="A40" s="1"/>
      <c r="B40" s="91">
        <v>0</v>
      </c>
      <c r="C40" s="92"/>
      <c r="D40" s="28"/>
      <c r="E40" s="71"/>
      <c r="G40" s="229" t="s">
        <v>20</v>
      </c>
      <c r="H40" s="230"/>
      <c r="I40" s="164"/>
      <c r="J40" s="231">
        <f>H38+K38</f>
        <v>82908.44</v>
      </c>
      <c r="K40" s="232"/>
      <c r="L40" s="94"/>
      <c r="M40" s="95"/>
    </row>
    <row r="41" spans="1:14" ht="15.75" x14ac:dyDescent="0.25">
      <c r="A41" s="1"/>
      <c r="B41" s="5"/>
      <c r="C41" s="233" t="s">
        <v>21</v>
      </c>
      <c r="D41" s="233"/>
      <c r="E41" s="51">
        <f>E38-J40</f>
        <v>1590659.74</v>
      </c>
      <c r="H41" s="96"/>
      <c r="I41" s="96" t="s">
        <v>23</v>
      </c>
      <c r="J41" s="2" t="s">
        <v>23</v>
      </c>
      <c r="L41" s="94"/>
      <c r="M41" s="95"/>
    </row>
    <row r="42" spans="1:14" x14ac:dyDescent="0.25">
      <c r="A42" s="1"/>
      <c r="B42" s="5"/>
      <c r="C42" s="92"/>
      <c r="D42" s="28" t="s">
        <v>22</v>
      </c>
      <c r="E42" s="51">
        <v>29501.42</v>
      </c>
      <c r="I42" s="5"/>
      <c r="L42" s="94"/>
      <c r="M42" s="95"/>
    </row>
    <row r="43" spans="1:14" ht="15.75" thickBot="1" x14ac:dyDescent="0.3">
      <c r="A43" s="1"/>
      <c r="B43" s="5" t="s">
        <v>23</v>
      </c>
      <c r="C43" s="6" t="s">
        <v>24</v>
      </c>
      <c r="E43" s="97">
        <v>-1681387.37</v>
      </c>
      <c r="H43" s="227"/>
      <c r="I43" s="227"/>
      <c r="J43" s="227"/>
      <c r="K43" s="90"/>
      <c r="L43" s="94"/>
      <c r="M43" s="95"/>
    </row>
    <row r="44" spans="1:14" ht="16.5" thickTop="1" x14ac:dyDescent="0.25">
      <c r="A44" s="1"/>
      <c r="B44" s="5"/>
      <c r="D44" s="2" t="s">
        <v>25</v>
      </c>
      <c r="E44" s="88">
        <f>SUM(E41:E43)</f>
        <v>-61226.210000000196</v>
      </c>
      <c r="H44" s="234" t="s">
        <v>26</v>
      </c>
      <c r="I44" s="234"/>
      <c r="J44" s="235">
        <f>E46</f>
        <v>124107.88999999981</v>
      </c>
      <c r="K44" s="236"/>
      <c r="L44" s="94"/>
      <c r="M44" s="95"/>
    </row>
    <row r="45" spans="1:14" ht="16.5" thickBot="1" x14ac:dyDescent="0.3">
      <c r="A45" s="1"/>
      <c r="B45" s="5"/>
      <c r="C45" s="98" t="s">
        <v>27</v>
      </c>
      <c r="D45" s="99"/>
      <c r="E45" s="100">
        <v>185334.1</v>
      </c>
      <c r="H45" s="237" t="s">
        <v>1</v>
      </c>
      <c r="I45" s="237"/>
      <c r="J45" s="238">
        <f>-B4</f>
        <v>-126063.03999999999</v>
      </c>
      <c r="K45" s="238"/>
      <c r="L45" s="94"/>
      <c r="M45" s="95"/>
    </row>
    <row r="46" spans="1:14" ht="19.5" thickBot="1" x14ac:dyDescent="0.3">
      <c r="A46" s="1"/>
      <c r="B46" s="5"/>
      <c r="D46" s="6" t="s">
        <v>28</v>
      </c>
      <c r="E46" s="85">
        <f>E45+E44</f>
        <v>124107.88999999981</v>
      </c>
      <c r="I46" s="101"/>
      <c r="J46" s="239">
        <v>0</v>
      </c>
      <c r="K46" s="239"/>
      <c r="L46" s="94"/>
      <c r="M46" s="95"/>
    </row>
    <row r="47" spans="1:14" ht="19.5" thickBot="1" x14ac:dyDescent="0.3">
      <c r="A47" s="1"/>
      <c r="B47" s="5"/>
      <c r="E47" s="51"/>
      <c r="H47" s="240" t="s">
        <v>83</v>
      </c>
      <c r="I47" s="241"/>
      <c r="J47" s="242">
        <f>SUM(J44:K46)</f>
        <v>-1955.1500000001834</v>
      </c>
      <c r="K47" s="243"/>
      <c r="L47" s="94"/>
      <c r="M47" s="95"/>
    </row>
    <row r="48" spans="1:14" x14ac:dyDescent="0.25">
      <c r="A48" s="1"/>
      <c r="B48" s="5"/>
      <c r="C48" s="227"/>
      <c r="D48" s="22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19">
    <mergeCell ref="C48:D48"/>
    <mergeCell ref="J17:J18"/>
    <mergeCell ref="G40:H40"/>
    <mergeCell ref="J40:K40"/>
    <mergeCell ref="C41:D41"/>
    <mergeCell ref="H43:J43"/>
    <mergeCell ref="H44:I44"/>
    <mergeCell ref="J44:K44"/>
    <mergeCell ref="H45:I45"/>
    <mergeCell ref="J45:K45"/>
    <mergeCell ref="J46:K46"/>
    <mergeCell ref="H47:I47"/>
    <mergeCell ref="J47:K47"/>
    <mergeCell ref="B1:J1"/>
    <mergeCell ref="A3:A4"/>
    <mergeCell ref="D3:F3"/>
    <mergeCell ref="G3:H3"/>
    <mergeCell ref="D4:E4"/>
    <mergeCell ref="H4:K4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"/>
  <sheetViews>
    <sheetView topLeftCell="A10" workbookViewId="0">
      <selection activeCell="G26" sqref="G2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4" t="s">
        <v>46</v>
      </c>
      <c r="D1" s="245"/>
      <c r="E1" s="246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7" t="s">
        <v>52</v>
      </c>
      <c r="I2" s="248"/>
      <c r="J2" s="249"/>
    </row>
    <row r="3" spans="1:10" x14ac:dyDescent="0.25">
      <c r="A3" s="124">
        <v>43160</v>
      </c>
      <c r="B3" s="125">
        <v>659</v>
      </c>
      <c r="C3" s="126">
        <v>111383</v>
      </c>
      <c r="D3" s="127"/>
      <c r="E3" s="126"/>
      <c r="F3" s="128">
        <f t="shared" ref="F3:F32" si="0">C3-E3</f>
        <v>111383</v>
      </c>
      <c r="H3" s="250"/>
      <c r="I3" s="251"/>
      <c r="J3" s="252"/>
    </row>
    <row r="4" spans="1:10" x14ac:dyDescent="0.25">
      <c r="A4" s="124">
        <v>43161</v>
      </c>
      <c r="B4" s="125">
        <v>667</v>
      </c>
      <c r="C4" s="126">
        <v>480</v>
      </c>
      <c r="D4" s="127"/>
      <c r="E4" s="131"/>
      <c r="F4" s="132">
        <f t="shared" si="0"/>
        <v>480</v>
      </c>
      <c r="H4" s="250"/>
      <c r="I4" s="251"/>
      <c r="J4" s="252"/>
    </row>
    <row r="5" spans="1:10" ht="15.75" thickBot="1" x14ac:dyDescent="0.3">
      <c r="A5" s="129">
        <v>43161</v>
      </c>
      <c r="B5" s="130">
        <v>671</v>
      </c>
      <c r="C5" s="131">
        <v>41239</v>
      </c>
      <c r="D5" s="127"/>
      <c r="E5" s="131"/>
      <c r="F5" s="132">
        <f t="shared" si="0"/>
        <v>41239</v>
      </c>
      <c r="H5" s="253"/>
      <c r="I5" s="254"/>
      <c r="J5" s="255"/>
    </row>
    <row r="6" spans="1:10" x14ac:dyDescent="0.25">
      <c r="A6" s="129">
        <v>43162</v>
      </c>
      <c r="B6" s="130">
        <v>674</v>
      </c>
      <c r="C6" s="131">
        <v>62434</v>
      </c>
      <c r="D6" s="127"/>
      <c r="E6" s="131"/>
      <c r="F6" s="133">
        <f t="shared" si="0"/>
        <v>62434</v>
      </c>
    </row>
    <row r="7" spans="1:10" x14ac:dyDescent="0.25">
      <c r="A7" s="129">
        <v>43162</v>
      </c>
      <c r="B7" s="130">
        <v>681</v>
      </c>
      <c r="C7" s="131">
        <v>3901</v>
      </c>
      <c r="D7" s="127"/>
      <c r="E7" s="131"/>
      <c r="F7" s="133">
        <f t="shared" si="0"/>
        <v>3901</v>
      </c>
    </row>
    <row r="8" spans="1:10" x14ac:dyDescent="0.25">
      <c r="A8" s="129">
        <v>43164</v>
      </c>
      <c r="B8" s="130">
        <v>683</v>
      </c>
      <c r="C8" s="131">
        <v>63755.1</v>
      </c>
      <c r="D8" s="127"/>
      <c r="E8" s="131"/>
      <c r="F8" s="133">
        <f t="shared" si="0"/>
        <v>63755.1</v>
      </c>
    </row>
    <row r="9" spans="1:10" x14ac:dyDescent="0.25">
      <c r="A9" s="129">
        <v>43164</v>
      </c>
      <c r="B9" s="130">
        <v>684</v>
      </c>
      <c r="C9" s="131">
        <v>2597</v>
      </c>
      <c r="D9" s="127"/>
      <c r="E9" s="131"/>
      <c r="F9" s="133">
        <f t="shared" si="0"/>
        <v>2597</v>
      </c>
    </row>
    <row r="10" spans="1:10" x14ac:dyDescent="0.25">
      <c r="A10" s="129">
        <v>43165</v>
      </c>
      <c r="B10" s="130">
        <v>690</v>
      </c>
      <c r="C10" s="131">
        <v>70553.399999999994</v>
      </c>
      <c r="D10" s="127"/>
      <c r="E10" s="131"/>
      <c r="F10" s="133">
        <f t="shared" si="0"/>
        <v>70553.399999999994</v>
      </c>
    </row>
    <row r="11" spans="1:10" x14ac:dyDescent="0.25">
      <c r="A11" s="129">
        <v>43166</v>
      </c>
      <c r="B11" s="130">
        <v>701</v>
      </c>
      <c r="C11" s="131">
        <v>32246.81</v>
      </c>
      <c r="D11" s="127"/>
      <c r="E11" s="131"/>
      <c r="F11" s="133">
        <f t="shared" si="0"/>
        <v>32246.81</v>
      </c>
    </row>
    <row r="12" spans="1:10" x14ac:dyDescent="0.25">
      <c r="A12" s="134">
        <v>43167</v>
      </c>
      <c r="B12" s="135">
        <v>704</v>
      </c>
      <c r="C12" s="131">
        <v>78008.600000000006</v>
      </c>
      <c r="D12" s="127"/>
      <c r="E12" s="131"/>
      <c r="F12" s="133">
        <f t="shared" si="0"/>
        <v>78008.600000000006</v>
      </c>
    </row>
    <row r="13" spans="1:10" x14ac:dyDescent="0.25">
      <c r="A13" s="134">
        <v>43167</v>
      </c>
      <c r="B13" s="135">
        <v>705</v>
      </c>
      <c r="C13" s="131">
        <v>1122.4000000000001</v>
      </c>
      <c r="D13" s="127"/>
      <c r="E13" s="131"/>
      <c r="F13" s="133">
        <f t="shared" si="0"/>
        <v>1122.4000000000001</v>
      </c>
    </row>
    <row r="14" spans="1:10" x14ac:dyDescent="0.25">
      <c r="A14" s="134">
        <v>43167</v>
      </c>
      <c r="B14" s="135">
        <v>707</v>
      </c>
      <c r="C14" s="131">
        <v>71880.3</v>
      </c>
      <c r="D14" s="127"/>
      <c r="E14" s="131"/>
      <c r="F14" s="133">
        <f t="shared" si="0"/>
        <v>71880.3</v>
      </c>
    </row>
    <row r="15" spans="1:10" x14ac:dyDescent="0.25">
      <c r="A15" s="134">
        <v>43169</v>
      </c>
      <c r="B15" s="135">
        <v>716</v>
      </c>
      <c r="C15" s="131">
        <v>80837.47</v>
      </c>
      <c r="D15" s="127"/>
      <c r="E15" s="131"/>
      <c r="F15" s="133">
        <f t="shared" si="0"/>
        <v>80837.47</v>
      </c>
    </row>
    <row r="16" spans="1:10" x14ac:dyDescent="0.25">
      <c r="A16" s="134">
        <v>43171</v>
      </c>
      <c r="B16" s="135">
        <v>722</v>
      </c>
      <c r="C16" s="131">
        <v>39291.910000000003</v>
      </c>
      <c r="D16" s="127"/>
      <c r="E16" s="131"/>
      <c r="F16" s="133">
        <f t="shared" si="0"/>
        <v>39291.910000000003</v>
      </c>
    </row>
    <row r="17" spans="1:6" x14ac:dyDescent="0.25">
      <c r="A17" s="134">
        <v>43173</v>
      </c>
      <c r="B17" s="135">
        <v>734</v>
      </c>
      <c r="C17" s="131">
        <v>68110.2</v>
      </c>
      <c r="D17" s="127"/>
      <c r="E17" s="131"/>
      <c r="F17" s="133">
        <f t="shared" si="0"/>
        <v>68110.2</v>
      </c>
    </row>
    <row r="18" spans="1:6" x14ac:dyDescent="0.25">
      <c r="A18" s="134">
        <v>43174</v>
      </c>
      <c r="B18" s="135">
        <v>738</v>
      </c>
      <c r="C18" s="131">
        <v>44395.93</v>
      </c>
      <c r="D18" s="127"/>
      <c r="E18" s="131"/>
      <c r="F18" s="133">
        <f t="shared" si="0"/>
        <v>44395.93</v>
      </c>
    </row>
    <row r="19" spans="1:6" x14ac:dyDescent="0.25">
      <c r="A19" s="134">
        <v>43175</v>
      </c>
      <c r="B19" s="135">
        <v>743</v>
      </c>
      <c r="C19" s="131">
        <v>103592.61</v>
      </c>
      <c r="D19" s="127"/>
      <c r="E19" s="131"/>
      <c r="F19" s="133">
        <f t="shared" si="0"/>
        <v>103592.61</v>
      </c>
    </row>
    <row r="20" spans="1:6" x14ac:dyDescent="0.25">
      <c r="A20" s="134">
        <v>43176</v>
      </c>
      <c r="B20" s="135">
        <v>751</v>
      </c>
      <c r="C20" s="131">
        <v>33915.58</v>
      </c>
      <c r="D20" s="127"/>
      <c r="E20" s="131"/>
      <c r="F20" s="133">
        <f t="shared" si="0"/>
        <v>33915.58</v>
      </c>
    </row>
    <row r="21" spans="1:6" x14ac:dyDescent="0.25">
      <c r="A21" s="134">
        <v>43176</v>
      </c>
      <c r="B21" s="135">
        <v>753</v>
      </c>
      <c r="C21" s="131">
        <v>17114</v>
      </c>
      <c r="D21" s="127"/>
      <c r="E21" s="131"/>
      <c r="F21" s="133">
        <f t="shared" si="0"/>
        <v>17114</v>
      </c>
    </row>
    <row r="22" spans="1:6" x14ac:dyDescent="0.25">
      <c r="A22" s="134">
        <v>43178</v>
      </c>
      <c r="B22" s="135">
        <v>755</v>
      </c>
      <c r="C22" s="131">
        <v>76773.740000000005</v>
      </c>
      <c r="D22" s="127"/>
      <c r="E22" s="131"/>
      <c r="F22" s="133">
        <f t="shared" si="0"/>
        <v>76773.740000000005</v>
      </c>
    </row>
    <row r="23" spans="1:6" x14ac:dyDescent="0.25">
      <c r="A23" s="134">
        <v>43180</v>
      </c>
      <c r="B23" s="135">
        <v>764</v>
      </c>
      <c r="C23" s="131">
        <v>35384.559999999998</v>
      </c>
      <c r="D23" s="127"/>
      <c r="E23" s="131"/>
      <c r="F23" s="133">
        <f t="shared" si="0"/>
        <v>35384.559999999998</v>
      </c>
    </row>
    <row r="24" spans="1:6" x14ac:dyDescent="0.25">
      <c r="A24" s="134">
        <v>43181</v>
      </c>
      <c r="B24" s="135">
        <v>769</v>
      </c>
      <c r="C24" s="131">
        <v>101359.46</v>
      </c>
      <c r="D24" s="127"/>
      <c r="E24" s="131"/>
      <c r="F24" s="133">
        <f t="shared" si="0"/>
        <v>101359.46</v>
      </c>
    </row>
    <row r="25" spans="1:6" x14ac:dyDescent="0.25">
      <c r="A25" s="134">
        <v>43182</v>
      </c>
      <c r="B25" s="135">
        <v>777</v>
      </c>
      <c r="C25" s="131">
        <v>93792.6</v>
      </c>
      <c r="D25" s="127"/>
      <c r="E25" s="131"/>
      <c r="F25" s="133">
        <f t="shared" si="0"/>
        <v>93792.6</v>
      </c>
    </row>
    <row r="26" spans="1:6" x14ac:dyDescent="0.25">
      <c r="A26" s="134">
        <v>43183</v>
      </c>
      <c r="B26" s="135">
        <v>785</v>
      </c>
      <c r="C26" s="131">
        <v>49855.7</v>
      </c>
      <c r="D26" s="127"/>
      <c r="E26" s="131"/>
      <c r="F26" s="133">
        <f t="shared" si="0"/>
        <v>49855.7</v>
      </c>
    </row>
    <row r="27" spans="1:6" x14ac:dyDescent="0.25">
      <c r="A27" s="134">
        <v>43185</v>
      </c>
      <c r="B27" s="135">
        <v>788</v>
      </c>
      <c r="C27" s="131">
        <v>61527.8</v>
      </c>
      <c r="D27" s="127"/>
      <c r="E27" s="131"/>
      <c r="F27" s="133">
        <f t="shared" si="0"/>
        <v>61527.8</v>
      </c>
    </row>
    <row r="28" spans="1:6" x14ac:dyDescent="0.25">
      <c r="A28" s="134">
        <v>43187</v>
      </c>
      <c r="B28" s="135">
        <v>803</v>
      </c>
      <c r="C28" s="131">
        <v>109282</v>
      </c>
      <c r="D28" s="127"/>
      <c r="E28" s="131"/>
      <c r="F28" s="133">
        <f t="shared" si="0"/>
        <v>109282</v>
      </c>
    </row>
    <row r="29" spans="1:6" x14ac:dyDescent="0.25">
      <c r="A29" s="134">
        <v>43188</v>
      </c>
      <c r="B29" s="135">
        <v>813</v>
      </c>
      <c r="C29" s="131">
        <v>119379.1</v>
      </c>
      <c r="D29" s="127"/>
      <c r="E29" s="131"/>
      <c r="F29" s="133">
        <f t="shared" si="0"/>
        <v>119379.1</v>
      </c>
    </row>
    <row r="30" spans="1:6" x14ac:dyDescent="0.25">
      <c r="A30" s="134">
        <v>43190</v>
      </c>
      <c r="B30" s="135">
        <v>818</v>
      </c>
      <c r="C30" s="131">
        <v>107174.1</v>
      </c>
      <c r="D30" s="127"/>
      <c r="E30" s="131"/>
      <c r="F30" s="133">
        <f t="shared" si="0"/>
        <v>107174.1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0</v>
      </c>
      <c r="F32" s="145">
        <f t="shared" si="0"/>
        <v>0</v>
      </c>
    </row>
    <row r="33" spans="1:6" s="151" customFormat="1" ht="19.5" thickBot="1" x14ac:dyDescent="0.35">
      <c r="A33" s="149"/>
      <c r="B33" s="150"/>
      <c r="C33" s="146">
        <f>SUM(C3:C32)</f>
        <v>1681387.3700000003</v>
      </c>
      <c r="D33" s="146"/>
      <c r="E33" s="152">
        <f>SUM(E3:E32)</f>
        <v>0</v>
      </c>
      <c r="F33" s="152">
        <f>SUM(F3:F32)</f>
        <v>1681387.3700000003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P68"/>
  <sheetViews>
    <sheetView workbookViewId="0">
      <selection activeCell="I7" sqref="I7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8" t="s">
        <v>101</v>
      </c>
      <c r="C1" s="218"/>
      <c r="D1" s="218"/>
      <c r="E1" s="218"/>
      <c r="F1" s="218"/>
      <c r="G1" s="218"/>
      <c r="H1" s="218"/>
      <c r="I1" s="218"/>
      <c r="J1" s="218"/>
      <c r="L1" s="3" t="s">
        <v>0</v>
      </c>
      <c r="M1" s="4"/>
    </row>
    <row r="2" spans="1:16" ht="15.75" thickBot="1" x14ac:dyDescent="0.3">
      <c r="A2" s="1"/>
      <c r="B2" s="5"/>
      <c r="D2" s="173"/>
      <c r="E2" s="8"/>
      <c r="L2" s="9"/>
      <c r="M2" s="4"/>
    </row>
    <row r="3" spans="1:16" ht="19.5" customHeight="1" thickBot="1" x14ac:dyDescent="0.35">
      <c r="A3" s="219" t="s">
        <v>1</v>
      </c>
      <c r="B3" s="10" t="s">
        <v>2</v>
      </c>
      <c r="C3" s="11"/>
      <c r="D3" s="221" t="s">
        <v>3</v>
      </c>
      <c r="E3" s="221"/>
      <c r="F3" s="221"/>
      <c r="G3" s="222">
        <v>2000</v>
      </c>
      <c r="H3" s="222"/>
      <c r="I3" s="5"/>
      <c r="L3" s="9"/>
      <c r="M3" s="4"/>
    </row>
    <row r="4" spans="1:16" ht="20.25" thickTop="1" thickBot="1" x14ac:dyDescent="0.35">
      <c r="A4" s="220"/>
      <c r="B4" s="12">
        <v>185334.1</v>
      </c>
      <c r="C4" s="13"/>
      <c r="D4" s="223" t="s">
        <v>4</v>
      </c>
      <c r="E4" s="224"/>
      <c r="H4" s="225" t="s">
        <v>5</v>
      </c>
      <c r="I4" s="226"/>
      <c r="J4" s="226"/>
      <c r="K4" s="226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43191</v>
      </c>
      <c r="E5" s="157">
        <v>62116.67</v>
      </c>
      <c r="F5" s="158"/>
      <c r="G5" s="159">
        <v>43191</v>
      </c>
      <c r="H5" s="160">
        <v>0</v>
      </c>
      <c r="I5" s="20"/>
      <c r="J5" s="21"/>
      <c r="K5" s="21"/>
      <c r="L5" s="22">
        <v>86118</v>
      </c>
      <c r="M5" s="103"/>
      <c r="N5" s="19"/>
    </row>
    <row r="6" spans="1:16" ht="17.25" thickTop="1" thickBot="1" x14ac:dyDescent="0.3">
      <c r="A6" s="23"/>
      <c r="B6" s="17">
        <v>0</v>
      </c>
      <c r="C6" s="18"/>
      <c r="D6" s="106">
        <v>43192</v>
      </c>
      <c r="E6" s="24">
        <v>57852.39</v>
      </c>
      <c r="F6" s="25"/>
      <c r="G6" s="108">
        <v>43192</v>
      </c>
      <c r="H6" s="26">
        <v>0</v>
      </c>
      <c r="I6" s="27"/>
      <c r="J6" s="28" t="s">
        <v>8</v>
      </c>
      <c r="K6" s="29">
        <v>549</v>
      </c>
      <c r="L6" s="22">
        <v>57852.5</v>
      </c>
      <c r="M6" s="103"/>
      <c r="N6" s="19"/>
    </row>
    <row r="7" spans="1:16" ht="17.25" thickTop="1" thickBot="1" x14ac:dyDescent="0.3">
      <c r="A7" s="23"/>
      <c r="B7" s="17">
        <v>0</v>
      </c>
      <c r="C7" s="18"/>
      <c r="D7" s="106">
        <v>43193</v>
      </c>
      <c r="E7" s="24">
        <v>83623.95</v>
      </c>
      <c r="F7" s="19"/>
      <c r="G7" s="108">
        <v>43193</v>
      </c>
      <c r="H7" s="26">
        <v>0</v>
      </c>
      <c r="I7" s="61">
        <v>43160</v>
      </c>
      <c r="J7" s="30" t="s">
        <v>9</v>
      </c>
      <c r="K7" s="31">
        <v>4928</v>
      </c>
      <c r="L7" s="22">
        <f>60000+23624</f>
        <v>83624</v>
      </c>
      <c r="M7" s="33"/>
      <c r="N7" s="19"/>
    </row>
    <row r="8" spans="1:16" ht="17.25" thickTop="1" thickBot="1" x14ac:dyDescent="0.3">
      <c r="A8" s="23"/>
      <c r="B8" s="17">
        <v>0</v>
      </c>
      <c r="C8" s="34"/>
      <c r="D8" s="106">
        <v>43194</v>
      </c>
      <c r="E8" s="24">
        <v>44661.56</v>
      </c>
      <c r="F8" s="19"/>
      <c r="G8" s="108">
        <v>43194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v>50161.5</v>
      </c>
      <c r="M8" s="33"/>
      <c r="N8" s="19"/>
    </row>
    <row r="9" spans="1:16" ht="17.25" thickTop="1" thickBot="1" x14ac:dyDescent="0.3">
      <c r="A9" s="23"/>
      <c r="B9" s="17">
        <v>0</v>
      </c>
      <c r="C9" s="36"/>
      <c r="D9" s="106">
        <v>43195</v>
      </c>
      <c r="E9" s="24">
        <v>52584.14</v>
      </c>
      <c r="F9" s="19"/>
      <c r="G9" s="108">
        <v>43195</v>
      </c>
      <c r="H9" s="26">
        <v>35</v>
      </c>
      <c r="I9" s="37" t="s">
        <v>95</v>
      </c>
      <c r="J9" s="28" t="s">
        <v>84</v>
      </c>
      <c r="K9" s="38">
        <v>9264.7000000000007</v>
      </c>
      <c r="L9" s="22">
        <v>51679.5</v>
      </c>
      <c r="M9" s="33"/>
      <c r="N9" s="19"/>
    </row>
    <row r="10" spans="1:16" ht="17.25" thickTop="1" thickBot="1" x14ac:dyDescent="0.3">
      <c r="A10" s="23"/>
      <c r="B10" s="17">
        <v>0</v>
      </c>
      <c r="C10" s="34"/>
      <c r="D10" s="106">
        <v>43196</v>
      </c>
      <c r="E10" s="24">
        <v>46544.15</v>
      </c>
      <c r="F10" s="19"/>
      <c r="G10" s="108">
        <v>43196</v>
      </c>
      <c r="H10" s="26">
        <v>0</v>
      </c>
      <c r="I10" s="37" t="s">
        <v>96</v>
      </c>
      <c r="J10" s="28" t="s">
        <v>85</v>
      </c>
      <c r="K10" s="38">
        <v>9150.08</v>
      </c>
      <c r="L10" s="22">
        <f>26544+20000</f>
        <v>46544</v>
      </c>
      <c r="M10" s="33"/>
      <c r="N10" s="19"/>
    </row>
    <row r="11" spans="1:16" ht="17.25" thickTop="1" thickBot="1" x14ac:dyDescent="0.3">
      <c r="A11" s="23"/>
      <c r="B11" s="17">
        <v>0</v>
      </c>
      <c r="C11" s="34"/>
      <c r="D11" s="106">
        <v>43197</v>
      </c>
      <c r="E11" s="24">
        <v>74475.59</v>
      </c>
      <c r="F11" s="19"/>
      <c r="G11" s="108">
        <v>43197</v>
      </c>
      <c r="H11" s="26">
        <v>0</v>
      </c>
      <c r="I11" s="37" t="s">
        <v>97</v>
      </c>
      <c r="J11" s="28" t="s">
        <v>86</v>
      </c>
      <c r="K11" s="38">
        <v>8864.7000000000007</v>
      </c>
      <c r="L11" s="22">
        <v>73575.5</v>
      </c>
      <c r="M11" s="33"/>
      <c r="N11" s="19"/>
    </row>
    <row r="12" spans="1:16" ht="17.25" thickTop="1" thickBot="1" x14ac:dyDescent="0.3">
      <c r="A12" s="23"/>
      <c r="B12" s="17">
        <v>0</v>
      </c>
      <c r="C12" s="34"/>
      <c r="D12" s="106">
        <v>43198</v>
      </c>
      <c r="E12" s="24">
        <v>101328.18</v>
      </c>
      <c r="F12" s="19"/>
      <c r="G12" s="108">
        <v>43198</v>
      </c>
      <c r="H12" s="26">
        <v>0</v>
      </c>
      <c r="I12" s="37" t="s">
        <v>98</v>
      </c>
      <c r="J12" s="28" t="s">
        <v>87</v>
      </c>
      <c r="K12" s="38">
        <v>9150.06</v>
      </c>
      <c r="L12" s="22">
        <v>101328</v>
      </c>
      <c r="M12" s="33"/>
      <c r="N12" s="39"/>
    </row>
    <row r="13" spans="1:16" ht="17.25" thickTop="1" thickBot="1" x14ac:dyDescent="0.3">
      <c r="A13" s="23"/>
      <c r="B13" s="17">
        <v>0</v>
      </c>
      <c r="C13" s="34"/>
      <c r="D13" s="106">
        <v>43199</v>
      </c>
      <c r="E13" s="24">
        <v>59512.3</v>
      </c>
      <c r="F13" s="19"/>
      <c r="G13" s="108">
        <v>43199</v>
      </c>
      <c r="H13" s="26">
        <v>0</v>
      </c>
      <c r="I13" s="37"/>
      <c r="J13" s="28" t="s">
        <v>91</v>
      </c>
      <c r="K13" s="29">
        <v>0</v>
      </c>
      <c r="L13" s="22">
        <v>59512</v>
      </c>
      <c r="M13" s="33"/>
      <c r="N13" s="19"/>
    </row>
    <row r="14" spans="1:16" ht="17.25" thickTop="1" thickBot="1" x14ac:dyDescent="0.3">
      <c r="A14" s="23"/>
      <c r="B14" s="17">
        <v>0</v>
      </c>
      <c r="C14" s="36"/>
      <c r="D14" s="106">
        <v>43200</v>
      </c>
      <c r="E14" s="24">
        <v>23860.6</v>
      </c>
      <c r="F14" s="19"/>
      <c r="G14" s="108">
        <v>43200</v>
      </c>
      <c r="H14" s="26">
        <v>40</v>
      </c>
      <c r="I14" s="27" t="s">
        <v>94</v>
      </c>
      <c r="J14" s="40" t="s">
        <v>92</v>
      </c>
      <c r="K14" s="29">
        <v>1142.8599999999999</v>
      </c>
      <c r="L14" s="22">
        <v>21732.5</v>
      </c>
      <c r="M14" s="33"/>
      <c r="N14" s="19"/>
    </row>
    <row r="15" spans="1:16" ht="17.25" thickTop="1" thickBot="1" x14ac:dyDescent="0.3">
      <c r="A15" s="23"/>
      <c r="B15" s="17">
        <v>0</v>
      </c>
      <c r="C15" s="36"/>
      <c r="D15" s="106">
        <v>43201</v>
      </c>
      <c r="E15" s="24">
        <v>53598.33</v>
      </c>
      <c r="F15" s="19"/>
      <c r="G15" s="108">
        <v>43201</v>
      </c>
      <c r="H15" s="26">
        <v>0</v>
      </c>
      <c r="I15" s="27"/>
      <c r="J15" s="175" t="s">
        <v>93</v>
      </c>
      <c r="K15" s="29">
        <v>0</v>
      </c>
      <c r="L15" s="22">
        <v>53598</v>
      </c>
      <c r="M15" s="33"/>
      <c r="N15" s="19"/>
    </row>
    <row r="16" spans="1:16" ht="17.25" thickTop="1" thickBot="1" x14ac:dyDescent="0.3">
      <c r="A16" s="23"/>
      <c r="B16" s="17">
        <v>0</v>
      </c>
      <c r="C16" s="36"/>
      <c r="D16" s="106">
        <v>43202</v>
      </c>
      <c r="E16" s="24">
        <v>46205.89</v>
      </c>
      <c r="F16" s="19"/>
      <c r="G16" s="108">
        <v>43202</v>
      </c>
      <c r="H16" s="26">
        <v>10</v>
      </c>
      <c r="I16" s="27"/>
      <c r="J16" s="42"/>
      <c r="K16" s="43">
        <v>0</v>
      </c>
      <c r="L16" s="22">
        <v>46196</v>
      </c>
      <c r="M16" s="33"/>
      <c r="N16" s="19"/>
    </row>
    <row r="17" spans="1:14" ht="17.25" thickTop="1" thickBot="1" x14ac:dyDescent="0.3">
      <c r="A17" s="23"/>
      <c r="B17" s="17">
        <v>0</v>
      </c>
      <c r="C17" s="36"/>
      <c r="D17" s="106">
        <v>43203</v>
      </c>
      <c r="E17" s="24">
        <v>82940.25</v>
      </c>
      <c r="F17" s="19"/>
      <c r="G17" s="108">
        <v>43203</v>
      </c>
      <c r="H17" s="26">
        <v>35</v>
      </c>
      <c r="I17" s="27"/>
      <c r="J17" s="228" t="s">
        <v>11</v>
      </c>
      <c r="K17" s="43">
        <v>0</v>
      </c>
      <c r="L17" s="22">
        <f>25000+57905</f>
        <v>82905</v>
      </c>
      <c r="M17" s="33"/>
      <c r="N17" s="19"/>
    </row>
    <row r="18" spans="1:14" ht="17.25" thickTop="1" thickBot="1" x14ac:dyDescent="0.3">
      <c r="A18" s="23"/>
      <c r="B18" s="17">
        <v>0</v>
      </c>
      <c r="C18" s="34"/>
      <c r="D18" s="106">
        <v>43204</v>
      </c>
      <c r="E18" s="24">
        <v>61465.95</v>
      </c>
      <c r="F18" s="19"/>
      <c r="G18" s="108">
        <v>43204</v>
      </c>
      <c r="H18" s="26">
        <v>0</v>
      </c>
      <c r="I18" s="44"/>
      <c r="J18" s="228"/>
      <c r="K18" s="45">
        <v>0</v>
      </c>
      <c r="L18" s="22">
        <v>61469</v>
      </c>
      <c r="M18" s="33"/>
      <c r="N18" s="19"/>
    </row>
    <row r="19" spans="1:14" ht="17.25" thickTop="1" thickBot="1" x14ac:dyDescent="0.3">
      <c r="A19" s="23"/>
      <c r="B19" s="17">
        <v>0</v>
      </c>
      <c r="C19" s="36"/>
      <c r="D19" s="106">
        <v>43205</v>
      </c>
      <c r="E19" s="24">
        <v>95429.08</v>
      </c>
      <c r="F19" s="19"/>
      <c r="G19" s="108">
        <v>43205</v>
      </c>
      <c r="H19" s="26">
        <v>0</v>
      </c>
      <c r="I19" s="27"/>
      <c r="J19" s="46" t="s">
        <v>12</v>
      </c>
      <c r="K19" s="45">
        <v>0</v>
      </c>
      <c r="L19" s="22">
        <v>95429</v>
      </c>
      <c r="M19" s="47"/>
      <c r="N19" s="19"/>
    </row>
    <row r="20" spans="1:14" ht="17.25" thickTop="1" thickBot="1" x14ac:dyDescent="0.3">
      <c r="A20" s="23"/>
      <c r="B20" s="17">
        <v>0</v>
      </c>
      <c r="C20" s="48"/>
      <c r="D20" s="106">
        <v>43206</v>
      </c>
      <c r="E20" s="24">
        <v>70547.600000000006</v>
      </c>
      <c r="F20" s="19"/>
      <c r="G20" s="108">
        <v>43206</v>
      </c>
      <c r="H20" s="26">
        <v>0</v>
      </c>
      <c r="I20" s="49"/>
      <c r="J20" s="50" t="s">
        <v>13</v>
      </c>
      <c r="K20" s="51">
        <v>0</v>
      </c>
      <c r="L20" s="22">
        <v>70548</v>
      </c>
      <c r="M20" s="47"/>
      <c r="N20" s="19"/>
    </row>
    <row r="21" spans="1:14" ht="17.25" thickTop="1" thickBot="1" x14ac:dyDescent="0.3">
      <c r="A21" s="23"/>
      <c r="B21" s="17">
        <v>0</v>
      </c>
      <c r="C21" s="48"/>
      <c r="D21" s="106">
        <v>43207</v>
      </c>
      <c r="E21" s="24">
        <v>32104.1</v>
      </c>
      <c r="F21" s="19"/>
      <c r="G21" s="108">
        <v>43207</v>
      </c>
      <c r="H21" s="26">
        <v>0</v>
      </c>
      <c r="I21" s="33"/>
      <c r="J21" s="52"/>
      <c r="K21" s="51"/>
      <c r="L21" s="22">
        <v>32104</v>
      </c>
      <c r="M21" s="33"/>
      <c r="N21" s="19"/>
    </row>
    <row r="22" spans="1:14" ht="17.25" thickTop="1" thickBot="1" x14ac:dyDescent="0.3">
      <c r="A22" s="23"/>
      <c r="B22" s="17">
        <v>0</v>
      </c>
      <c r="C22" s="36"/>
      <c r="D22" s="106">
        <v>43208</v>
      </c>
      <c r="E22" s="24">
        <v>44466.55</v>
      </c>
      <c r="F22" s="19"/>
      <c r="G22" s="108">
        <v>43208</v>
      </c>
      <c r="H22" s="26">
        <v>0</v>
      </c>
      <c r="I22" s="49" t="s">
        <v>23</v>
      </c>
      <c r="J22" s="53"/>
      <c r="K22" s="51">
        <v>0</v>
      </c>
      <c r="L22" s="22">
        <f>29466.5+15000</f>
        <v>44466.5</v>
      </c>
      <c r="M22" s="47" t="s">
        <v>23</v>
      </c>
      <c r="N22" s="19"/>
    </row>
    <row r="23" spans="1:14" ht="17.25" thickTop="1" thickBot="1" x14ac:dyDescent="0.3">
      <c r="A23" s="23"/>
      <c r="B23" s="17">
        <v>0</v>
      </c>
      <c r="C23" s="36"/>
      <c r="D23" s="106">
        <v>43209</v>
      </c>
      <c r="E23" s="24">
        <v>50979.1</v>
      </c>
      <c r="F23" s="19"/>
      <c r="G23" s="108">
        <v>43209</v>
      </c>
      <c r="H23" s="26">
        <v>0</v>
      </c>
      <c r="I23" s="27"/>
      <c r="J23" s="52"/>
      <c r="K23" s="51">
        <v>0</v>
      </c>
      <c r="L23" s="22">
        <f>20000+30999</f>
        <v>50999</v>
      </c>
      <c r="M23" s="33"/>
      <c r="N23" s="19"/>
    </row>
    <row r="24" spans="1:14" ht="17.25" thickTop="1" thickBot="1" x14ac:dyDescent="0.3">
      <c r="A24" s="23"/>
      <c r="B24" s="17">
        <v>0</v>
      </c>
      <c r="C24" s="36"/>
      <c r="D24" s="106">
        <v>43210</v>
      </c>
      <c r="E24" s="24">
        <v>50916.01</v>
      </c>
      <c r="F24" s="19"/>
      <c r="G24" s="108">
        <v>43210</v>
      </c>
      <c r="H24" s="26">
        <v>40</v>
      </c>
      <c r="I24" s="27" t="s">
        <v>88</v>
      </c>
      <c r="J24" s="54" t="s">
        <v>15</v>
      </c>
      <c r="K24" s="51">
        <v>870</v>
      </c>
      <c r="L24" s="22">
        <f>25000+25876</f>
        <v>50876</v>
      </c>
      <c r="M24" s="33"/>
      <c r="N24" s="118"/>
    </row>
    <row r="25" spans="1:14" ht="17.25" thickTop="1" thickBot="1" x14ac:dyDescent="0.3">
      <c r="A25" s="23"/>
      <c r="B25" s="17">
        <v>0</v>
      </c>
      <c r="C25" s="48"/>
      <c r="D25" s="106">
        <v>43211</v>
      </c>
      <c r="E25" s="24">
        <v>72515.47</v>
      </c>
      <c r="F25" s="19"/>
      <c r="G25" s="108">
        <v>43211</v>
      </c>
      <c r="H25" s="26">
        <v>0</v>
      </c>
      <c r="I25" s="27"/>
      <c r="J25" s="55"/>
      <c r="K25" s="51">
        <v>0</v>
      </c>
      <c r="L25" s="22">
        <v>72515</v>
      </c>
      <c r="M25" s="33"/>
      <c r="N25" s="19"/>
    </row>
    <row r="26" spans="1:14" ht="17.25" thickTop="1" thickBot="1" x14ac:dyDescent="0.3">
      <c r="A26" s="23"/>
      <c r="B26" s="17">
        <v>0</v>
      </c>
      <c r="C26" s="36"/>
      <c r="D26" s="106">
        <v>43212</v>
      </c>
      <c r="E26" s="24">
        <v>81168.800000000003</v>
      </c>
      <c r="F26" s="19"/>
      <c r="G26" s="108">
        <v>43212</v>
      </c>
      <c r="H26" s="26">
        <v>0</v>
      </c>
      <c r="I26" s="27" t="s">
        <v>89</v>
      </c>
      <c r="J26" s="56" t="s">
        <v>16</v>
      </c>
      <c r="K26" s="27">
        <v>900</v>
      </c>
      <c r="L26" s="22">
        <f>70000+11169</f>
        <v>81169</v>
      </c>
      <c r="M26" s="33"/>
      <c r="N26" s="19"/>
    </row>
    <row r="27" spans="1:14" ht="17.25" thickTop="1" thickBot="1" x14ac:dyDescent="0.3">
      <c r="A27" s="23"/>
      <c r="B27" s="17">
        <v>0</v>
      </c>
      <c r="C27" s="36"/>
      <c r="D27" s="106">
        <v>43213</v>
      </c>
      <c r="E27" s="24">
        <v>46770.44</v>
      </c>
      <c r="F27" s="19"/>
      <c r="G27" s="108">
        <v>43213</v>
      </c>
      <c r="H27" s="26">
        <v>0</v>
      </c>
      <c r="I27" s="27"/>
      <c r="J27" s="116"/>
      <c r="K27" s="27">
        <v>0</v>
      </c>
      <c r="L27" s="22">
        <f>22000+8771+16000</f>
        <v>46771</v>
      </c>
      <c r="M27" s="33"/>
      <c r="N27" s="19"/>
    </row>
    <row r="28" spans="1:14" ht="17.25" thickTop="1" thickBot="1" x14ac:dyDescent="0.3">
      <c r="A28" s="23"/>
      <c r="B28" s="17">
        <v>0</v>
      </c>
      <c r="C28" s="36"/>
      <c r="D28" s="106">
        <v>43214</v>
      </c>
      <c r="E28" s="24">
        <v>16897.75</v>
      </c>
      <c r="F28" s="19"/>
      <c r="G28" s="108">
        <v>43214</v>
      </c>
      <c r="H28" s="26">
        <v>35</v>
      </c>
      <c r="I28" s="27"/>
      <c r="J28" s="57"/>
      <c r="K28" s="51">
        <v>0</v>
      </c>
      <c r="L28" s="22">
        <v>16863</v>
      </c>
      <c r="M28" s="33"/>
      <c r="N28" s="19"/>
    </row>
    <row r="29" spans="1:14" ht="17.25" thickTop="1" thickBot="1" x14ac:dyDescent="0.3">
      <c r="A29" s="23"/>
      <c r="B29" s="17">
        <v>0</v>
      </c>
      <c r="C29" s="36"/>
      <c r="D29" s="106">
        <v>43215</v>
      </c>
      <c r="E29" s="24">
        <v>36978.26</v>
      </c>
      <c r="F29" s="19"/>
      <c r="G29" s="108">
        <v>43215</v>
      </c>
      <c r="H29" s="26">
        <v>0</v>
      </c>
      <c r="I29" s="27"/>
      <c r="J29" s="55"/>
      <c r="K29" s="51">
        <v>0</v>
      </c>
      <c r="L29" s="22">
        <v>36978</v>
      </c>
      <c r="M29" s="33"/>
      <c r="N29" s="19"/>
    </row>
    <row r="30" spans="1:14" ht="17.25" thickTop="1" thickBot="1" x14ac:dyDescent="0.3">
      <c r="A30" s="23"/>
      <c r="B30" s="17">
        <v>0</v>
      </c>
      <c r="C30" s="48"/>
      <c r="D30" s="106">
        <v>43216</v>
      </c>
      <c r="E30" s="24">
        <v>37384.050000000003</v>
      </c>
      <c r="F30" s="19"/>
      <c r="G30" s="108">
        <v>43216</v>
      </c>
      <c r="H30" s="26">
        <v>0</v>
      </c>
      <c r="I30" s="27" t="s">
        <v>90</v>
      </c>
      <c r="J30" s="60" t="s">
        <v>18</v>
      </c>
      <c r="K30" s="51">
        <v>2088</v>
      </c>
      <c r="L30" s="22">
        <v>37384</v>
      </c>
      <c r="M30" s="33"/>
      <c r="N30" s="19"/>
    </row>
    <row r="31" spans="1:14" ht="17.25" thickTop="1" thickBot="1" x14ac:dyDescent="0.3">
      <c r="A31" s="23"/>
      <c r="B31" s="17">
        <v>0</v>
      </c>
      <c r="C31" s="48"/>
      <c r="D31" s="106">
        <v>43217</v>
      </c>
      <c r="E31" s="24">
        <v>55715.87</v>
      </c>
      <c r="F31" s="19"/>
      <c r="G31" s="108">
        <v>43217</v>
      </c>
      <c r="H31" s="26">
        <v>0</v>
      </c>
      <c r="I31" s="61"/>
      <c r="J31" s="62"/>
      <c r="K31" s="51">
        <v>0</v>
      </c>
      <c r="L31" s="22">
        <v>55716</v>
      </c>
      <c r="M31" s="33"/>
      <c r="N31" s="19"/>
    </row>
    <row r="32" spans="1:14" ht="17.25" thickTop="1" thickBot="1" x14ac:dyDescent="0.3">
      <c r="A32" s="23"/>
      <c r="B32" s="17">
        <v>0</v>
      </c>
      <c r="C32" s="34"/>
      <c r="D32" s="106">
        <v>43218</v>
      </c>
      <c r="E32" s="24">
        <v>61107.7</v>
      </c>
      <c r="F32" s="19"/>
      <c r="G32" s="108">
        <v>43218</v>
      </c>
      <c r="H32" s="26">
        <v>0</v>
      </c>
      <c r="I32" s="61"/>
      <c r="J32" s="60"/>
      <c r="K32" s="29">
        <v>0</v>
      </c>
      <c r="L32" s="22">
        <f>14965+45000</f>
        <v>59965</v>
      </c>
      <c r="M32" s="33"/>
      <c r="N32" s="19"/>
    </row>
    <row r="33" spans="1:14" ht="17.25" thickTop="1" thickBot="1" x14ac:dyDescent="0.3">
      <c r="A33" s="23"/>
      <c r="B33" s="17">
        <v>0</v>
      </c>
      <c r="C33" s="34"/>
      <c r="D33" s="106">
        <v>43219</v>
      </c>
      <c r="E33" s="24">
        <v>88894.9</v>
      </c>
      <c r="F33" s="19"/>
      <c r="G33" s="108">
        <v>43219</v>
      </c>
      <c r="H33" s="26">
        <v>0</v>
      </c>
      <c r="I33" s="27"/>
      <c r="J33" s="63"/>
      <c r="K33" s="38"/>
      <c r="L33" s="22">
        <v>88895</v>
      </c>
      <c r="M33" s="33"/>
      <c r="N33" s="19"/>
    </row>
    <row r="34" spans="1:14" ht="17.25" thickTop="1" thickBot="1" x14ac:dyDescent="0.3">
      <c r="A34" s="23"/>
      <c r="B34" s="17">
        <v>0</v>
      </c>
      <c r="C34" s="48"/>
      <c r="D34" s="106">
        <v>43220</v>
      </c>
      <c r="E34" s="24">
        <v>65550.8</v>
      </c>
      <c r="F34" s="19"/>
      <c r="G34" s="108">
        <v>43220</v>
      </c>
      <c r="H34" s="26">
        <v>0</v>
      </c>
      <c r="I34" s="27"/>
      <c r="J34" s="63"/>
      <c r="K34" s="38"/>
      <c r="L34" s="22">
        <f>35000+30551</f>
        <v>65551</v>
      </c>
      <c r="M34" s="33"/>
      <c r="N34" s="64"/>
    </row>
    <row r="35" spans="1:14" ht="17.25" thickTop="1" thickBot="1" x14ac:dyDescent="0.3">
      <c r="A35" s="23"/>
      <c r="B35" s="17">
        <v>0</v>
      </c>
      <c r="C35" s="18"/>
      <c r="D35" s="106"/>
      <c r="E35" s="24"/>
      <c r="F35" s="19"/>
      <c r="G35" s="108"/>
      <c r="H35" s="26"/>
      <c r="I35" s="27"/>
      <c r="J35" s="60"/>
      <c r="K35" s="29"/>
      <c r="L35" s="22">
        <v>0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1782525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1758196.4300000002</v>
      </c>
      <c r="G38" s="173" t="s">
        <v>19</v>
      </c>
      <c r="H38" s="88">
        <f>SUM(H5:H37)</f>
        <v>195</v>
      </c>
      <c r="I38" s="88"/>
      <c r="J38" s="89" t="s">
        <v>19</v>
      </c>
      <c r="K38" s="90">
        <f t="shared" ref="K38" si="0">SUM(K5:K37)</f>
        <v>75657.399999999994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8" t="s">
        <v>20</v>
      </c>
      <c r="H40" s="259"/>
      <c r="I40" s="178"/>
      <c r="J40" s="260">
        <f>H38+K38</f>
        <v>75852.399999999994</v>
      </c>
      <c r="K40" s="261"/>
      <c r="L40" s="94"/>
      <c r="M40" s="95"/>
    </row>
    <row r="41" spans="1:14" ht="15.75" x14ac:dyDescent="0.25">
      <c r="A41" s="1"/>
      <c r="B41" s="179"/>
      <c r="C41" s="262" t="s">
        <v>21</v>
      </c>
      <c r="D41" s="262"/>
      <c r="E41" s="180">
        <f>E38-J40</f>
        <v>1682344.0300000003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7699.89</v>
      </c>
      <c r="F42" s="176"/>
      <c r="G42" s="176"/>
      <c r="H42" s="263" t="s">
        <v>26</v>
      </c>
      <c r="I42" s="263"/>
      <c r="J42" s="263">
        <f>E46</f>
        <v>242033.1500000002</v>
      </c>
      <c r="K42" s="270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-1564579.95</v>
      </c>
      <c r="F43" s="176"/>
      <c r="G43" s="176"/>
      <c r="H43" s="237" t="s">
        <v>1</v>
      </c>
      <c r="I43" s="237"/>
      <c r="J43" s="271">
        <f>-B4</f>
        <v>-185334.1</v>
      </c>
      <c r="K43" s="272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125463.9700000002</v>
      </c>
      <c r="F44" s="176"/>
      <c r="G44" s="176"/>
      <c r="H44" s="240" t="s">
        <v>55</v>
      </c>
      <c r="I44" s="241"/>
      <c r="J44" s="242">
        <f>SUM(J41:K43)</f>
        <v>56699.050000000192</v>
      </c>
      <c r="K44" s="243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116569.18</v>
      </c>
      <c r="F45" s="176"/>
      <c r="G45" s="176"/>
      <c r="H45" s="71"/>
      <c r="I45" s="176"/>
      <c r="J45" s="264"/>
      <c r="K45" s="265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242033.1500000002</v>
      </c>
      <c r="F46" s="189"/>
      <c r="G46" s="189"/>
      <c r="H46" s="190"/>
      <c r="I46" s="191"/>
      <c r="J46" s="266"/>
      <c r="K46" s="267"/>
      <c r="L46" s="94"/>
      <c r="M46" s="95"/>
    </row>
    <row r="47" spans="1:14" ht="18.75" x14ac:dyDescent="0.25">
      <c r="A47" s="1"/>
      <c r="B47" s="5"/>
      <c r="E47" s="51"/>
      <c r="J47" s="268"/>
      <c r="K47" s="269"/>
      <c r="L47" s="94"/>
      <c r="M47" s="95"/>
    </row>
    <row r="48" spans="1:14" x14ac:dyDescent="0.25">
      <c r="A48" s="1"/>
      <c r="B48" s="5"/>
      <c r="C48" s="227"/>
      <c r="D48" s="22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C48:D48"/>
    <mergeCell ref="J17:J18"/>
    <mergeCell ref="G40:H40"/>
    <mergeCell ref="J40:K40"/>
    <mergeCell ref="C41:D41"/>
    <mergeCell ref="H42:I42"/>
    <mergeCell ref="J44:K44"/>
    <mergeCell ref="H43:I43"/>
    <mergeCell ref="J45:K45"/>
    <mergeCell ref="J46:K46"/>
    <mergeCell ref="H44:I44"/>
    <mergeCell ref="J47:K47"/>
    <mergeCell ref="J42:K42"/>
    <mergeCell ref="J43:K43"/>
    <mergeCell ref="B1:J1"/>
    <mergeCell ref="A3:A4"/>
    <mergeCell ref="D3:F3"/>
    <mergeCell ref="G3:H3"/>
    <mergeCell ref="D4:E4"/>
    <mergeCell ref="H4:K4"/>
  </mergeCells>
  <pageMargins left="0.31496062992125984" right="0.11811023622047245" top="0.15748031496062992" bottom="0.15748031496062992" header="0.31496062992125984" footer="0.31496062992125984"/>
  <pageSetup scale="75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J33"/>
  <sheetViews>
    <sheetView workbookViewId="0">
      <selection sqref="A1:XFD1048576"/>
    </sheetView>
  </sheetViews>
  <sheetFormatPr baseColWidth="10" defaultRowHeight="15" x14ac:dyDescent="0.25"/>
  <cols>
    <col min="3" max="3" width="16" customWidth="1"/>
    <col min="4" max="4" width="13.7109375" customWidth="1"/>
    <col min="5" max="5" width="19.7109375" bestFit="1" customWidth="1"/>
    <col min="6" max="6" width="19.5703125" style="19" bestFit="1" customWidth="1"/>
  </cols>
  <sheetData>
    <row r="1" spans="1:10" ht="19.5" thickBot="1" x14ac:dyDescent="0.35">
      <c r="A1" s="1"/>
      <c r="B1" s="117"/>
      <c r="C1" s="244" t="s">
        <v>46</v>
      </c>
      <c r="D1" s="245"/>
      <c r="E1" s="246"/>
      <c r="F1" s="118"/>
    </row>
    <row r="2" spans="1:10" ht="16.5" thickBot="1" x14ac:dyDescent="0.3">
      <c r="A2" s="119" t="s">
        <v>47</v>
      </c>
      <c r="B2" s="120" t="s">
        <v>48</v>
      </c>
      <c r="C2" s="121" t="s">
        <v>49</v>
      </c>
      <c r="D2" s="121"/>
      <c r="E2" s="122" t="s">
        <v>50</v>
      </c>
      <c r="F2" s="123" t="s">
        <v>51</v>
      </c>
      <c r="H2" s="247" t="s">
        <v>52</v>
      </c>
      <c r="I2" s="248"/>
      <c r="J2" s="249"/>
    </row>
    <row r="3" spans="1:10" x14ac:dyDescent="0.25">
      <c r="A3" s="124">
        <v>43192</v>
      </c>
      <c r="B3" s="125">
        <v>822</v>
      </c>
      <c r="C3" s="126">
        <v>51039.199999999997</v>
      </c>
      <c r="D3" s="127"/>
      <c r="E3" s="126"/>
      <c r="F3" s="128">
        <f t="shared" ref="F3:F32" si="0">C3-E3</f>
        <v>51039.199999999997</v>
      </c>
      <c r="H3" s="250"/>
      <c r="I3" s="251"/>
      <c r="J3" s="252"/>
    </row>
    <row r="4" spans="1:10" x14ac:dyDescent="0.25">
      <c r="A4" s="124">
        <v>43193</v>
      </c>
      <c r="B4" s="125">
        <v>837</v>
      </c>
      <c r="C4" s="126">
        <v>107980</v>
      </c>
      <c r="D4" s="127"/>
      <c r="E4" s="131"/>
      <c r="F4" s="132">
        <f t="shared" si="0"/>
        <v>107980</v>
      </c>
      <c r="H4" s="250"/>
      <c r="I4" s="251"/>
      <c r="J4" s="252"/>
    </row>
    <row r="5" spans="1:10" ht="15.75" thickBot="1" x14ac:dyDescent="0.3">
      <c r="A5" s="129">
        <v>43194</v>
      </c>
      <c r="B5" s="130">
        <v>840</v>
      </c>
      <c r="C5" s="131">
        <v>53550.7</v>
      </c>
      <c r="D5" s="127"/>
      <c r="E5" s="131"/>
      <c r="F5" s="132">
        <f t="shared" si="0"/>
        <v>53550.7</v>
      </c>
      <c r="H5" s="253"/>
      <c r="I5" s="254"/>
      <c r="J5" s="255"/>
    </row>
    <row r="6" spans="1:10" x14ac:dyDescent="0.25">
      <c r="A6" s="129">
        <v>43194</v>
      </c>
      <c r="B6" s="130">
        <v>844</v>
      </c>
      <c r="C6" s="131">
        <v>9443</v>
      </c>
      <c r="D6" s="127"/>
      <c r="E6" s="131"/>
      <c r="F6" s="133">
        <f t="shared" si="0"/>
        <v>9443</v>
      </c>
    </row>
    <row r="7" spans="1:10" x14ac:dyDescent="0.25">
      <c r="A7" s="129">
        <v>43195</v>
      </c>
      <c r="B7" s="130">
        <v>846</v>
      </c>
      <c r="C7" s="131">
        <v>70119.899999999994</v>
      </c>
      <c r="D7" s="127"/>
      <c r="E7" s="131"/>
      <c r="F7" s="133">
        <f t="shared" si="0"/>
        <v>70119.899999999994</v>
      </c>
    </row>
    <row r="8" spans="1:10" x14ac:dyDescent="0.25">
      <c r="A8" s="129">
        <v>43196</v>
      </c>
      <c r="B8" s="130">
        <v>857</v>
      </c>
      <c r="C8" s="131">
        <v>79071.600000000006</v>
      </c>
      <c r="D8" s="127"/>
      <c r="E8" s="131"/>
      <c r="F8" s="133">
        <f t="shared" si="0"/>
        <v>79071.600000000006</v>
      </c>
    </row>
    <row r="9" spans="1:10" x14ac:dyDescent="0.25">
      <c r="A9" s="129">
        <v>43197</v>
      </c>
      <c r="B9" s="130">
        <v>866</v>
      </c>
      <c r="C9" s="131">
        <v>104454.47</v>
      </c>
      <c r="D9" s="127"/>
      <c r="E9" s="131"/>
      <c r="F9" s="133">
        <f t="shared" si="0"/>
        <v>104454.47</v>
      </c>
    </row>
    <row r="10" spans="1:10" x14ac:dyDescent="0.25">
      <c r="A10" s="129">
        <v>43198</v>
      </c>
      <c r="B10" s="130">
        <v>871</v>
      </c>
      <c r="C10" s="131">
        <v>8200</v>
      </c>
      <c r="D10" s="127"/>
      <c r="E10" s="131"/>
      <c r="F10" s="133">
        <f t="shared" si="0"/>
        <v>8200</v>
      </c>
    </row>
    <row r="11" spans="1:10" x14ac:dyDescent="0.25">
      <c r="A11" s="129">
        <v>43199</v>
      </c>
      <c r="B11" s="130">
        <v>876</v>
      </c>
      <c r="C11" s="131">
        <v>37122.1</v>
      </c>
      <c r="D11" s="127"/>
      <c r="E11" s="131"/>
      <c r="F11" s="133">
        <f t="shared" si="0"/>
        <v>37122.1</v>
      </c>
    </row>
    <row r="12" spans="1:10" x14ac:dyDescent="0.25">
      <c r="A12" s="134">
        <v>43201</v>
      </c>
      <c r="B12" s="135">
        <v>883</v>
      </c>
      <c r="C12" s="131">
        <v>89161.75</v>
      </c>
      <c r="D12" s="127"/>
      <c r="E12" s="131"/>
      <c r="F12" s="133">
        <f t="shared" si="0"/>
        <v>89161.75</v>
      </c>
    </row>
    <row r="13" spans="1:10" x14ac:dyDescent="0.25">
      <c r="A13" s="134">
        <v>43202</v>
      </c>
      <c r="B13" s="135">
        <v>887</v>
      </c>
      <c r="C13" s="131">
        <v>109249.76</v>
      </c>
      <c r="D13" s="127"/>
      <c r="E13" s="131"/>
      <c r="F13" s="133">
        <f t="shared" si="0"/>
        <v>109249.76</v>
      </c>
    </row>
    <row r="14" spans="1:10" x14ac:dyDescent="0.25">
      <c r="A14" s="134">
        <v>43203</v>
      </c>
      <c r="B14" s="135">
        <v>898</v>
      </c>
      <c r="C14" s="131">
        <v>129882.65</v>
      </c>
      <c r="D14" s="127"/>
      <c r="E14" s="131"/>
      <c r="F14" s="133">
        <f t="shared" si="0"/>
        <v>129882.65</v>
      </c>
    </row>
    <row r="15" spans="1:10" x14ac:dyDescent="0.25">
      <c r="A15" s="134">
        <v>43205</v>
      </c>
      <c r="B15" s="153">
        <v>902</v>
      </c>
      <c r="C15" s="154">
        <v>5773</v>
      </c>
      <c r="D15" s="127"/>
      <c r="E15" s="131"/>
      <c r="F15" s="133">
        <f t="shared" si="0"/>
        <v>5773</v>
      </c>
    </row>
    <row r="16" spans="1:10" x14ac:dyDescent="0.25">
      <c r="A16" s="134">
        <v>43206</v>
      </c>
      <c r="B16" s="135">
        <v>904</v>
      </c>
      <c r="C16" s="131">
        <v>32048.7</v>
      </c>
      <c r="D16" s="127"/>
      <c r="E16" s="131"/>
      <c r="F16" s="133">
        <f t="shared" si="0"/>
        <v>32048.7</v>
      </c>
    </row>
    <row r="17" spans="1:6" x14ac:dyDescent="0.25">
      <c r="A17" s="134">
        <v>43208</v>
      </c>
      <c r="B17" s="135">
        <v>919</v>
      </c>
      <c r="C17" s="131">
        <v>97871.88</v>
      </c>
      <c r="D17" s="127"/>
      <c r="E17" s="131"/>
      <c r="F17" s="133">
        <f t="shared" si="0"/>
        <v>97871.88</v>
      </c>
    </row>
    <row r="18" spans="1:6" x14ac:dyDescent="0.25">
      <c r="A18" s="134">
        <v>43209</v>
      </c>
      <c r="B18" s="135">
        <v>926</v>
      </c>
      <c r="C18" s="131">
        <v>74947.42</v>
      </c>
      <c r="D18" s="127"/>
      <c r="E18" s="131"/>
      <c r="F18" s="133">
        <f t="shared" si="0"/>
        <v>74947.42</v>
      </c>
    </row>
    <row r="19" spans="1:6" x14ac:dyDescent="0.25">
      <c r="A19" s="134">
        <v>43210</v>
      </c>
      <c r="B19" s="135">
        <v>931</v>
      </c>
      <c r="C19" s="131">
        <v>40614</v>
      </c>
      <c r="D19" s="127"/>
      <c r="E19" s="131"/>
      <c r="F19" s="133">
        <f t="shared" si="0"/>
        <v>40614</v>
      </c>
    </row>
    <row r="20" spans="1:6" x14ac:dyDescent="0.25">
      <c r="A20" s="134">
        <v>43210</v>
      </c>
      <c r="B20" s="135">
        <v>932</v>
      </c>
      <c r="C20" s="131">
        <v>47165.3</v>
      </c>
      <c r="D20" s="127"/>
      <c r="E20" s="131"/>
      <c r="F20" s="133">
        <f t="shared" si="0"/>
        <v>47165.3</v>
      </c>
    </row>
    <row r="21" spans="1:6" x14ac:dyDescent="0.25">
      <c r="A21" s="134">
        <v>43211</v>
      </c>
      <c r="B21" s="135">
        <v>942</v>
      </c>
      <c r="C21" s="131">
        <v>63015.85</v>
      </c>
      <c r="D21" s="127"/>
      <c r="E21" s="131"/>
      <c r="F21" s="133">
        <f t="shared" si="0"/>
        <v>63015.85</v>
      </c>
    </row>
    <row r="22" spans="1:6" x14ac:dyDescent="0.25">
      <c r="A22" s="134">
        <v>43211</v>
      </c>
      <c r="B22" s="135">
        <v>943</v>
      </c>
      <c r="C22" s="131">
        <v>8509.2000000000007</v>
      </c>
      <c r="D22" s="127"/>
      <c r="E22" s="131"/>
      <c r="F22" s="133">
        <f t="shared" si="0"/>
        <v>8509.2000000000007</v>
      </c>
    </row>
    <row r="23" spans="1:6" x14ac:dyDescent="0.25">
      <c r="A23" s="134">
        <v>43213</v>
      </c>
      <c r="B23" s="135">
        <v>956</v>
      </c>
      <c r="C23" s="131">
        <v>44745.88</v>
      </c>
      <c r="D23" s="127"/>
      <c r="E23" s="131"/>
      <c r="F23" s="133">
        <f t="shared" si="0"/>
        <v>44745.88</v>
      </c>
    </row>
    <row r="24" spans="1:6" x14ac:dyDescent="0.25">
      <c r="A24" s="134">
        <v>43214</v>
      </c>
      <c r="B24" s="135">
        <v>959</v>
      </c>
      <c r="C24" s="131">
        <v>126705.41</v>
      </c>
      <c r="D24" s="127"/>
      <c r="E24" s="131"/>
      <c r="F24" s="133">
        <f t="shared" si="0"/>
        <v>126705.41</v>
      </c>
    </row>
    <row r="25" spans="1:6" x14ac:dyDescent="0.25">
      <c r="A25" s="134">
        <v>43216</v>
      </c>
      <c r="B25" s="135">
        <v>965</v>
      </c>
      <c r="C25" s="131">
        <v>58571.1</v>
      </c>
      <c r="D25" s="127"/>
      <c r="E25" s="131"/>
      <c r="F25" s="133">
        <f t="shared" si="0"/>
        <v>58571.1</v>
      </c>
    </row>
    <row r="26" spans="1:6" x14ac:dyDescent="0.25">
      <c r="A26" s="134">
        <v>43217</v>
      </c>
      <c r="B26" s="135">
        <v>975</v>
      </c>
      <c r="C26" s="131">
        <v>39636.199999999997</v>
      </c>
      <c r="D26" s="127"/>
      <c r="E26" s="131"/>
      <c r="F26" s="133">
        <f t="shared" si="0"/>
        <v>39636.199999999997</v>
      </c>
    </row>
    <row r="27" spans="1:6" x14ac:dyDescent="0.25">
      <c r="A27" s="134">
        <v>43218</v>
      </c>
      <c r="B27" s="135">
        <v>979</v>
      </c>
      <c r="C27" s="131">
        <v>38841.300000000003</v>
      </c>
      <c r="D27" s="127"/>
      <c r="E27" s="131"/>
      <c r="F27" s="133">
        <f t="shared" si="0"/>
        <v>38841.300000000003</v>
      </c>
    </row>
    <row r="28" spans="1:6" x14ac:dyDescent="0.25">
      <c r="A28" s="134">
        <v>43220</v>
      </c>
      <c r="B28" s="135">
        <v>985</v>
      </c>
      <c r="C28" s="131">
        <v>66690.48</v>
      </c>
      <c r="D28" s="127"/>
      <c r="E28" s="131"/>
      <c r="F28" s="133">
        <f t="shared" si="0"/>
        <v>66690.48</v>
      </c>
    </row>
    <row r="29" spans="1:6" x14ac:dyDescent="0.25">
      <c r="A29" s="134"/>
      <c r="B29" s="135"/>
      <c r="C29" s="131"/>
      <c r="D29" s="127"/>
      <c r="E29" s="131"/>
      <c r="F29" s="133">
        <f t="shared" si="0"/>
        <v>0</v>
      </c>
    </row>
    <row r="30" spans="1:6" x14ac:dyDescent="0.25">
      <c r="A30" s="134"/>
      <c r="B30" s="135"/>
      <c r="C30" s="131"/>
      <c r="D30" s="127"/>
      <c r="E30" s="131"/>
      <c r="F30" s="133">
        <f t="shared" si="0"/>
        <v>0</v>
      </c>
    </row>
    <row r="31" spans="1:6" x14ac:dyDescent="0.25">
      <c r="A31" s="134"/>
      <c r="B31" s="135"/>
      <c r="C31" s="131"/>
      <c r="D31" s="127"/>
      <c r="E31" s="131"/>
      <c r="F31" s="133">
        <f t="shared" si="0"/>
        <v>0</v>
      </c>
    </row>
    <row r="32" spans="1:6" ht="16.5" thickBot="1" x14ac:dyDescent="0.3">
      <c r="A32" s="161" t="s">
        <v>53</v>
      </c>
      <c r="B32" s="162"/>
      <c r="C32" s="142"/>
      <c r="D32" s="143"/>
      <c r="E32" s="144">
        <v>29830.9</v>
      </c>
      <c r="F32" s="145">
        <f t="shared" si="0"/>
        <v>-29830.9</v>
      </c>
    </row>
    <row r="33" spans="1:6" s="151" customFormat="1" ht="19.5" thickBot="1" x14ac:dyDescent="0.35">
      <c r="A33" s="149"/>
      <c r="B33" s="150"/>
      <c r="C33" s="146">
        <f>SUM(C3:C32)</f>
        <v>1594410.8499999999</v>
      </c>
      <c r="D33" s="146"/>
      <c r="E33" s="152">
        <f>SUM(E3:E32)</f>
        <v>29830.9</v>
      </c>
      <c r="F33" s="152">
        <f>SUM(F3:F32)</f>
        <v>1564579.95</v>
      </c>
    </row>
  </sheetData>
  <mergeCells count="2">
    <mergeCell ref="C1:E1"/>
    <mergeCell ref="H2:J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P68"/>
  <sheetViews>
    <sheetView workbookViewId="0">
      <selection activeCell="J21" sqref="J21"/>
    </sheetView>
  </sheetViews>
  <sheetFormatPr baseColWidth="10" defaultRowHeight="15" x14ac:dyDescent="0.25"/>
  <cols>
    <col min="1" max="1" width="13" style="2" customWidth="1"/>
    <col min="2" max="2" width="14.140625" bestFit="1" customWidth="1"/>
    <col min="3" max="3" width="8" style="6" customWidth="1"/>
    <col min="4" max="4" width="11.42578125" style="2"/>
    <col min="5" max="5" width="14.140625" bestFit="1" customWidth="1"/>
    <col min="6" max="6" width="8.140625" customWidth="1"/>
    <col min="8" max="8" width="11.42578125" style="5" customWidth="1"/>
    <col min="9" max="9" width="8.7109375" customWidth="1"/>
    <col min="10" max="10" width="12.28515625" style="2" customWidth="1"/>
    <col min="11" max="11" width="11.42578125" style="2"/>
    <col min="12" max="12" width="22.5703125" style="5" customWidth="1"/>
    <col min="13" max="13" width="14.140625" style="15" bestFit="1" customWidth="1"/>
  </cols>
  <sheetData>
    <row r="1" spans="1:16" ht="23.25" x14ac:dyDescent="0.35">
      <c r="A1" s="1"/>
      <c r="B1" s="218" t="s">
        <v>100</v>
      </c>
      <c r="C1" s="218"/>
      <c r="D1" s="218"/>
      <c r="E1" s="218"/>
      <c r="F1" s="218"/>
      <c r="G1" s="218"/>
      <c r="H1" s="218"/>
      <c r="I1" s="218"/>
      <c r="J1" s="218"/>
      <c r="L1" s="3" t="s">
        <v>0</v>
      </c>
      <c r="M1" s="4"/>
    </row>
    <row r="2" spans="1:16" ht="15.75" thickBot="1" x14ac:dyDescent="0.3">
      <c r="A2" s="1"/>
      <c r="B2" s="5"/>
      <c r="D2" s="174"/>
      <c r="E2" s="8"/>
      <c r="L2" s="9"/>
      <c r="M2" s="4"/>
    </row>
    <row r="3" spans="1:16" ht="19.5" customHeight="1" thickBot="1" x14ac:dyDescent="0.35">
      <c r="A3" s="219" t="s">
        <v>1</v>
      </c>
      <c r="B3" s="10" t="s">
        <v>2</v>
      </c>
      <c r="C3" s="11"/>
      <c r="D3" s="221" t="s">
        <v>3</v>
      </c>
      <c r="E3" s="221"/>
      <c r="F3" s="221"/>
      <c r="G3" s="222">
        <v>2000</v>
      </c>
      <c r="H3" s="222"/>
      <c r="I3" s="5"/>
      <c r="L3" s="9"/>
      <c r="M3" s="4"/>
    </row>
    <row r="4" spans="1:16" ht="20.25" thickTop="1" thickBot="1" x14ac:dyDescent="0.35">
      <c r="A4" s="220"/>
      <c r="B4" s="12">
        <v>116569.18</v>
      </c>
      <c r="C4" s="13"/>
      <c r="D4" s="223" t="s">
        <v>4</v>
      </c>
      <c r="E4" s="224"/>
      <c r="H4" s="225" t="s">
        <v>5</v>
      </c>
      <c r="I4" s="226"/>
      <c r="J4" s="226"/>
      <c r="K4" s="226"/>
      <c r="L4" s="14" t="s">
        <v>6</v>
      </c>
      <c r="P4" t="s">
        <v>23</v>
      </c>
    </row>
    <row r="5" spans="1:16" ht="17.25" thickTop="1" thickBot="1" x14ac:dyDescent="0.3">
      <c r="A5" s="16"/>
      <c r="B5" s="17">
        <v>0</v>
      </c>
      <c r="C5" s="18"/>
      <c r="D5" s="107">
        <v>43221</v>
      </c>
      <c r="E5" s="157">
        <v>30558.79</v>
      </c>
      <c r="F5" s="158"/>
      <c r="G5" s="159">
        <v>43221</v>
      </c>
      <c r="H5" s="160">
        <v>0</v>
      </c>
      <c r="I5" s="20"/>
      <c r="J5" s="21"/>
      <c r="K5" s="21"/>
      <c r="L5" s="22">
        <v>34259</v>
      </c>
      <c r="M5" s="103"/>
      <c r="N5" s="19"/>
    </row>
    <row r="6" spans="1:16" ht="16.5" thickBot="1" x14ac:dyDescent="0.3">
      <c r="A6" s="23"/>
      <c r="B6" s="17">
        <v>0</v>
      </c>
      <c r="C6" s="18"/>
      <c r="D6" s="107">
        <v>43222</v>
      </c>
      <c r="E6" s="24">
        <v>42105.45</v>
      </c>
      <c r="F6" s="25"/>
      <c r="G6" s="159">
        <v>43222</v>
      </c>
      <c r="H6" s="26">
        <v>45</v>
      </c>
      <c r="I6" s="27"/>
      <c r="J6" s="28" t="s">
        <v>8</v>
      </c>
      <c r="K6" s="29">
        <v>549</v>
      </c>
      <c r="L6" s="22">
        <f>21190+20000</f>
        <v>41190</v>
      </c>
      <c r="M6" s="103"/>
      <c r="N6" s="19"/>
    </row>
    <row r="7" spans="1:16" ht="16.5" thickBot="1" x14ac:dyDescent="0.3">
      <c r="A7" s="23"/>
      <c r="B7" s="17">
        <v>0</v>
      </c>
      <c r="C7" s="18"/>
      <c r="D7" s="107">
        <v>43223</v>
      </c>
      <c r="E7" s="24">
        <v>48798.61</v>
      </c>
      <c r="F7" s="19"/>
      <c r="G7" s="159">
        <v>43223</v>
      </c>
      <c r="H7" s="26">
        <v>0</v>
      </c>
      <c r="I7" s="61"/>
      <c r="J7" s="30" t="s">
        <v>9</v>
      </c>
      <c r="K7" s="31">
        <v>7121.5</v>
      </c>
      <c r="L7" s="22">
        <v>48798.5</v>
      </c>
      <c r="M7" s="33"/>
      <c r="N7" s="19"/>
    </row>
    <row r="8" spans="1:16" ht="16.5" thickBot="1" x14ac:dyDescent="0.3">
      <c r="A8" s="23"/>
      <c r="B8" s="17">
        <v>0</v>
      </c>
      <c r="C8" s="34"/>
      <c r="D8" s="107">
        <v>43224</v>
      </c>
      <c r="E8" s="24">
        <v>62758.95</v>
      </c>
      <c r="F8" s="19"/>
      <c r="G8" s="159">
        <v>43224</v>
      </c>
      <c r="H8" s="26">
        <v>0</v>
      </c>
      <c r="I8" s="27"/>
      <c r="J8" s="28" t="s">
        <v>10</v>
      </c>
      <c r="K8" s="35">
        <f>7187.5+7187.5+7187.5+7187.5</f>
        <v>28750</v>
      </c>
      <c r="L8" s="22">
        <f>42759+20000</f>
        <v>62759</v>
      </c>
      <c r="M8" s="33"/>
      <c r="N8" s="19"/>
    </row>
    <row r="9" spans="1:16" ht="16.5" thickBot="1" x14ac:dyDescent="0.3">
      <c r="A9" s="23"/>
      <c r="B9" s="17">
        <v>0</v>
      </c>
      <c r="C9" s="36"/>
      <c r="D9" s="107">
        <v>43225</v>
      </c>
      <c r="E9" s="24">
        <v>54656.33</v>
      </c>
      <c r="F9" s="19"/>
      <c r="G9" s="159">
        <v>43225</v>
      </c>
      <c r="H9" s="26">
        <v>0</v>
      </c>
      <c r="I9" s="37" t="s">
        <v>128</v>
      </c>
      <c r="J9" s="28" t="s">
        <v>102</v>
      </c>
      <c r="K9" s="38">
        <v>11409.7</v>
      </c>
      <c r="L9" s="22">
        <v>54656.5</v>
      </c>
      <c r="M9" s="33"/>
      <c r="N9" s="19"/>
    </row>
    <row r="10" spans="1:16" ht="16.5" thickBot="1" x14ac:dyDescent="0.3">
      <c r="A10" s="23"/>
      <c r="B10" s="17">
        <v>0</v>
      </c>
      <c r="C10" s="34"/>
      <c r="D10" s="107">
        <v>43226</v>
      </c>
      <c r="E10" s="24">
        <v>99676.3</v>
      </c>
      <c r="F10" s="19"/>
      <c r="G10" s="159">
        <v>43226</v>
      </c>
      <c r="H10" s="26">
        <v>0</v>
      </c>
      <c r="I10" s="193" t="s">
        <v>129</v>
      </c>
      <c r="J10" s="28" t="s">
        <v>103</v>
      </c>
      <c r="K10" s="38">
        <v>10336.93</v>
      </c>
      <c r="L10" s="22">
        <v>98777</v>
      </c>
      <c r="M10" s="33"/>
      <c r="N10" s="19"/>
    </row>
    <row r="11" spans="1:16" ht="16.5" thickBot="1" x14ac:dyDescent="0.3">
      <c r="A11" s="23"/>
      <c r="B11" s="17">
        <v>0</v>
      </c>
      <c r="C11" s="34"/>
      <c r="D11" s="107">
        <v>43227</v>
      </c>
      <c r="E11" s="24">
        <v>53313.26</v>
      </c>
      <c r="F11" s="19"/>
      <c r="G11" s="159">
        <v>43227</v>
      </c>
      <c r="H11" s="26">
        <v>0</v>
      </c>
      <c r="I11" s="37" t="s">
        <v>130</v>
      </c>
      <c r="J11" s="28" t="s">
        <v>104</v>
      </c>
      <c r="K11" s="38">
        <v>9707.2199999999993</v>
      </c>
      <c r="L11" s="22">
        <v>53313</v>
      </c>
      <c r="M11" s="33"/>
      <c r="N11" s="19"/>
    </row>
    <row r="12" spans="1:16" ht="16.5" thickBot="1" x14ac:dyDescent="0.3">
      <c r="A12" s="23"/>
      <c r="B12" s="17">
        <v>0</v>
      </c>
      <c r="C12" s="34"/>
      <c r="D12" s="107">
        <v>43228</v>
      </c>
      <c r="E12" s="24">
        <v>24868.7</v>
      </c>
      <c r="F12" s="19"/>
      <c r="G12" s="159">
        <v>43228</v>
      </c>
      <c r="H12" s="26">
        <v>0</v>
      </c>
      <c r="I12" s="37" t="s">
        <v>131</v>
      </c>
      <c r="J12" s="28" t="s">
        <v>105</v>
      </c>
      <c r="K12" s="38">
        <v>11187.47</v>
      </c>
      <c r="L12" s="22">
        <v>24868.5</v>
      </c>
      <c r="M12" s="33"/>
      <c r="N12" s="39"/>
    </row>
    <row r="13" spans="1:16" ht="16.5" thickBot="1" x14ac:dyDescent="0.3">
      <c r="A13" s="23"/>
      <c r="B13" s="17">
        <v>0</v>
      </c>
      <c r="C13" s="34"/>
      <c r="D13" s="107">
        <v>43229</v>
      </c>
      <c r="E13" s="24">
        <v>34103.360000000001</v>
      </c>
      <c r="F13" s="19"/>
      <c r="G13" s="159">
        <v>43229</v>
      </c>
      <c r="H13" s="26">
        <v>0</v>
      </c>
      <c r="I13" s="37" t="s">
        <v>132</v>
      </c>
      <c r="J13" s="28" t="s">
        <v>106</v>
      </c>
      <c r="K13" s="29">
        <v>10640.23</v>
      </c>
      <c r="L13" s="22">
        <v>34103.5</v>
      </c>
      <c r="M13" s="33"/>
      <c r="N13" s="19"/>
    </row>
    <row r="14" spans="1:16" ht="16.5" thickBot="1" x14ac:dyDescent="0.3">
      <c r="A14" s="23"/>
      <c r="B14" s="17">
        <v>0</v>
      </c>
      <c r="C14" s="36"/>
      <c r="D14" s="107">
        <v>43230</v>
      </c>
      <c r="E14" s="24">
        <v>45827.19</v>
      </c>
      <c r="F14" s="19"/>
      <c r="G14" s="159">
        <v>43230</v>
      </c>
      <c r="H14" s="26">
        <v>0</v>
      </c>
      <c r="I14" s="61">
        <v>43232</v>
      </c>
      <c r="J14" s="40" t="s">
        <v>92</v>
      </c>
      <c r="K14" s="29">
        <v>428.57</v>
      </c>
      <c r="L14" s="22">
        <f>20827+25000</f>
        <v>45827</v>
      </c>
      <c r="M14" s="33"/>
      <c r="N14" s="19"/>
    </row>
    <row r="15" spans="1:16" ht="16.5" thickBot="1" x14ac:dyDescent="0.3">
      <c r="A15" s="23"/>
      <c r="B15" s="17">
        <v>0</v>
      </c>
      <c r="C15" s="36"/>
      <c r="D15" s="107">
        <v>43231</v>
      </c>
      <c r="E15" s="24">
        <v>39961.599999999999</v>
      </c>
      <c r="F15" s="19"/>
      <c r="G15" s="159">
        <v>43231</v>
      </c>
      <c r="H15" s="26">
        <v>35</v>
      </c>
      <c r="I15" s="27"/>
      <c r="J15" s="175" t="s">
        <v>107</v>
      </c>
      <c r="K15" s="29">
        <v>0</v>
      </c>
      <c r="L15" s="22">
        <v>39926.5</v>
      </c>
      <c r="M15" s="33"/>
      <c r="N15" s="19"/>
    </row>
    <row r="16" spans="1:16" ht="16.5" thickBot="1" x14ac:dyDescent="0.3">
      <c r="A16" s="23"/>
      <c r="B16" s="17">
        <v>0</v>
      </c>
      <c r="C16" s="36"/>
      <c r="D16" s="107">
        <v>43232</v>
      </c>
      <c r="E16" s="24">
        <v>69427.45</v>
      </c>
      <c r="F16" s="19"/>
      <c r="G16" s="159">
        <v>43232</v>
      </c>
      <c r="H16" s="26">
        <v>35</v>
      </c>
      <c r="I16" s="27"/>
      <c r="J16" s="42"/>
      <c r="K16" s="43">
        <v>0</v>
      </c>
      <c r="L16" s="22">
        <f>28964+40000</f>
        <v>68964</v>
      </c>
      <c r="M16" s="33"/>
      <c r="N16" s="19"/>
    </row>
    <row r="17" spans="1:14" ht="16.5" thickBot="1" x14ac:dyDescent="0.3">
      <c r="A17" s="23"/>
      <c r="B17" s="17">
        <v>0</v>
      </c>
      <c r="C17" s="36"/>
      <c r="D17" s="107">
        <v>43233</v>
      </c>
      <c r="E17" s="24">
        <v>76018.25</v>
      </c>
      <c r="F17" s="19"/>
      <c r="G17" s="159">
        <v>43233</v>
      </c>
      <c r="H17" s="26">
        <v>0</v>
      </c>
      <c r="I17" s="27"/>
      <c r="J17" s="228" t="s">
        <v>11</v>
      </c>
      <c r="K17" s="43">
        <v>0</v>
      </c>
      <c r="L17" s="22">
        <v>76018</v>
      </c>
      <c r="M17" s="33"/>
      <c r="N17" s="19"/>
    </row>
    <row r="18" spans="1:14" ht="16.5" thickBot="1" x14ac:dyDescent="0.3">
      <c r="A18" s="23"/>
      <c r="B18" s="17">
        <v>0</v>
      </c>
      <c r="C18" s="34"/>
      <c r="D18" s="107">
        <v>43234</v>
      </c>
      <c r="E18" s="24">
        <v>72294.98</v>
      </c>
      <c r="F18" s="19"/>
      <c r="G18" s="159">
        <v>43234</v>
      </c>
      <c r="H18" s="26">
        <v>0</v>
      </c>
      <c r="I18" s="44"/>
      <c r="J18" s="228"/>
      <c r="K18" s="45">
        <v>0</v>
      </c>
      <c r="L18" s="22">
        <v>72300</v>
      </c>
      <c r="M18" s="33"/>
      <c r="N18" s="19"/>
    </row>
    <row r="19" spans="1:14" ht="16.5" thickBot="1" x14ac:dyDescent="0.3">
      <c r="A19" s="23"/>
      <c r="B19" s="17">
        <v>0</v>
      </c>
      <c r="C19" s="36"/>
      <c r="D19" s="107">
        <v>43235</v>
      </c>
      <c r="E19" s="24">
        <v>23788.7</v>
      </c>
      <c r="F19" s="19"/>
      <c r="G19" s="159">
        <v>43235</v>
      </c>
      <c r="H19" s="26">
        <v>0</v>
      </c>
      <c r="I19" s="27"/>
      <c r="J19" s="46" t="s">
        <v>12</v>
      </c>
      <c r="K19" s="45">
        <v>0</v>
      </c>
      <c r="L19" s="22">
        <v>23788.5</v>
      </c>
      <c r="M19" s="47"/>
      <c r="N19" s="19"/>
    </row>
    <row r="20" spans="1:14" ht="16.5" thickBot="1" x14ac:dyDescent="0.3">
      <c r="A20" s="23"/>
      <c r="B20" s="17">
        <v>0</v>
      </c>
      <c r="C20" s="48"/>
      <c r="D20" s="107">
        <v>43236</v>
      </c>
      <c r="E20" s="24">
        <v>35181.050000000003</v>
      </c>
      <c r="F20" s="19"/>
      <c r="G20" s="159">
        <v>43236</v>
      </c>
      <c r="H20" s="26">
        <v>0</v>
      </c>
      <c r="I20" s="49"/>
      <c r="J20" s="50" t="s">
        <v>13</v>
      </c>
      <c r="K20" s="51">
        <v>0</v>
      </c>
      <c r="L20" s="22">
        <v>35181</v>
      </c>
      <c r="M20" s="47"/>
      <c r="N20" s="19"/>
    </row>
    <row r="21" spans="1:14" ht="16.5" thickBot="1" x14ac:dyDescent="0.3">
      <c r="A21" s="23"/>
      <c r="B21" s="17">
        <v>0</v>
      </c>
      <c r="C21" s="48"/>
      <c r="D21" s="107">
        <v>43237</v>
      </c>
      <c r="E21" s="24">
        <v>41483.050000000003</v>
      </c>
      <c r="F21" s="19"/>
      <c r="G21" s="159">
        <v>43237</v>
      </c>
      <c r="H21" s="26">
        <v>35</v>
      </c>
      <c r="I21" s="33"/>
      <c r="J21" s="52"/>
      <c r="K21" s="51"/>
      <c r="L21" s="22">
        <v>41448</v>
      </c>
      <c r="M21" s="33"/>
      <c r="N21" s="19"/>
    </row>
    <row r="22" spans="1:14" ht="16.5" thickBot="1" x14ac:dyDescent="0.3">
      <c r="A22" s="23"/>
      <c r="B22" s="17">
        <v>0</v>
      </c>
      <c r="C22" s="36"/>
      <c r="D22" s="107">
        <v>43238</v>
      </c>
      <c r="E22" s="24">
        <v>53968.49</v>
      </c>
      <c r="F22" s="19"/>
      <c r="G22" s="159">
        <v>43238</v>
      </c>
      <c r="H22" s="26">
        <v>0</v>
      </c>
      <c r="I22" s="49" t="s">
        <v>23</v>
      </c>
      <c r="J22" s="53"/>
      <c r="K22" s="51">
        <v>0</v>
      </c>
      <c r="L22" s="22">
        <v>53968.5</v>
      </c>
      <c r="M22" s="47" t="s">
        <v>23</v>
      </c>
      <c r="N22" s="19"/>
    </row>
    <row r="23" spans="1:14" ht="16.5" thickBot="1" x14ac:dyDescent="0.3">
      <c r="A23" s="23"/>
      <c r="B23" s="17">
        <v>0</v>
      </c>
      <c r="C23" s="36"/>
      <c r="D23" s="107">
        <v>43239</v>
      </c>
      <c r="E23" s="24">
        <v>70841.600000000006</v>
      </c>
      <c r="F23" s="19"/>
      <c r="G23" s="159">
        <v>43239</v>
      </c>
      <c r="H23" s="26">
        <v>15</v>
      </c>
      <c r="I23" s="27"/>
      <c r="J23" s="52"/>
      <c r="K23" s="51">
        <v>0</v>
      </c>
      <c r="L23" s="22">
        <v>70826.5</v>
      </c>
      <c r="M23" s="33"/>
      <c r="N23" s="19"/>
    </row>
    <row r="24" spans="1:14" ht="16.5" thickBot="1" x14ac:dyDescent="0.3">
      <c r="A24" s="23"/>
      <c r="B24" s="17">
        <v>0</v>
      </c>
      <c r="C24" s="36"/>
      <c r="D24" s="107">
        <v>43240</v>
      </c>
      <c r="E24" s="24">
        <v>91920.1</v>
      </c>
      <c r="F24" s="19"/>
      <c r="G24" s="159">
        <v>43240</v>
      </c>
      <c r="H24" s="26">
        <v>0</v>
      </c>
      <c r="I24" s="27"/>
      <c r="J24" s="54" t="s">
        <v>15</v>
      </c>
      <c r="K24" s="51">
        <v>870</v>
      </c>
      <c r="L24" s="22">
        <v>91920</v>
      </c>
      <c r="M24" s="33"/>
      <c r="N24" s="118"/>
    </row>
    <row r="25" spans="1:14" ht="16.5" thickBot="1" x14ac:dyDescent="0.3">
      <c r="A25" s="23"/>
      <c r="B25" s="17">
        <v>0</v>
      </c>
      <c r="C25" s="48"/>
      <c r="D25" s="107">
        <v>43241</v>
      </c>
      <c r="E25" s="24">
        <v>28933.599999999999</v>
      </c>
      <c r="F25" s="19"/>
      <c r="G25" s="159">
        <v>43241</v>
      </c>
      <c r="H25" s="26">
        <v>0</v>
      </c>
      <c r="I25" s="27"/>
      <c r="J25" s="55">
        <v>43222</v>
      </c>
      <c r="K25" s="51">
        <v>0</v>
      </c>
      <c r="L25" s="22">
        <v>28934</v>
      </c>
      <c r="M25" s="33"/>
      <c r="N25" s="19"/>
    </row>
    <row r="26" spans="1:14" ht="16.5" thickBot="1" x14ac:dyDescent="0.3">
      <c r="A26" s="23"/>
      <c r="B26" s="17">
        <v>0</v>
      </c>
      <c r="C26" s="36"/>
      <c r="D26" s="107">
        <v>43242</v>
      </c>
      <c r="E26" s="24">
        <v>35234.550000000003</v>
      </c>
      <c r="F26" s="19"/>
      <c r="G26" s="159">
        <v>43242</v>
      </c>
      <c r="H26" s="26">
        <v>0</v>
      </c>
      <c r="I26" s="27"/>
      <c r="J26" s="56" t="s">
        <v>16</v>
      </c>
      <c r="K26" s="27">
        <v>900</v>
      </c>
      <c r="L26" s="22">
        <v>35234.5</v>
      </c>
      <c r="M26" s="33"/>
      <c r="N26" s="19"/>
    </row>
    <row r="27" spans="1:14" ht="16.5" thickBot="1" x14ac:dyDescent="0.3">
      <c r="A27" s="23"/>
      <c r="B27" s="17">
        <v>0</v>
      </c>
      <c r="C27" s="36"/>
      <c r="D27" s="107">
        <v>43243</v>
      </c>
      <c r="E27" s="24">
        <v>54524.42</v>
      </c>
      <c r="F27" s="19"/>
      <c r="G27" s="159">
        <v>43243</v>
      </c>
      <c r="H27" s="26">
        <v>0</v>
      </c>
      <c r="I27" s="27"/>
      <c r="J27" s="116">
        <v>43226</v>
      </c>
      <c r="K27" s="27">
        <v>0</v>
      </c>
      <c r="L27" s="22">
        <v>54524.5</v>
      </c>
      <c r="M27" s="33"/>
      <c r="N27" s="19"/>
    </row>
    <row r="28" spans="1:14" ht="16.5" thickBot="1" x14ac:dyDescent="0.3">
      <c r="A28" s="23"/>
      <c r="B28" s="17">
        <v>0</v>
      </c>
      <c r="C28" s="36"/>
      <c r="D28" s="107">
        <v>43244</v>
      </c>
      <c r="E28" s="24">
        <v>41143.550000000003</v>
      </c>
      <c r="F28" s="19"/>
      <c r="G28" s="159">
        <v>43244</v>
      </c>
      <c r="H28" s="26">
        <v>35</v>
      </c>
      <c r="I28" s="27"/>
      <c r="J28" s="57"/>
      <c r="K28" s="51">
        <v>0</v>
      </c>
      <c r="L28" s="22">
        <f>26108.5+15000</f>
        <v>41108.5</v>
      </c>
      <c r="M28" s="33"/>
      <c r="N28" s="19"/>
    </row>
    <row r="29" spans="1:14" ht="16.5" thickBot="1" x14ac:dyDescent="0.3">
      <c r="A29" s="23"/>
      <c r="B29" s="17">
        <v>0</v>
      </c>
      <c r="C29" s="36"/>
      <c r="D29" s="107">
        <v>43245</v>
      </c>
      <c r="E29" s="24">
        <v>64666.95</v>
      </c>
      <c r="F29" s="19"/>
      <c r="G29" s="159">
        <v>43245</v>
      </c>
      <c r="H29" s="26">
        <v>0</v>
      </c>
      <c r="I29" s="27"/>
      <c r="J29" s="55"/>
      <c r="K29" s="51">
        <v>0</v>
      </c>
      <c r="L29" s="22">
        <v>64667</v>
      </c>
      <c r="M29" s="33"/>
      <c r="N29" s="19"/>
    </row>
    <row r="30" spans="1:14" ht="16.5" thickBot="1" x14ac:dyDescent="0.3">
      <c r="A30" s="23"/>
      <c r="B30" s="17">
        <v>0</v>
      </c>
      <c r="C30" s="48"/>
      <c r="D30" s="107">
        <v>43246</v>
      </c>
      <c r="E30" s="24">
        <v>80081.05</v>
      </c>
      <c r="F30" s="19"/>
      <c r="G30" s="159">
        <v>43246</v>
      </c>
      <c r="H30" s="26">
        <v>30</v>
      </c>
      <c r="I30" s="27"/>
      <c r="J30" s="60" t="s">
        <v>18</v>
      </c>
      <c r="K30" s="51">
        <v>0</v>
      </c>
      <c r="L30" s="22">
        <f>50000+30051</f>
        <v>80051</v>
      </c>
      <c r="M30" s="33"/>
      <c r="N30" s="19"/>
    </row>
    <row r="31" spans="1:14" ht="16.5" thickBot="1" x14ac:dyDescent="0.3">
      <c r="A31" s="23"/>
      <c r="B31" s="17">
        <v>0</v>
      </c>
      <c r="C31" s="48"/>
      <c r="D31" s="107">
        <v>43247</v>
      </c>
      <c r="E31" s="24">
        <v>89556.800000000003</v>
      </c>
      <c r="F31" s="19"/>
      <c r="G31" s="159">
        <v>43247</v>
      </c>
      <c r="H31" s="26">
        <v>0</v>
      </c>
      <c r="I31" s="61"/>
      <c r="J31" s="62"/>
      <c r="K31" s="51">
        <v>0</v>
      </c>
      <c r="L31" s="22">
        <v>89557</v>
      </c>
      <c r="M31" s="33"/>
      <c r="N31" s="19"/>
    </row>
    <row r="32" spans="1:14" ht="16.5" thickBot="1" x14ac:dyDescent="0.3">
      <c r="A32" s="23"/>
      <c r="B32" s="17">
        <v>0</v>
      </c>
      <c r="C32" s="34"/>
      <c r="D32" s="107">
        <v>43248</v>
      </c>
      <c r="E32" s="24">
        <v>32258.47</v>
      </c>
      <c r="F32" s="19"/>
      <c r="G32" s="159">
        <v>43248</v>
      </c>
      <c r="H32" s="26">
        <v>0</v>
      </c>
      <c r="I32" s="61"/>
      <c r="J32" s="60"/>
      <c r="K32" s="29">
        <v>0</v>
      </c>
      <c r="L32" s="22">
        <v>32258</v>
      </c>
      <c r="M32" s="33"/>
      <c r="N32" s="19"/>
    </row>
    <row r="33" spans="1:14" ht="16.5" thickBot="1" x14ac:dyDescent="0.3">
      <c r="A33" s="23"/>
      <c r="B33" s="17">
        <v>0</v>
      </c>
      <c r="C33" s="34"/>
      <c r="D33" s="107">
        <v>43249</v>
      </c>
      <c r="E33" s="24">
        <v>55447.18</v>
      </c>
      <c r="F33" s="19"/>
      <c r="G33" s="159">
        <v>43249</v>
      </c>
      <c r="H33" s="26">
        <v>0</v>
      </c>
      <c r="I33" s="27"/>
      <c r="J33" s="63"/>
      <c r="K33" s="38"/>
      <c r="L33" s="22">
        <v>55447</v>
      </c>
      <c r="M33" s="33"/>
      <c r="N33" s="19"/>
    </row>
    <row r="34" spans="1:14" ht="16.5" thickBot="1" x14ac:dyDescent="0.3">
      <c r="A34" s="23"/>
      <c r="B34" s="17">
        <v>0</v>
      </c>
      <c r="C34" s="48"/>
      <c r="D34" s="107">
        <v>43250</v>
      </c>
      <c r="E34" s="24">
        <v>31665.9</v>
      </c>
      <c r="F34" s="19"/>
      <c r="G34" s="159">
        <v>43250</v>
      </c>
      <c r="H34" s="26">
        <v>0</v>
      </c>
      <c r="I34" s="27"/>
      <c r="J34" s="63"/>
      <c r="K34" s="38"/>
      <c r="L34" s="22">
        <v>31665.9</v>
      </c>
      <c r="M34" s="33"/>
      <c r="N34" s="64"/>
    </row>
    <row r="35" spans="1:14" ht="16.5" thickBot="1" x14ac:dyDescent="0.3">
      <c r="A35" s="23"/>
      <c r="B35" s="17">
        <v>0</v>
      </c>
      <c r="C35" s="18"/>
      <c r="D35" s="107">
        <v>43251</v>
      </c>
      <c r="E35" s="24">
        <v>81595.89</v>
      </c>
      <c r="F35" s="19"/>
      <c r="G35" s="159">
        <v>43251</v>
      </c>
      <c r="H35" s="26">
        <v>0</v>
      </c>
      <c r="I35" s="27"/>
      <c r="J35" s="60"/>
      <c r="K35" s="29"/>
      <c r="L35" s="22">
        <v>81595.89</v>
      </c>
      <c r="M35" s="33"/>
      <c r="N35" s="19"/>
    </row>
    <row r="36" spans="1:14" ht="16.5" thickBot="1" x14ac:dyDescent="0.3">
      <c r="A36" s="65"/>
      <c r="B36" s="66">
        <v>0</v>
      </c>
      <c r="C36" s="13"/>
      <c r="D36" s="67"/>
      <c r="E36" s="68">
        <v>0</v>
      </c>
      <c r="G36" s="69"/>
      <c r="H36" s="70"/>
      <c r="I36" s="71"/>
      <c r="J36" s="60"/>
      <c r="K36" s="72"/>
      <c r="L36" s="73">
        <f>SUM(L5:L35)</f>
        <v>1667936.2899999998</v>
      </c>
      <c r="M36" s="74"/>
      <c r="N36" s="19"/>
    </row>
    <row r="37" spans="1:14" ht="15.75" thickBot="1" x14ac:dyDescent="0.3">
      <c r="A37" s="75"/>
      <c r="B37" s="76">
        <v>0</v>
      </c>
      <c r="C37" s="13"/>
      <c r="D37" s="77"/>
      <c r="E37" s="78">
        <v>0</v>
      </c>
      <c r="G37" s="79"/>
      <c r="H37" s="80"/>
      <c r="I37" s="71"/>
      <c r="J37" s="81"/>
      <c r="K37" s="82"/>
      <c r="L37" s="9"/>
      <c r="M37" s="33"/>
      <c r="N37" s="19"/>
    </row>
    <row r="38" spans="1:14" x14ac:dyDescent="0.25">
      <c r="A38" s="84" t="s">
        <v>19</v>
      </c>
      <c r="B38" s="85">
        <f>SUM(B5:B37)</f>
        <v>0</v>
      </c>
      <c r="D38" s="86" t="s">
        <v>19</v>
      </c>
      <c r="E38" s="87">
        <f>SUM(E5:E37)</f>
        <v>1666660.5699999998</v>
      </c>
      <c r="G38" s="174" t="s">
        <v>19</v>
      </c>
      <c r="H38" s="88">
        <f>SUM(H5:H37)</f>
        <v>230</v>
      </c>
      <c r="I38" s="88"/>
      <c r="J38" s="89" t="s">
        <v>19</v>
      </c>
      <c r="K38" s="90">
        <f t="shared" ref="K38" si="0">SUM(K5:K37)</f>
        <v>91900.62</v>
      </c>
      <c r="L38" s="9"/>
      <c r="M38" s="4"/>
    </row>
    <row r="39" spans="1:14" x14ac:dyDescent="0.25">
      <c r="A39" s="1"/>
      <c r="B39" s="5"/>
      <c r="E39" s="5"/>
      <c r="I39" s="5"/>
      <c r="L39" s="9"/>
      <c r="M39" s="4"/>
    </row>
    <row r="40" spans="1:14" ht="16.5" thickBot="1" x14ac:dyDescent="0.3">
      <c r="A40" s="1"/>
      <c r="B40" s="91">
        <v>0</v>
      </c>
      <c r="C40" s="92"/>
      <c r="D40" s="28"/>
      <c r="E40" s="71"/>
      <c r="G40" s="258" t="s">
        <v>20</v>
      </c>
      <c r="H40" s="259"/>
      <c r="I40" s="178"/>
      <c r="J40" s="260">
        <f>H38+K38</f>
        <v>92130.62</v>
      </c>
      <c r="K40" s="261"/>
      <c r="L40" s="94"/>
      <c r="M40" s="95"/>
    </row>
    <row r="41" spans="1:14" ht="15.75" x14ac:dyDescent="0.25">
      <c r="A41" s="1"/>
      <c r="B41" s="179"/>
      <c r="C41" s="262" t="s">
        <v>21</v>
      </c>
      <c r="D41" s="262"/>
      <c r="E41" s="180">
        <f>E38-J40</f>
        <v>1574529.9499999997</v>
      </c>
      <c r="F41" s="181"/>
      <c r="G41" s="181"/>
      <c r="H41" s="182"/>
      <c r="I41" s="182"/>
      <c r="J41" s="183"/>
      <c r="K41" s="184"/>
      <c r="L41" s="94"/>
      <c r="M41" s="95"/>
    </row>
    <row r="42" spans="1:14" x14ac:dyDescent="0.25">
      <c r="A42" s="1"/>
      <c r="B42" s="185"/>
      <c r="C42" s="92"/>
      <c r="D42" s="28" t="s">
        <v>22</v>
      </c>
      <c r="E42" s="51">
        <v>5963.56</v>
      </c>
      <c r="F42" s="176"/>
      <c r="G42" s="176"/>
      <c r="H42" s="263" t="s">
        <v>26</v>
      </c>
      <c r="I42" s="263"/>
      <c r="J42" s="263">
        <f>E46</f>
        <v>172688.07999999981</v>
      </c>
      <c r="K42" s="270"/>
      <c r="L42" s="94"/>
      <c r="M42" s="95"/>
    </row>
    <row r="43" spans="1:14" ht="15.75" thickBot="1" x14ac:dyDescent="0.3">
      <c r="A43" s="1"/>
      <c r="B43" s="185" t="s">
        <v>23</v>
      </c>
      <c r="C43" s="92" t="s">
        <v>24</v>
      </c>
      <c r="D43" s="28"/>
      <c r="E43" s="97">
        <v>-1591512.46</v>
      </c>
      <c r="F43" s="176"/>
      <c r="G43" s="176"/>
      <c r="H43" s="237" t="s">
        <v>1</v>
      </c>
      <c r="I43" s="237"/>
      <c r="J43" s="271">
        <f>-B4</f>
        <v>-116569.18</v>
      </c>
      <c r="K43" s="272"/>
      <c r="L43" s="94"/>
      <c r="M43" s="95"/>
    </row>
    <row r="44" spans="1:14" ht="20.25" thickTop="1" thickBot="1" x14ac:dyDescent="0.3">
      <c r="A44" s="1"/>
      <c r="B44" s="185"/>
      <c r="C44" s="92"/>
      <c r="D44" s="28" t="s">
        <v>25</v>
      </c>
      <c r="E44" s="51">
        <f>SUM(E41:E43)</f>
        <v>-11018.950000000186</v>
      </c>
      <c r="F44" s="176"/>
      <c r="G44" s="176"/>
      <c r="H44" s="240" t="s">
        <v>55</v>
      </c>
      <c r="I44" s="241"/>
      <c r="J44" s="242">
        <f>SUM(J41:K43)</f>
        <v>56118.89999999982</v>
      </c>
      <c r="K44" s="243"/>
      <c r="L44" s="94"/>
      <c r="M44" s="95"/>
    </row>
    <row r="45" spans="1:14" ht="16.5" thickBot="1" x14ac:dyDescent="0.3">
      <c r="A45" s="1"/>
      <c r="B45" s="185"/>
      <c r="C45" s="11" t="s">
        <v>27</v>
      </c>
      <c r="D45" s="177"/>
      <c r="E45" s="100">
        <v>183707.03</v>
      </c>
      <c r="F45" s="176"/>
      <c r="G45" s="176"/>
      <c r="H45" s="71"/>
      <c r="I45" s="176"/>
      <c r="J45" s="264"/>
      <c r="K45" s="265"/>
      <c r="L45" s="94"/>
      <c r="M45" s="95"/>
    </row>
    <row r="46" spans="1:14" ht="19.5" thickBot="1" x14ac:dyDescent="0.3">
      <c r="A46" s="1"/>
      <c r="B46" s="186"/>
      <c r="C46" s="187"/>
      <c r="D46" s="187" t="s">
        <v>28</v>
      </c>
      <c r="E46" s="188">
        <f>E45+E44</f>
        <v>172688.07999999981</v>
      </c>
      <c r="F46" s="189"/>
      <c r="G46" s="189"/>
      <c r="H46" s="190"/>
      <c r="I46" s="191"/>
      <c r="J46" s="266"/>
      <c r="K46" s="267"/>
      <c r="L46" s="94"/>
      <c r="M46" s="95"/>
    </row>
    <row r="47" spans="1:14" ht="18.75" x14ac:dyDescent="0.25">
      <c r="A47" s="1"/>
      <c r="B47" s="5"/>
      <c r="E47" s="51"/>
      <c r="J47" s="268"/>
      <c r="K47" s="269"/>
      <c r="L47" s="94"/>
      <c r="M47" s="95"/>
    </row>
    <row r="48" spans="1:14" x14ac:dyDescent="0.25">
      <c r="A48" s="1"/>
      <c r="B48" s="5"/>
      <c r="C48" s="227"/>
      <c r="D48" s="227"/>
      <c r="E48" s="88"/>
      <c r="I48" s="5"/>
      <c r="L48" s="94"/>
      <c r="M48" s="95"/>
    </row>
    <row r="49" spans="1:13" x14ac:dyDescent="0.25">
      <c r="A49"/>
      <c r="C49"/>
      <c r="L49" s="94"/>
      <c r="M49" s="95"/>
    </row>
    <row r="50" spans="1:13" x14ac:dyDescent="0.25">
      <c r="A50"/>
      <c r="L50" s="94"/>
      <c r="M50" s="95"/>
    </row>
    <row r="51" spans="1:13" x14ac:dyDescent="0.25">
      <c r="A51"/>
      <c r="L51" s="94"/>
      <c r="M51" s="95"/>
    </row>
    <row r="52" spans="1:13" x14ac:dyDescent="0.25">
      <c r="A52"/>
      <c r="L52" s="94"/>
      <c r="M52" s="95"/>
    </row>
    <row r="53" spans="1:13" x14ac:dyDescent="0.25">
      <c r="A53"/>
      <c r="L53" s="71"/>
      <c r="M53" s="95"/>
    </row>
    <row r="54" spans="1:13" x14ac:dyDescent="0.25">
      <c r="A54"/>
      <c r="M54" s="95"/>
    </row>
    <row r="55" spans="1:13" x14ac:dyDescent="0.25">
      <c r="A55"/>
      <c r="M55" s="95"/>
    </row>
    <row r="56" spans="1:13" x14ac:dyDescent="0.25">
      <c r="A56"/>
      <c r="M56" s="95"/>
    </row>
    <row r="57" spans="1:13" x14ac:dyDescent="0.25">
      <c r="A57"/>
      <c r="M57" s="95"/>
    </row>
    <row r="58" spans="1:13" x14ac:dyDescent="0.25">
      <c r="A58"/>
      <c r="M58" s="95"/>
    </row>
    <row r="59" spans="1:13" x14ac:dyDescent="0.25">
      <c r="A59"/>
      <c r="M59" s="95"/>
    </row>
    <row r="60" spans="1:13" x14ac:dyDescent="0.25">
      <c r="A60"/>
      <c r="M60" s="95"/>
    </row>
    <row r="61" spans="1:13" x14ac:dyDescent="0.25">
      <c r="A61"/>
      <c r="M61" s="95"/>
    </row>
    <row r="62" spans="1:13" x14ac:dyDescent="0.25">
      <c r="A62"/>
      <c r="M62" s="95"/>
    </row>
    <row r="63" spans="1:13" x14ac:dyDescent="0.25">
      <c r="A63"/>
      <c r="M63" s="95"/>
    </row>
    <row r="64" spans="1:13" x14ac:dyDescent="0.25">
      <c r="A64"/>
      <c r="M64" s="95"/>
    </row>
    <row r="65" spans="1:13" x14ac:dyDescent="0.25">
      <c r="A65"/>
      <c r="C65"/>
      <c r="M65" s="95"/>
    </row>
    <row r="66" spans="1:13" x14ac:dyDescent="0.25">
      <c r="A66"/>
      <c r="C66"/>
      <c r="M66" s="95"/>
    </row>
    <row r="67" spans="1:13" x14ac:dyDescent="0.25">
      <c r="A67"/>
      <c r="C67"/>
      <c r="M67" s="95"/>
    </row>
    <row r="68" spans="1:13" x14ac:dyDescent="0.25">
      <c r="A68"/>
      <c r="C68"/>
      <c r="M68" s="102"/>
    </row>
  </sheetData>
  <mergeCells count="20">
    <mergeCell ref="J47:K47"/>
    <mergeCell ref="C48:D48"/>
    <mergeCell ref="H43:I43"/>
    <mergeCell ref="J43:K43"/>
    <mergeCell ref="H44:I44"/>
    <mergeCell ref="J44:K44"/>
    <mergeCell ref="J45:K45"/>
    <mergeCell ref="J46:K46"/>
    <mergeCell ref="J17:J18"/>
    <mergeCell ref="G40:H40"/>
    <mergeCell ref="J40:K40"/>
    <mergeCell ref="C41:D41"/>
    <mergeCell ref="H42:I42"/>
    <mergeCell ref="J42:K42"/>
    <mergeCell ref="B1:J1"/>
    <mergeCell ref="A3:A4"/>
    <mergeCell ref="D3:F3"/>
    <mergeCell ref="G3:H3"/>
    <mergeCell ref="D4:E4"/>
    <mergeCell ref="H4:K4"/>
  </mergeCells>
  <pageMargins left="0.70866141732283472" right="0.31496062992125984" top="0.35433070866141736" bottom="0.15748031496062992" header="0.31496062992125984" footer="0.31496062992125984"/>
  <pageSetup scale="75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E N E R O     2 0 1 8    </vt:lpstr>
      <vt:lpstr>SALIDAS  ENERO   2018     </vt:lpstr>
      <vt:lpstr>F E B R E RO     2 0 1 8       </vt:lpstr>
      <vt:lpstr>SALIDAS  FEBRERO    2018    </vt:lpstr>
      <vt:lpstr>M A R Z O   2018     </vt:lpstr>
      <vt:lpstr>SALIDAS   MARZO   2018</vt:lpstr>
      <vt:lpstr>A B R I L   2018   </vt:lpstr>
      <vt:lpstr>SALIDAS    ABRIL   2018   </vt:lpstr>
      <vt:lpstr>M A Y O    2018      </vt:lpstr>
      <vt:lpstr>SALIDAS    MAYO     2018    </vt:lpstr>
      <vt:lpstr>JUNIO    2018     </vt:lpstr>
      <vt:lpstr>SALIDAS  JUNIO    2018    </vt:lpstr>
      <vt:lpstr> J U L I O     2018     </vt:lpstr>
      <vt:lpstr>SALIDAS   JULIO    2018    </vt:lpstr>
      <vt:lpstr>Hoja1</vt:lpstr>
      <vt:lpstr>Hoja3</vt:lpstr>
      <vt:lpstr>Hoja4</vt:lpstr>
      <vt:lpstr>Hoja6</vt:lpstr>
      <vt:lpstr>Hoja5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2018-08-08T16:31:31Z</cp:lastPrinted>
  <dcterms:created xsi:type="dcterms:W3CDTF">2018-01-15T20:11:35Z</dcterms:created>
  <dcterms:modified xsi:type="dcterms:W3CDTF">2018-08-08T16:31:33Z</dcterms:modified>
</cp:coreProperties>
</file>